
<file path=[Content_Types].xml><?xml version="1.0" encoding="utf-8"?>
<Types xmlns="http://schemas.openxmlformats.org/package/2006/content-types">
  <Override PartName="/xl/worksheets/sheet24.xml" ContentType="application/vnd.openxmlformats-officedocument.spreadsheetml.worksheet+xml"/>
  <Override PartName="/xl/charts/chart189.xml" ContentType="application/vnd.openxmlformats-officedocument.drawingml.chart+xml"/>
  <Override PartName="/xl/worksheets/sheet13.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charts/chart178.xml" ContentType="application/vnd.openxmlformats-officedocument.drawingml.chart+xml"/>
  <Override PartName="/xl/comments8.xml" ContentType="application/vnd.openxmlformats-officedocument.spreadsheetml.comments+xml"/>
  <Override PartName="/xl/drawings/drawing17.xml" ContentType="application/vnd.openxmlformats-officedocument.drawingml.chartshapes+xml"/>
  <Override PartName="/xl/drawings/drawing28.xml" ContentType="application/vnd.openxmlformats-officedocument.drawingml.chartshapes+xml"/>
  <Override PartName="/xl/charts/chart109.xml" ContentType="application/vnd.openxmlformats-officedocument.drawingml.chart+xml"/>
  <Override PartName="/xl/charts/chart156.xml" ContentType="application/vnd.openxmlformats-officedocument.drawingml.chart+xml"/>
  <Override PartName="/xl/charts/chart167.xml" ContentType="application/vnd.openxmlformats-officedocument.drawingml.chart+xml"/>
  <Default Extension="xml" ContentType="application/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hart145.xml" ContentType="application/vnd.openxmlformats-officedocument.drawingml.chart+xml"/>
  <Override PartName="/xl/charts/chart192.xml" ContentType="application/vnd.openxmlformats-officedocument.drawingml.chart+xml"/>
  <Override PartName="/xl/ctrlProps/ctrlProp34.xml" ContentType="application/vnd.ms-excel.controlproperties+xml"/>
  <Override PartName="/xl/worksheets/sheet3.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charts/chart134.xml" ContentType="application/vnd.openxmlformats-officedocument.drawingml.chart+xml"/>
  <Override PartName="/xl/charts/chart181.xml" ContentType="application/vnd.openxmlformats-officedocument.drawingml.chart+xml"/>
  <Override PartName="/xl/ctrlProps/ctrlProp23.xml" ContentType="application/vnd.ms-excel.controlproperties+xml"/>
  <Override PartName="/xl/charts/chart16.xml" ContentType="application/vnd.openxmlformats-officedocument.drawingml.chart+xml"/>
  <Override PartName="/xl/drawings/drawing20.xml" ContentType="application/vnd.openxmlformats-officedocument.drawing+xml"/>
  <Override PartName="/xl/charts/chart63.xml" ContentType="application/vnd.openxmlformats-officedocument.drawingml.chart+xml"/>
  <Override PartName="/xl/drawings/drawing31.xml" ContentType="application/vnd.openxmlformats-officedocument.drawing+xml"/>
  <Override PartName="/xl/charts/chart112.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ctrlProps/ctrlProp12.xml" ContentType="application/vnd.ms-excel.controlproperties+xml"/>
  <Override PartName="/xl/charts/chart52.xml" ContentType="application/vnd.openxmlformats-officedocument.drawingml.chart+xml"/>
  <Override PartName="/xl/charts/chart101.xml" ContentType="application/vnd.openxmlformats-officedocument.drawingml.chart+xml"/>
  <Override PartName="/xl/worksheets/sheet18.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ctrlProps/ctrlProp2.xml" ContentType="application/vnd.ms-excel.controlproperties+xml"/>
  <Default Extension="png" ContentType="image/png"/>
  <Override PartName="/xl/drawings/drawing7.xml" ContentType="application/vnd.openxmlformats-officedocument.drawingml.chartshapes+xml"/>
  <Override PartName="/xl/charts/chart139.xml" ContentType="application/vnd.openxmlformats-officedocument.drawingml.chart+xml"/>
  <Override PartName="/xl/charts/chart186.xml" ContentType="application/vnd.openxmlformats-officedocument.drawingml.chart+xml"/>
  <Override PartName="/xl/charts/chart197.xml" ContentType="application/vnd.openxmlformats-officedocument.drawingml.chart+xml"/>
  <Override PartName="/xl/ctrlProps/ctrlProp28.xml" ContentType="application/vnd.ms-excel.controlproperties+xml"/>
  <Override PartName="/xl/worksheets/sheet8.xml" ContentType="application/vnd.openxmlformats-officedocument.spreadsheetml.worksheet+xml"/>
  <Override PartName="/xl/worksheets/sheet21.xml" ContentType="application/vnd.openxmlformats-officedocument.spreadsheetml.worksheet+xml"/>
  <Default Extension="emf" ContentType="image/x-emf"/>
  <Override PartName="/xl/charts/chart79.xml" ContentType="application/vnd.openxmlformats-officedocument.drawingml.chart+xml"/>
  <Override PartName="/xl/charts/chart128.xml" ContentType="application/vnd.openxmlformats-officedocument.drawingml.chart+xml"/>
  <Override PartName="/xl/charts/chart175.xml" ContentType="application/vnd.openxmlformats-officedocument.drawingml.chart+xml"/>
  <Override PartName="/xl/ctrlProps/ctrlProp17.xml" ContentType="application/vnd.ms-excel.controlproperties+xml"/>
  <Override PartName="/xl/worksheets/sheet10.xml" ContentType="application/vnd.openxmlformats-officedocument.spreadsheetml.worksheet+xml"/>
  <Override PartName="/xl/charts/chart1.xml" ContentType="application/vnd.openxmlformats-officedocument.drawingml.chart+xml"/>
  <Override PartName="/xl/drawings/drawing25.xml" ContentType="application/vnd.openxmlformats-officedocument.drawingml.chartshapes+xml"/>
  <Override PartName="/xl/comments5.xml" ContentType="application/vnd.openxmlformats-officedocument.spreadsheetml.comments+xml"/>
  <Override PartName="/xl/charts/chart57.xml" ContentType="application/vnd.openxmlformats-officedocument.drawingml.chart+xml"/>
  <Override PartName="/xl/charts/chart68.xml" ContentType="application/vnd.openxmlformats-officedocument.drawingml.chart+xml"/>
  <Override PartName="/xl/charts/chart117.xml" ContentType="application/vnd.openxmlformats-officedocument.drawingml.chart+xml"/>
  <Override PartName="/xl/charts/chart164.xml" ContentType="application/vnd.openxmlformats-officedocument.drawingml.chart+xml"/>
  <Override PartName="/docProps/app.xml" ContentType="application/vnd.openxmlformats-officedocument.extended-properties+xml"/>
  <Override PartName="/xl/drawings/drawing14.xml" ContentType="application/vnd.openxmlformats-officedocument.drawingml.chartshapes+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ctrlProps/ctrlProp7.xml" ContentType="application/vnd.ms-excel.controlproperties+xml"/>
  <Override PartName="/xl/charts/chart35.xml" ContentType="application/vnd.openxmlformats-officedocument.drawingml.chart+xml"/>
  <Override PartName="/xl/charts/chart82.xml" ContentType="application/vnd.openxmlformats-officedocument.drawingml.chart+xml"/>
  <Override PartName="/xl/charts/chart131.xml" ContentType="application/vnd.openxmlformats-officedocument.drawingml.chart+xml"/>
  <Override PartName="/xl/calcChain.xml" ContentType="application/vnd.openxmlformats-officedocument.spreadsheetml.calcChain+xml"/>
  <Override PartName="/xl/ctrlProps/ctrlProp31.xml" ContentType="application/vnd.ms-excel.controlproperties+xml"/>
  <Override PartName="/xl/ctrlProps/ctrlProp20.xml" ContentType="application/vnd.ms-excel.controlproperties+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worksheets/sheet26.xml" ContentType="application/vnd.openxmlformats-officedocument.spreadsheetml.worksheet+xml"/>
  <Override PartName="/xl/charts/chart60.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19.xml" ContentType="application/vnd.openxmlformats-officedocument.drawingml.chartshapes+xml"/>
  <Override PartName="/xl/charts/chart158.xml" ContentType="application/vnd.openxmlformats-officedocument.drawingml.chart+xml"/>
  <Override PartName="/xl/charts/chart169.xml" ContentType="application/vnd.openxmlformats-officedocument.drawingml.chart+xml"/>
  <Override PartName="/xl/drawings/drawing4.xml" ContentType="application/vnd.openxmlformats-officedocument.drawingml.chartshapes+xml"/>
  <Override PartName="/xl/charts/chart98.xml" ContentType="application/vnd.openxmlformats-officedocument.drawingml.chart+xml"/>
  <Override PartName="/xl/charts/chart147.xml" ContentType="application/vnd.openxmlformats-officedocument.drawingml.chart+xml"/>
  <Override PartName="/xl/charts/chart194.xml" ContentType="application/vnd.openxmlformats-officedocument.drawingml.chart+xml"/>
  <Override PartName="/xl/ctrlProps/ctrlProp36.xml" ContentType="application/vnd.ms-excel.controlproperties+xml"/>
  <Override PartName="/xl/worksheets/sheet5.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charts/chart136.xml" ContentType="application/vnd.openxmlformats-officedocument.drawingml.chart+xml"/>
  <Override PartName="/xl/charts/chart183.xml" ContentType="application/vnd.openxmlformats-officedocument.drawingml.chart+xml"/>
  <Override PartName="/xl/ctrlProps/ctrlProp25.xml" ContentType="application/vnd.ms-excel.controlproperties+xml"/>
  <Override PartName="/xl/charts/chart18.xml" ContentType="application/vnd.openxmlformats-officedocument.drawingml.chart+xml"/>
  <Override PartName="/xl/drawings/drawing22.xml" ContentType="application/vnd.openxmlformats-officedocument.drawingml.chartshapes+xml"/>
  <Override PartName="/xl/comments2.xml" ContentType="application/vnd.openxmlformats-officedocument.spreadsheetml.comments+xml"/>
  <Override PartName="/xl/charts/chart65.xml" ContentType="application/vnd.openxmlformats-officedocument.drawingml.chart+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drawings/drawing33.xml" ContentType="application/vnd.openxmlformats-officedocument.drawing+xml"/>
  <Override PartName="/xl/ctrlProps/ctrlProp14.xml" ContentType="application/vnd.ms-excel.controlproperties+xml"/>
  <Override PartName="/xl/worksheets/sheet1.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charts/chart54.xml" ContentType="application/vnd.openxmlformats-officedocument.drawingml.chart+xml"/>
  <Override PartName="/xl/charts/chart72.xml" ContentType="application/vnd.openxmlformats-officedocument.drawingml.chart+xml"/>
  <Override PartName="/xl/charts/chart103.xml" ContentType="application/vnd.openxmlformats-officedocument.drawingml.chart+xml"/>
  <Override PartName="/xl/charts/chart132.xml" ContentType="application/vnd.openxmlformats-officedocument.drawingml.chart+xml"/>
  <Override PartName="/xl/charts/chart150.xml" ContentType="application/vnd.openxmlformats-officedocument.drawingml.chart+xml"/>
  <Override PartName="/xl/ctrlProps/ctrlProp21.xml" ContentType="application/vnd.ms-excel.controlproperties+xml"/>
  <Override PartName="/xl/charts/chart14.xml" ContentType="application/vnd.openxmlformats-officedocument.drawingml.chart+xml"/>
  <Override PartName="/xl/charts/chart32.xml" ContentType="application/vnd.openxmlformats-officedocument.drawingml.chart+xml"/>
  <Override PartName="/xl/charts/chart43.xml" ContentType="application/vnd.openxmlformats-officedocument.drawingml.chart+xml"/>
  <Override PartName="/xl/charts/chart61.xml" ContentType="application/vnd.openxmlformats-officedocument.drawingml.chart+xml"/>
  <Override PartName="/xl/charts/chart90.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ctrlProps/ctrlProp10.xml" ContentType="application/vnd.ms-excel.controlproperties+xml"/>
  <Override PartName="/xl/ctrlProps/ctrlProp4.xml" ContentType="application/vnd.ms-excel.controlproperties+xml"/>
  <Override PartName="/xl/worksheets/sheet27.xml" ContentType="application/vnd.openxmlformats-officedocument.spreadsheetml.worksheet+xml"/>
  <Override PartName="/xl/charts/chart21.xml" ContentType="application/vnd.openxmlformats-officedocument.drawingml.chart+xml"/>
  <Override PartName="/xl/charts/chart50.xml" ContentType="application/vnd.openxmlformats-officedocument.drawingml.chart+xml"/>
  <Override PartName="/xl/worksheets/sheet16.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ml.chartshapes+xml"/>
  <Override PartName="/xl/charts/chart10.xml" ContentType="application/vnd.openxmlformats-officedocument.drawingml.chart+xml"/>
  <Override PartName="/xl/charts/chart188.xml" ContentType="application/vnd.openxmlformats-officedocument.drawingml.chart+xml"/>
  <Override PartName="/xl/worksheets/sheet23.xml" ContentType="application/vnd.openxmlformats-officedocument.spreadsheetml.worksheet+xml"/>
  <Override PartName="/xl/charts/chart99.xml" ContentType="application/vnd.openxmlformats-officedocument.drawingml.chart+xml"/>
  <Override PartName="/xl/charts/chart159.xml" ContentType="application/vnd.openxmlformats-officedocument.drawingml.chart+xml"/>
  <Override PartName="/xl/charts/chart177.xml" ContentType="application/vnd.openxmlformats-officedocument.drawingml.chart+xml"/>
  <Override PartName="/xl/ctrlProps/ctrlProp19.xml" ContentType="application/vnd.ms-excel.controlproperties+xml"/>
  <Override PartName="/xl/worksheets/sheet6.xml" ContentType="application/vnd.openxmlformats-officedocument.spreadsheetml.worksheet+xml"/>
  <Override PartName="/xl/worksheets/sheet12.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Default Extension="jpeg" ContentType="image/jpeg"/>
  <Override PartName="/xl/drawings/drawing27.xml" ContentType="application/vnd.openxmlformats-officedocument.drawingml.chartshapes+xml"/>
  <Override PartName="/xl/charts/chart59.xml" ContentType="application/vnd.openxmlformats-officedocument.drawingml.chart+xml"/>
  <Override PartName="/xl/charts/chart88.xml" ContentType="application/vnd.openxmlformats-officedocument.drawingml.chart+xml"/>
  <Override PartName="/xl/charts/chart119.xml" ContentType="application/vnd.openxmlformats-officedocument.drawingml.chart+xml"/>
  <Override PartName="/xl/charts/chart137.xml" ContentType="application/vnd.openxmlformats-officedocument.drawingml.chart+xml"/>
  <Override PartName="/xl/charts/chart148.xml" ContentType="application/vnd.openxmlformats-officedocument.drawingml.chart+xml"/>
  <Override PartName="/xl/charts/chart166.xml" ContentType="application/vnd.openxmlformats-officedocument.drawingml.chart+xml"/>
  <Override PartName="/xl/charts/chart184.xml" ContentType="application/vnd.openxmlformats-officedocument.drawingml.chart+xml"/>
  <Override PartName="/xl/charts/chart195.xml" ContentType="application/vnd.openxmlformats-officedocument.drawingml.chart+xml"/>
  <Override PartName="/xl/comments7.xml" ContentType="application/vnd.openxmlformats-officedocument.spreadsheetml.comments+xml"/>
  <Override PartName="/xl/ctrlProps/ctrlProp26.xml" ContentType="application/vnd.ms-excel.controlproperties+xml"/>
  <Override PartName="/xl/ctrlProps/ctrlProp37.xml" ContentType="application/vnd.ms-excel.controlproperties+xml"/>
  <Override PartName="/xl/drawings/drawing16.xml" ContentType="application/vnd.openxmlformats-officedocument.drawingml.chartshapes+xml"/>
  <Override PartName="/xl/charts/chart48.xml" ContentType="application/vnd.openxmlformats-officedocument.drawingml.chart+xml"/>
  <Override PartName="/xl/charts/chart77.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26.xml" ContentType="application/vnd.openxmlformats-officedocument.drawingml.chart+xml"/>
  <Override PartName="/xl/charts/chart155.xml" ContentType="application/vnd.openxmlformats-officedocument.drawingml.chart+xml"/>
  <Override PartName="/xl/charts/chart173.xml" ContentType="application/vnd.openxmlformats-officedocument.drawingml.chart+xml"/>
  <Override PartName="/xl/drawings/drawing34.xml" ContentType="application/vnd.openxmlformats-officedocument.drawing+xml"/>
  <Override PartName="/xl/ctrlProps/ctrlProp9.xml" ContentType="application/vnd.ms-excel.controlproperties+xml"/>
  <Override PartName="/xl/ctrlProps/ctrlProp15.xml" ContentType="application/vnd.ms-excel.controlproperties+xml"/>
  <Override PartName="/xl/worksheets/sheet2.xml" ContentType="application/vnd.openxmlformats-officedocument.spreadsheetml.worksheet+xml"/>
  <Override PartName="/xl/drawings/drawing1.xml" ContentType="application/vnd.openxmlformats-officedocument.drawing+xml"/>
  <Override PartName="/xl/charts/chart19.xml" ContentType="application/vnd.openxmlformats-officedocument.drawingml.chart+xml"/>
  <Override PartName="/xl/drawings/drawing23.xml" ContentType="application/vnd.openxmlformats-officedocument.drawingml.chartshapes+xml"/>
  <Override PartName="/xl/comments3.xml" ContentType="application/vnd.openxmlformats-officedocument.spreadsheetml.comments+xml"/>
  <Override PartName="/xl/charts/chart37.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charts/chart84.xml" ContentType="application/vnd.openxmlformats-officedocument.drawingml.chart+xml"/>
  <Override PartName="/xl/charts/chart115.xml" ContentType="application/vnd.openxmlformats-officedocument.drawingml.chart+xml"/>
  <Override PartName="/xl/charts/chart133.xml" ContentType="application/vnd.openxmlformats-officedocument.drawingml.chart+xml"/>
  <Override PartName="/xl/charts/chart144.xml" ContentType="application/vnd.openxmlformats-officedocument.drawingml.chart+xml"/>
  <Override PartName="/xl/charts/chart162.xml" ContentType="application/vnd.openxmlformats-officedocument.drawingml.chart+xml"/>
  <Override PartName="/xl/charts/chart180.xml" ContentType="application/vnd.openxmlformats-officedocument.drawingml.chart+xml"/>
  <Override PartName="/xl/charts/chart191.xml" ContentType="application/vnd.openxmlformats-officedocument.drawingml.chart+xml"/>
  <Override PartName="/xl/ctrlProps/ctrlProp22.xml" ContentType="application/vnd.ms-excel.controlproperties+xml"/>
  <Override PartName="/xl/ctrlProps/ctrlProp33.xml" ContentType="application/vnd.ms-excel.controlproperties+xml"/>
  <Override PartName="/xl/drawings/drawing12.xml" ContentType="application/vnd.openxmlformats-officedocument.drawingml.chartshapes+xml"/>
  <Override PartName="/xl/charts/chart26.xml" ContentType="application/vnd.openxmlformats-officedocument.drawingml.chart+xml"/>
  <Override PartName="/xl/drawings/drawing30.xml" ContentType="application/vnd.openxmlformats-officedocument.drawing+xml"/>
  <Override PartName="/xl/charts/chart44.xml" ContentType="application/vnd.openxmlformats-officedocument.drawingml.chart+xml"/>
  <Override PartName="/xl/charts/chart73.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22.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ctrlProps/ctrlProp11.xml" ContentType="application/vnd.ms-excel.controlproperties+xml"/>
  <Override PartName="/xl/ctrlProps/ctrlProp5.xml" ContentType="application/vnd.ms-excel.controlproperties+xml"/>
  <Override PartName="/xl/charts/chart15.xml" ContentType="application/vnd.openxmlformats-officedocument.drawingml.chart+xml"/>
  <Override PartName="/xl/charts/chart33.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80.xml" ContentType="application/vnd.openxmlformats-officedocument.drawingml.chart+xml"/>
  <Override PartName="/xl/charts/chart111.xml" ContentType="application/vnd.openxmlformats-officedocument.drawingml.chart+xml"/>
  <Override PartName="/xl/worksheets/sheet17.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ctrlProps/ctrlProp1.xml" ContentType="application/vnd.ms-excel.controlproperties+xml"/>
  <Override PartName="/xl/drawings/drawing6.xml" ContentType="application/vnd.openxmlformats-officedocument.drawingml.chartshapes+xml"/>
  <Override PartName="/xl/charts/chart149.xml" ContentType="application/vnd.openxmlformats-officedocument.drawingml.chart+xml"/>
  <Override PartName="/xl/charts/chart196.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charts/chart138.xml" ContentType="application/vnd.openxmlformats-officedocument.drawingml.chart+xml"/>
  <Override PartName="/xl/charts/chart185.xml" ContentType="application/vnd.openxmlformats-officedocument.drawingml.chart+xml"/>
  <Override PartName="/xl/ctrlProps/ctrlProp27.xml" ContentType="application/vnd.ms-excel.controlproperties+xml"/>
  <Override PartName="/xl/comments4.xml" ContentType="application/vnd.openxmlformats-officedocument.spreadsheetml.comments+xml"/>
  <Override PartName="/xl/charts/chart67.xml" ContentType="application/vnd.openxmlformats-officedocument.drawingml.chart+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ctrlProps/ctrlProp16.xml" ContentType="application/vnd.ms-excel.controlproperties+xml"/>
  <Override PartName="/xl/drawings/drawing13.xml" ContentType="application/vnd.openxmlformats-officedocument.drawingml.chartshapes+xml"/>
  <Override PartName="/xl/drawings/drawing24.xml" ContentType="application/vnd.openxmlformats-officedocument.drawingml.chartshapes+xml"/>
  <Override PartName="/xl/charts/chart56.xml" ContentType="application/vnd.openxmlformats-officedocument.drawingml.chart+xml"/>
  <Override PartName="/xl/charts/chart105.xml" ContentType="application/vnd.openxmlformats-officedocument.drawingml.chart+xml"/>
  <Override PartName="/xl/charts/chart152.xml" ContentType="application/vnd.openxmlformats-officedocument.drawingml.chart+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ctrlProps/ctrlProp30.xml" ContentType="application/vnd.ms-excel.controlproperties+xml"/>
  <Override PartName="/xl/ctrlProps/ctrlProp6.xml" ContentType="application/vnd.ms-excel.controlproperties+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charts/chart12.xml" ContentType="application/vnd.openxmlformats-officedocument.drawingml.chart+xml"/>
  <Override PartName="/xl/worksheets/sheet25.xml" ContentType="application/vnd.openxmlformats-officedocument.spreadsheetml.worksheet+xml"/>
  <Default Extension="bin" ContentType="application/vnd.openxmlformats-officedocument.spreadsheetml.printerSettings"/>
  <Override PartName="/xl/charts/chart179.xml" ContentType="application/vnd.openxmlformats-officedocument.drawingml.chart+xml"/>
  <Override PartName="/xl/worksheets/sheet14.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ml.chartshapes+xml"/>
  <Override PartName="/xl/charts/chart168.xml" ContentType="application/vnd.openxmlformats-officedocument.drawingml.chart+xml"/>
  <Override PartName="/xl/drawings/drawing18.xml" ContentType="application/vnd.openxmlformats-officedocument.drawingml.chartshapes+xml"/>
  <Override PartName="/xl/charts/chart97.xml" ContentType="application/vnd.openxmlformats-officedocument.drawingml.chart+xml"/>
  <Override PartName="/xl/charts/chart157.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ml.chartshapes+xml"/>
  <Override PartName="/xl/charts/chart39.xml" ContentType="application/vnd.openxmlformats-officedocument.drawingml.chart+xml"/>
  <Override PartName="/xl/charts/chart86.xml" ContentType="application/vnd.openxmlformats-officedocument.drawingml.chart+xml"/>
  <Override PartName="/xl/charts/chart135.xml" ContentType="application/vnd.openxmlformats-officedocument.drawingml.chart+xml"/>
  <Override PartName="/xl/charts/chart146.xml" ContentType="application/vnd.openxmlformats-officedocument.drawingml.chart+xml"/>
  <Override PartName="/xl/charts/chart182.xml" ContentType="application/vnd.openxmlformats-officedocument.drawingml.chart+xml"/>
  <Override PartName="/xl/charts/chart193.xml" ContentType="application/vnd.openxmlformats-officedocument.drawingml.chart+xml"/>
  <Override PartName="/xl/ctrlProps/ctrlProp35.xml" ContentType="application/vnd.ms-excel.controlproperties+xml"/>
  <Override PartName="/xl/ctrlProps/ctrlProp24.xml" ContentType="application/vnd.ms-excel.controlproperties+xml"/>
  <Override PartName="/xl/charts/chart28.xml" ContentType="application/vnd.openxmlformats-officedocument.drawingml.chart+xml"/>
  <Override PartName="/xl/charts/chart75.xml" ContentType="application/vnd.openxmlformats-officedocument.drawingml.chart+xml"/>
  <Override PartName="/xl/charts/chart124.xml" ContentType="application/vnd.openxmlformats-officedocument.drawingml.chart+xml"/>
  <Override PartName="/xl/drawings/drawing32.xml" ContentType="application/vnd.openxmlformats-officedocument.drawing+xml"/>
  <Override PartName="/xl/charts/chart171.xml" ContentType="application/vnd.openxmlformats-officedocument.drawingml.chart+xml"/>
  <Override PartName="/xl/ctrlProps/ctrlProp13.xml" ContentType="application/vnd.ms-excel.controlproperties+xml"/>
  <Default Extension="vml" ContentType="application/vnd.openxmlformats-officedocument.vmlDrawing"/>
  <Override PartName="/xl/comments1.xml" ContentType="application/vnd.openxmlformats-officedocument.spreadsheetml.comments+xml"/>
  <Override PartName="/xl/charts/chart17.xml" ContentType="application/vnd.openxmlformats-officedocument.drawingml.chart+xml"/>
  <Override PartName="/xl/drawings/drawing21.xml" ContentType="application/vnd.openxmlformats-officedocument.drawingml.chartshapes+xml"/>
  <Override PartName="/xl/charts/chart53.xml" ContentType="application/vnd.openxmlformats-officedocument.drawingml.chart+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worksheets/sheet19.xml" ContentType="application/vnd.openxmlformats-officedocument.spreadsheetml.worksheet+xml"/>
  <Override PartName="/xl/drawings/drawing10.xml" ContentType="application/vnd.openxmlformats-officedocument.drawingml.chartshapes+xml"/>
  <Override PartName="/xl/charts/chart42.xml" ContentType="application/vnd.openxmlformats-officedocument.drawingml.chart+xml"/>
  <Override PartName="/xl/charts/chart102.xml" ContentType="application/vnd.openxmlformats-officedocument.drawingml.chart+xml"/>
  <Override PartName="/xl/ctrlProps/ctrlProp3.xml" ContentType="application/vnd.ms-excel.controlproperties+xml"/>
  <Override PartName="/xl/charts/chart31.xml" ContentType="application/vnd.openxmlformats-officedocument.drawingml.chart+xml"/>
  <Override PartName="/docProps/core.xml" ContentType="application/vnd.openxmlformats-package.core-properties+xml"/>
  <Override PartName="/xl/charts/chart20.xml" ContentType="application/vnd.openxmlformats-officedocument.drawingml.chart+xml"/>
  <Override PartName="/xl/charts/chart198.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ml.chartshapes+xml"/>
  <Override PartName="/xl/charts/chart187.xml" ContentType="application/vnd.openxmlformats-officedocument.drawingml.chart+xml"/>
  <Override PartName="/xl/ctrlProps/ctrlProp29.xml" ContentType="application/vnd.ms-excel.controlproperties+xml"/>
  <Override PartName="/xl/worksheets/sheet11.xml" ContentType="application/vnd.openxmlformats-officedocument.spreadsheetml.worksheet+xml"/>
  <Override PartName="/xl/charts/chart2.xml" ContentType="application/vnd.openxmlformats-officedocument.drawingml.chart+xml"/>
  <Override PartName="/xl/comments6.xml" ContentType="application/vnd.openxmlformats-officedocument.spreadsheetml.comments+xml"/>
  <Override PartName="/xl/charts/chart69.xml" ContentType="application/vnd.openxmlformats-officedocument.drawingml.chart+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Override PartName="/xl/ctrlProps/ctrlProp18.xml" ContentType="application/vnd.ms-excel.controlproperties+xml"/>
  <Default Extension="rels" ContentType="application/vnd.openxmlformats-package.relationships+xml"/>
  <Override PartName="/xl/drawings/drawing15.xml" ContentType="application/vnd.openxmlformats-officedocument.drawingml.chartshapes+xml"/>
  <Override PartName="/xl/drawings/drawing26.xml" ContentType="application/vnd.openxmlformats-officedocument.drawingml.chartshapes+xml"/>
  <Override PartName="/xl/charts/chart58.xml" ContentType="application/vnd.openxmlformats-officedocument.drawingml.chart+xml"/>
  <Override PartName="/xl/charts/chart107.xml" ContentType="application/vnd.openxmlformats-officedocument.drawingml.chart+xml"/>
  <Override PartName="/xl/charts/chart154.xml" ContentType="application/vnd.openxmlformats-officedocument.drawingml.chart+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charts/chart190.xml" ContentType="application/vnd.openxmlformats-officedocument.drawingml.chart+xml"/>
  <Override PartName="/xl/ctrlProps/ctrlProp32.xml" ContentType="application/vnd.ms-excel.controlproperties+xml"/>
  <Override PartName="/xl/ctrlProps/ctrlProp8.xml" ContentType="application/vnd.ms-excel.contro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14085" yWindow="195" windowWidth="13470" windowHeight="11760" tabRatio="781"/>
  </bookViews>
  <sheets>
    <sheet name="メイン" sheetId="2" r:id="rId1"/>
    <sheet name="結果(改修後)" sheetId="9" r:id="rId2"/>
    <sheet name="結果(改修前)" sheetId="10" r:id="rId3"/>
    <sheet name="改修前後の比較" sheetId="11" r:id="rId4"/>
    <sheet name="スコア入力" sheetId="4" r:id="rId5"/>
    <sheet name="スコア表示" sheetId="8" r:id="rId6"/>
    <sheet name="配慮" sheetId="3" r:id="rId7"/>
    <sheet name="係数" sheetId="53" r:id="rId8"/>
    <sheet name="計画書_後" sheetId="54" r:id="rId9"/>
    <sheet name="計画書_前" sheetId="59" r:id="rId10"/>
    <sheet name="計画書_対象外" sheetId="56" r:id="rId11"/>
    <sheet name="境界値" sheetId="57" r:id="rId12"/>
    <sheet name="CO2計算_後" sheetId="55" r:id="rId13"/>
    <sheet name="CO2計算_前" sheetId="60" r:id="rId14"/>
    <sheet name="CO2計算_対象外" sheetId="58" r:id="rId15"/>
    <sheet name="独自ｼｽﾃﾑ_改修前" sheetId="61" r:id="rId16"/>
    <sheet name="独自ｼｽﾃﾑ_改修後" sheetId="62" r:id="rId17"/>
    <sheet name="独自ｼｽﾃﾑ_改修前後の比較" sheetId="63" r:id="rId18"/>
    <sheet name="重み_後" sheetId="22" r:id="rId19"/>
    <sheet name="重み_前" sheetId="47" r:id="rId20"/>
    <sheet name="重み_対象外" sheetId="21" r:id="rId21"/>
    <sheet name="条件(標準)_後" sheetId="12" r:id="rId22"/>
    <sheet name="条件(標準)_前" sheetId="15" r:id="rId23"/>
    <sheet name="条件(個別)_後" sheetId="13" r:id="rId24"/>
    <sheet name="条件(個別)_前" sheetId="16" r:id="rId25"/>
    <sheet name="CO2データ" sheetId="33" r:id="rId26"/>
    <sheet name="クレジット" sheetId="23" r:id="rId27"/>
  </sheets>
  <definedNames>
    <definedName name="_xlnm.Print_Area" localSheetId="25">CO2データ!$A$1:$R$278</definedName>
    <definedName name="_xlnm.Print_Area" localSheetId="12">CO2計算_後!$B$1:$Z$179</definedName>
    <definedName name="_xlnm.Print_Area" localSheetId="13">CO2計算_前!$B$1:$Z$179</definedName>
    <definedName name="_xlnm.Print_Area" localSheetId="14">CO2計算_対象外!$B$1:$Z$178</definedName>
    <definedName name="_xlnm.Print_Area" localSheetId="26">クレジット!$A$1:$S$37</definedName>
    <definedName name="_xlnm.Print_Area" localSheetId="4">スコア入力!$A$2:$Z$181</definedName>
    <definedName name="_xlnm.Print_Area" localSheetId="5">スコア表示!$A$2:$V$181</definedName>
    <definedName name="_xlnm.Print_Area" localSheetId="0">メイン!$A$1:$K$71</definedName>
    <definedName name="_xlnm.Print_Area" localSheetId="3">改修前後の比較!$B$1:$O$89</definedName>
    <definedName name="_xlnm.Print_Area" localSheetId="7">係数!$A$1:$L$48</definedName>
    <definedName name="_xlnm.Print_Area" localSheetId="8">計画書_後!$1:$121</definedName>
    <definedName name="_xlnm.Print_Area" localSheetId="9">計画書_前!$1:$121</definedName>
    <definedName name="_xlnm.Print_Area" localSheetId="10">計画書_対象外!$1:$121</definedName>
    <definedName name="_xlnm.Print_Area" localSheetId="1">'結果(改修後)'!$A$1:$P$97</definedName>
    <definedName name="_xlnm.Print_Area" localSheetId="2">'結果(改修前)'!$A$1:$P$97</definedName>
    <definedName name="_xlnm.Print_Area" localSheetId="18">重み_後!$A$1:$AQ$181</definedName>
    <definedName name="_xlnm.Print_Area" localSheetId="19">重み_前!$A$1:$AF$181</definedName>
    <definedName name="_xlnm.Print_Area" localSheetId="20">重み_対象外!$A$1:$Z$181</definedName>
    <definedName name="_xlnm.Print_Area" localSheetId="16">独自ｼｽﾃﾑ_改修後!$A$1:$O$103</definedName>
    <definedName name="_xlnm.Print_Area" localSheetId="15">独自ｼｽﾃﾑ_改修前!$A$1:$O$103</definedName>
    <definedName name="_xlnm.Print_Area" localSheetId="17">独自ｼｽﾃﾑ_改修前後の比較!$A$1:$O$122</definedName>
    <definedName name="_xlnm.Print_Titles" localSheetId="18">重み_後!$5:$6</definedName>
    <definedName name="_xlnm.Print_Titles" localSheetId="19">重み_前!$5:$6</definedName>
    <definedName name="_xlnm.Print_Titles" localSheetId="20">重み_対象外!$5:$6</definedName>
    <definedName name="Z_047384A4_E844_4BB4_B522_1CE13C4699E4_.wvu.Cols" localSheetId="25" hidden="1">CO2データ!$G:$H,CO2データ!$S:$IV</definedName>
    <definedName name="Z_047384A4_E844_4BB4_B522_1CE13C4699E4_.wvu.Cols" localSheetId="12" hidden="1">CO2計算_後!$Q:$IV</definedName>
    <definedName name="Z_047384A4_E844_4BB4_B522_1CE13C4699E4_.wvu.Cols" localSheetId="13" hidden="1">CO2計算_前!$Q:$IV</definedName>
    <definedName name="Z_047384A4_E844_4BB4_B522_1CE13C4699E4_.wvu.Cols" localSheetId="14" hidden="1">CO2計算_対象外!$Q:$IV</definedName>
    <definedName name="Z_047384A4_E844_4BB4_B522_1CE13C4699E4_.wvu.Cols" localSheetId="19" hidden="1">重み_前!$Q:$Q,重み_前!$AY:$AY,重み_前!$BP:$BP,重み_前!$CF:$IV</definedName>
    <definedName name="Z_047384A4_E844_4BB4_B522_1CE13C4699E4_.wvu.PrintArea" localSheetId="25" hidden="1">CO2データ!$A$1:$R$278</definedName>
    <definedName name="Z_047384A4_E844_4BB4_B522_1CE13C4699E4_.wvu.PrintArea" localSheetId="12" hidden="1">CO2計算_後!$B$1:$Z$179</definedName>
    <definedName name="Z_047384A4_E844_4BB4_B522_1CE13C4699E4_.wvu.PrintArea" localSheetId="13" hidden="1">CO2計算_前!$B$1:$Z$179</definedName>
    <definedName name="Z_047384A4_E844_4BB4_B522_1CE13C4699E4_.wvu.PrintArea" localSheetId="14" hidden="1">CO2計算_対象外!$B$1:$Z$178</definedName>
    <definedName name="Z_047384A4_E844_4BB4_B522_1CE13C4699E4_.wvu.PrintArea" localSheetId="19" hidden="1">重み_前!$A$1:$CD$180</definedName>
    <definedName name="Z_047384A4_E844_4BB4_B522_1CE13C4699E4_.wvu.PrintTitles" localSheetId="19" hidden="1">重み_前!$5:$6</definedName>
    <definedName name="Z_047384A4_E844_4BB4_B522_1CE13C4699E4_.wvu.Rows" localSheetId="25" hidden="1">CO2データ!$280:$65552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$167:$167,CO2データ!$173:$173,CO2データ!$180:$180,CO2データ!#REF!,CO2データ!$270:$270,CO2データ!$279:$279</definedName>
    <definedName name="Z_047384A4_E844_4BB4_B522_1CE13C4699E4_.wvu.Rows" localSheetId="12" hidden="1">CO2計算_後!$175:$65539,CO2計算_後!$26:$99,CO2計算_後!$139:$174</definedName>
    <definedName name="Z_047384A4_E844_4BB4_B522_1CE13C4699E4_.wvu.Rows" localSheetId="13" hidden="1">CO2計算_前!$175:$65539,CO2計算_前!$26:$99,CO2計算_前!$139:$174</definedName>
    <definedName name="Z_047384A4_E844_4BB4_B522_1CE13C4699E4_.wvu.Rows" localSheetId="14" hidden="1">CO2計算_対象外!$174:$65538,CO2計算_対象外!$26:$99,CO2計算_対象外!$138:$173</definedName>
    <definedName name="Z_047384A4_E844_4BB4_B522_1CE13C4699E4_.wvu.Rows" localSheetId="19" hidden="1">重み_前!$219:$65540,重み_前!$32:$33,重み_前!$96:$96,重み_前!$115:$115,重み_前!$132:$132,重み_前!$182:$218</definedName>
  </definedNames>
  <calcPr calcId="125725"/>
</workbook>
</file>

<file path=xl/calcChain.xml><?xml version="1.0" encoding="utf-8"?>
<calcChain xmlns="http://schemas.openxmlformats.org/spreadsheetml/2006/main">
  <c r="H76" i="62"/>
  <c r="J9"/>
  <c r="D11" i="63"/>
  <c r="D9"/>
  <c r="D11" i="62"/>
  <c r="D9"/>
  <c r="J108" i="63" l="1"/>
  <c r="J107"/>
  <c r="I108"/>
  <c r="I107"/>
  <c r="R98"/>
  <c r="R97"/>
  <c r="R96"/>
  <c r="R95"/>
  <c r="R94"/>
  <c r="R93"/>
  <c r="Q98"/>
  <c r="Q97"/>
  <c r="Q96"/>
  <c r="Q95"/>
  <c r="Q94"/>
  <c r="Q93"/>
  <c r="L69" i="11" l="1"/>
  <c r="H69"/>
  <c r="B69"/>
  <c r="L69" i="10"/>
  <c r="H69"/>
  <c r="B69"/>
  <c r="L67" i="11"/>
  <c r="H67"/>
  <c r="B67"/>
  <c r="L67" i="10"/>
  <c r="H67"/>
  <c r="B67"/>
  <c r="L65" i="11"/>
  <c r="B65"/>
  <c r="L65" i="10"/>
  <c r="B65"/>
  <c r="L69" i="9"/>
  <c r="H69"/>
  <c r="B69"/>
  <c r="L67"/>
  <c r="H67"/>
  <c r="B67"/>
  <c r="L65"/>
  <c r="B65"/>
  <c r="J85" i="63" l="1"/>
  <c r="K85"/>
  <c r="R91"/>
  <c r="R90"/>
  <c r="R89"/>
  <c r="R87"/>
  <c r="Q91"/>
  <c r="Q90"/>
  <c r="Q89"/>
  <c r="Q88"/>
  <c r="Q87"/>
  <c r="K65" l="1"/>
  <c r="N65"/>
  <c r="J65"/>
  <c r="R68"/>
  <c r="R67"/>
  <c r="Q68"/>
  <c r="Q67"/>
  <c r="K46"/>
  <c r="N46"/>
  <c r="R50"/>
  <c r="R49"/>
  <c r="R48"/>
  <c r="Q50"/>
  <c r="Q49"/>
  <c r="Q48"/>
  <c r="J46"/>
  <c r="M48"/>
  <c r="N48"/>
  <c r="N91"/>
  <c r="M91"/>
  <c r="N90"/>
  <c r="M90"/>
  <c r="N89"/>
  <c r="M89"/>
  <c r="N88"/>
  <c r="M88"/>
  <c r="N87"/>
  <c r="M87"/>
  <c r="N68"/>
  <c r="M68"/>
  <c r="N67"/>
  <c r="M67"/>
  <c r="N50"/>
  <c r="M50"/>
  <c r="N49"/>
  <c r="M49"/>
  <c r="K12"/>
  <c r="K11"/>
  <c r="R88" l="1"/>
  <c r="N85" s="1"/>
  <c r="M85"/>
  <c r="M108"/>
  <c r="R106"/>
  <c r="Q106"/>
  <c r="M106"/>
  <c r="M96"/>
  <c r="M94"/>
  <c r="M65"/>
  <c r="M46"/>
  <c r="M81" i="62"/>
  <c r="M64"/>
  <c r="M45"/>
  <c r="Q86"/>
  <c r="Q85"/>
  <c r="Q84"/>
  <c r="Q83"/>
  <c r="Q82"/>
  <c r="Q66"/>
  <c r="Q65"/>
  <c r="Q48"/>
  <c r="Q47"/>
  <c r="Q46"/>
  <c r="N45" s="1"/>
  <c r="N81" l="1"/>
  <c r="N64"/>
  <c r="K12"/>
  <c r="K11"/>
  <c r="Q99" l="1"/>
  <c r="M99"/>
  <c r="M89"/>
  <c r="Q86" i="61"/>
  <c r="Q85"/>
  <c r="Q84"/>
  <c r="Q83"/>
  <c r="N81" s="1"/>
  <c r="Q82"/>
  <c r="M81"/>
  <c r="Q66"/>
  <c r="Q65"/>
  <c r="N64"/>
  <c r="Q48"/>
  <c r="Q47"/>
  <c r="Q46"/>
  <c r="N45" l="1"/>
  <c r="L68" i="11" l="1"/>
  <c r="H68"/>
  <c r="B68"/>
  <c r="L66"/>
  <c r="H66"/>
  <c r="B66"/>
  <c r="L68" i="10"/>
  <c r="H68"/>
  <c r="B68"/>
  <c r="L66"/>
  <c r="H66"/>
  <c r="B66"/>
  <c r="D11" i="61" l="1"/>
  <c r="D9"/>
  <c r="K12" l="1"/>
  <c r="K11"/>
  <c r="Q99" l="1"/>
  <c r="M99"/>
  <c r="M89"/>
  <c r="M64"/>
  <c r="M45"/>
  <c r="V4" i="56" l="1"/>
  <c r="V3"/>
  <c r="Z4"/>
  <c r="Z3"/>
  <c r="Z4" i="59"/>
  <c r="Z3"/>
  <c r="V4"/>
  <c r="V3"/>
  <c r="Z4" i="54"/>
  <c r="Z3"/>
  <c r="V4"/>
  <c r="V3"/>
  <c r="I95" i="33" l="1"/>
  <c r="S93" i="56" l="1"/>
  <c r="S78" i="59"/>
  <c r="E76" i="16"/>
  <c r="E75"/>
  <c r="E82"/>
  <c r="E81"/>
  <c r="H76"/>
  <c r="H75"/>
  <c r="H74"/>
  <c r="E86" i="13"/>
  <c r="H76"/>
  <c r="E76"/>
  <c r="H75"/>
  <c r="E75"/>
  <c r="E77" i="16" l="1"/>
  <c r="I96" i="33" l="1"/>
  <c r="O95"/>
  <c r="E81" i="13"/>
  <c r="E87"/>
  <c r="H74"/>
  <c r="F58" i="16"/>
  <c r="F58" i="13"/>
  <c r="E87" i="16"/>
  <c r="E86"/>
  <c r="E82" i="13" l="1"/>
  <c r="E77"/>
  <c r="S112" i="4" l="1"/>
  <c r="L134"/>
  <c r="C15" i="47"/>
  <c r="P10"/>
  <c r="B10" s="1"/>
  <c r="Q10"/>
  <c r="R10"/>
  <c r="C10" s="1"/>
  <c r="S10"/>
  <c r="T10"/>
  <c r="U10"/>
  <c r="V10"/>
  <c r="W10"/>
  <c r="X10"/>
  <c r="Y10"/>
  <c r="Z10"/>
  <c r="AA10"/>
  <c r="AB10"/>
  <c r="AC10"/>
  <c r="AD10"/>
  <c r="AE10"/>
  <c r="K11"/>
  <c r="L11"/>
  <c r="P11"/>
  <c r="B11" s="1"/>
  <c r="Q11"/>
  <c r="R11"/>
  <c r="C11" s="1"/>
  <c r="S11"/>
  <c r="T11"/>
  <c r="U11"/>
  <c r="V11"/>
  <c r="W11"/>
  <c r="X11"/>
  <c r="Y11"/>
  <c r="Z11"/>
  <c r="AA11"/>
  <c r="AB11"/>
  <c r="AC11"/>
  <c r="AD11"/>
  <c r="AE11"/>
  <c r="C12" l="1"/>
  <c r="B14"/>
  <c r="C14"/>
  <c r="B15"/>
  <c r="B16"/>
  <c r="C16"/>
  <c r="B17"/>
  <c r="C17"/>
  <c r="B18"/>
  <c r="C18"/>
  <c r="B19"/>
  <c r="C19"/>
  <c r="B20"/>
  <c r="C20"/>
  <c r="B21"/>
  <c r="C21"/>
  <c r="B22"/>
  <c r="C22"/>
  <c r="B24"/>
  <c r="C24"/>
  <c r="B25"/>
  <c r="C25"/>
  <c r="B30"/>
  <c r="C30"/>
  <c r="B31"/>
  <c r="C31"/>
  <c r="B32"/>
  <c r="C32"/>
  <c r="B33"/>
  <c r="C33"/>
  <c r="B34"/>
  <c r="C34"/>
  <c r="B35"/>
  <c r="C35"/>
  <c r="B36"/>
  <c r="C36"/>
  <c r="B37"/>
  <c r="C37"/>
  <c r="B38"/>
  <c r="C38"/>
  <c r="B39"/>
  <c r="C39"/>
  <c r="B40"/>
  <c r="C40"/>
  <c r="B41"/>
  <c r="C41"/>
  <c r="C42"/>
  <c r="B43"/>
  <c r="C43"/>
  <c r="B46"/>
  <c r="C46"/>
  <c r="B47"/>
  <c r="C47"/>
  <c r="B48"/>
  <c r="C48"/>
  <c r="B49"/>
  <c r="C49"/>
  <c r="B50"/>
  <c r="C50"/>
  <c r="B53"/>
  <c r="C53"/>
  <c r="B54"/>
  <c r="C54"/>
  <c r="B55"/>
  <c r="C55"/>
  <c r="B56"/>
  <c r="C56"/>
  <c r="B58"/>
  <c r="C58"/>
  <c r="B59"/>
  <c r="C59"/>
  <c r="B60"/>
  <c r="C60"/>
  <c r="D12"/>
  <c r="E12"/>
  <c r="P12"/>
  <c r="B12" s="1"/>
  <c r="Q12"/>
  <c r="R12"/>
  <c r="S12"/>
  <c r="T12"/>
  <c r="U12"/>
  <c r="V12"/>
  <c r="W12"/>
  <c r="X12"/>
  <c r="Y12"/>
  <c r="Z12"/>
  <c r="AA12"/>
  <c r="AB12"/>
  <c r="AC12"/>
  <c r="AD12"/>
  <c r="AE12"/>
  <c r="D13"/>
  <c r="E13"/>
  <c r="P13"/>
  <c r="B13" s="1"/>
  <c r="Q13"/>
  <c r="R13"/>
  <c r="C13" s="1"/>
  <c r="S13"/>
  <c r="T13"/>
  <c r="U13"/>
  <c r="V13"/>
  <c r="W13"/>
  <c r="X13"/>
  <c r="Y13"/>
  <c r="Z13"/>
  <c r="AA13"/>
  <c r="AB13"/>
  <c r="AC13"/>
  <c r="AD13"/>
  <c r="AE13"/>
  <c r="B11" i="21"/>
  <c r="C11"/>
  <c r="B12"/>
  <c r="C12"/>
  <c r="B10"/>
  <c r="C10"/>
  <c r="B9"/>
  <c r="C9"/>
  <c r="B13"/>
  <c r="C13"/>
  <c r="B14"/>
  <c r="C14"/>
  <c r="B15"/>
  <c r="C15"/>
  <c r="B16"/>
  <c r="C16"/>
  <c r="B17"/>
  <c r="C17"/>
  <c r="B18"/>
  <c r="C18"/>
  <c r="B19"/>
  <c r="C19"/>
  <c r="B20"/>
  <c r="C20"/>
  <c r="B21"/>
  <c r="C21"/>
  <c r="B22"/>
  <c r="C22"/>
  <c r="B23"/>
  <c r="C23"/>
  <c r="B24"/>
  <c r="C24"/>
  <c r="B25"/>
  <c r="C25"/>
  <c r="B26"/>
  <c r="C26"/>
  <c r="B27"/>
  <c r="C27"/>
  <c r="B28"/>
  <c r="C28"/>
  <c r="B29"/>
  <c r="C29"/>
  <c r="B30"/>
  <c r="C30"/>
  <c r="B31"/>
  <c r="C31"/>
  <c r="B32"/>
  <c r="C32"/>
  <c r="B33"/>
  <c r="C33"/>
  <c r="B34"/>
  <c r="C34"/>
  <c r="B35"/>
  <c r="C35"/>
  <c r="B36"/>
  <c r="C36"/>
  <c r="B37"/>
  <c r="C37"/>
  <c r="B38"/>
  <c r="C38"/>
  <c r="B39"/>
  <c r="C39"/>
  <c r="B40"/>
  <c r="C40"/>
  <c r="B41"/>
  <c r="C41"/>
  <c r="B42"/>
  <c r="C42"/>
  <c r="B43"/>
  <c r="C43"/>
  <c r="B44"/>
  <c r="C44"/>
  <c r="B45"/>
  <c r="C45"/>
  <c r="B46"/>
  <c r="C46"/>
  <c r="B47"/>
  <c r="C47"/>
  <c r="B48"/>
  <c r="C48"/>
  <c r="B49"/>
  <c r="C49"/>
  <c r="B50"/>
  <c r="C50"/>
  <c r="B51"/>
  <c r="C51"/>
  <c r="B52"/>
  <c r="C52"/>
  <c r="B53"/>
  <c r="C53"/>
  <c r="B54"/>
  <c r="C54"/>
  <c r="B55"/>
  <c r="C55"/>
  <c r="B56"/>
  <c r="C56"/>
  <c r="B57"/>
  <c r="C57"/>
  <c r="L121" i="4" l="1"/>
  <c r="L120"/>
  <c r="L132"/>
  <c r="L126"/>
  <c r="L125"/>
  <c r="L14"/>
  <c r="L137"/>
  <c r="L169"/>
  <c r="L161"/>
  <c r="L146"/>
  <c r="L143"/>
  <c r="L141" s="1"/>
  <c r="W11" i="8"/>
  <c r="AF12"/>
  <c r="AK11"/>
  <c r="AJ11"/>
  <c r="AG11"/>
  <c r="AF11"/>
  <c r="F88" i="53" l="1"/>
  <c r="D88"/>
  <c r="F87"/>
  <c r="D87"/>
  <c r="F86"/>
  <c r="D86"/>
  <c r="F85"/>
  <c r="D85"/>
  <c r="F84"/>
  <c r="D84"/>
  <c r="F83"/>
  <c r="D83"/>
  <c r="F82"/>
  <c r="D82"/>
  <c r="F81"/>
  <c r="D81"/>
  <c r="F80"/>
  <c r="D80"/>
  <c r="F79"/>
  <c r="D79"/>
  <c r="F78"/>
  <c r="D78"/>
  <c r="F77"/>
  <c r="D77"/>
  <c r="F76"/>
  <c r="D76"/>
  <c r="F75"/>
  <c r="D75"/>
  <c r="F74"/>
  <c r="D74"/>
  <c r="F73"/>
  <c r="D73"/>
  <c r="F72"/>
  <c r="D72"/>
  <c r="F71"/>
  <c r="D71"/>
  <c r="F70"/>
  <c r="D70"/>
  <c r="F69"/>
  <c r="D69"/>
  <c r="F68"/>
  <c r="D68"/>
  <c r="F67"/>
  <c r="D67"/>
  <c r="F66"/>
  <c r="D66"/>
  <c r="F65"/>
  <c r="D65"/>
  <c r="F64"/>
  <c r="D64"/>
  <c r="F63"/>
  <c r="D63"/>
  <c r="F62"/>
  <c r="D62"/>
  <c r="F61"/>
  <c r="D61"/>
  <c r="F60"/>
  <c r="D60"/>
  <c r="F59"/>
  <c r="D59"/>
  <c r="F58"/>
  <c r="D58"/>
  <c r="F57"/>
  <c r="D57"/>
  <c r="F56"/>
  <c r="D56"/>
  <c r="F55"/>
  <c r="D55"/>
  <c r="F54"/>
  <c r="D54"/>
  <c r="F53"/>
  <c r="D53"/>
  <c r="F52"/>
  <c r="D52"/>
  <c r="F51"/>
  <c r="D51"/>
  <c r="F50"/>
  <c r="D50"/>
  <c r="F49"/>
  <c r="D49"/>
  <c r="J46"/>
  <c r="I46"/>
  <c r="J44"/>
  <c r="I44"/>
  <c r="J43"/>
  <c r="I43"/>
  <c r="J42"/>
  <c r="I42"/>
  <c r="J41"/>
  <c r="I41"/>
  <c r="J40"/>
  <c r="I40"/>
  <c r="J39"/>
  <c r="I39"/>
  <c r="J38"/>
  <c r="I38"/>
  <c r="J37"/>
  <c r="I37"/>
  <c r="J36"/>
  <c r="I36"/>
  <c r="J35"/>
  <c r="I35"/>
  <c r="J34"/>
  <c r="I34"/>
  <c r="J33"/>
  <c r="I33"/>
  <c r="J32"/>
  <c r="I32"/>
  <c r="J31"/>
  <c r="I31"/>
  <c r="J30"/>
  <c r="I30"/>
  <c r="J29"/>
  <c r="I29"/>
  <c r="J28"/>
  <c r="I28"/>
  <c r="J27"/>
  <c r="I27"/>
  <c r="J26"/>
  <c r="I26"/>
  <c r="J25"/>
  <c r="I25"/>
  <c r="J24"/>
  <c r="I24"/>
  <c r="J23"/>
  <c r="I23"/>
  <c r="J22"/>
  <c r="I22"/>
  <c r="J21"/>
  <c r="I21"/>
  <c r="J20"/>
  <c r="I20"/>
  <c r="J19"/>
  <c r="I19"/>
  <c r="J18"/>
  <c r="I18"/>
  <c r="J17"/>
  <c r="I17"/>
  <c r="J16"/>
  <c r="I16"/>
  <c r="J15"/>
  <c r="I15"/>
  <c r="J14"/>
  <c r="I14"/>
  <c r="J13"/>
  <c r="I13"/>
  <c r="J12"/>
  <c r="I12"/>
  <c r="J11"/>
  <c r="I11"/>
  <c r="J10"/>
  <c r="I10"/>
  <c r="J9"/>
  <c r="I9"/>
  <c r="J8"/>
  <c r="I8"/>
  <c r="J7"/>
  <c r="I7"/>
  <c r="J6"/>
  <c r="I6"/>
  <c r="H14" i="57"/>
  <c r="N29" i="59"/>
  <c r="I53" s="1"/>
  <c r="M29"/>
  <c r="N29" i="56"/>
  <c r="I55" s="1"/>
  <c r="M29"/>
  <c r="G12" i="54"/>
  <c r="G12" i="56"/>
  <c r="G12" i="59"/>
  <c r="I52" i="56" l="1"/>
  <c r="I54"/>
  <c r="I56"/>
  <c r="M14"/>
  <c r="I53"/>
  <c r="I56" i="59"/>
  <c r="I55"/>
  <c r="M14"/>
  <c r="I54"/>
  <c r="I52"/>
  <c r="F20" i="58" l="1"/>
  <c r="O111" s="1"/>
  <c r="F20" i="60"/>
  <c r="J109" s="1"/>
  <c r="P24" i="2"/>
  <c r="N24"/>
  <c r="F20" i="55"/>
  <c r="O111"/>
  <c r="O110"/>
  <c r="O109"/>
  <c r="O108"/>
  <c r="O107"/>
  <c r="O106"/>
  <c r="O105"/>
  <c r="O104"/>
  <c r="O103"/>
  <c r="O109" i="58"/>
  <c r="O108"/>
  <c r="O105"/>
  <c r="O104"/>
  <c r="J111" i="55"/>
  <c r="I111"/>
  <c r="H111"/>
  <c r="J110"/>
  <c r="I110"/>
  <c r="H110"/>
  <c r="J109"/>
  <c r="I109"/>
  <c r="H109"/>
  <c r="J108"/>
  <c r="I108"/>
  <c r="H108"/>
  <c r="J107"/>
  <c r="I107"/>
  <c r="H107"/>
  <c r="J106"/>
  <c r="I106"/>
  <c r="H106"/>
  <c r="J105"/>
  <c r="I105"/>
  <c r="H105"/>
  <c r="J104"/>
  <c r="I104"/>
  <c r="H104"/>
  <c r="J103"/>
  <c r="I103"/>
  <c r="H103"/>
  <c r="H111" i="58"/>
  <c r="J110"/>
  <c r="J109"/>
  <c r="I109"/>
  <c r="I108"/>
  <c r="H108"/>
  <c r="H107"/>
  <c r="J106"/>
  <c r="J105"/>
  <c r="I105"/>
  <c r="I104"/>
  <c r="H104"/>
  <c r="H103"/>
  <c r="O18" i="55"/>
  <c r="O17"/>
  <c r="O16"/>
  <c r="O15"/>
  <c r="O14"/>
  <c r="O13"/>
  <c r="O12"/>
  <c r="O11"/>
  <c r="O10"/>
  <c r="O16" i="58"/>
  <c r="O15"/>
  <c r="O12"/>
  <c r="O11"/>
  <c r="J111" i="60"/>
  <c r="J108"/>
  <c r="J106"/>
  <c r="J103"/>
  <c r="O17"/>
  <c r="O13"/>
  <c r="O10"/>
  <c r="O11" l="1"/>
  <c r="O15"/>
  <c r="I111"/>
  <c r="J104"/>
  <c r="J107"/>
  <c r="J110"/>
  <c r="O13" i="58"/>
  <c r="O17"/>
  <c r="I103"/>
  <c r="J104"/>
  <c r="H106"/>
  <c r="I107"/>
  <c r="J108"/>
  <c r="H110"/>
  <c r="I111"/>
  <c r="O106"/>
  <c r="O110"/>
  <c r="O10"/>
  <c r="O14"/>
  <c r="O18"/>
  <c r="J103"/>
  <c r="H105"/>
  <c r="I106"/>
  <c r="J107"/>
  <c r="H109"/>
  <c r="I110"/>
  <c r="J111"/>
  <c r="O103"/>
  <c r="O107"/>
  <c r="O12" i="60"/>
  <c r="O14"/>
  <c r="O16"/>
  <c r="O18"/>
  <c r="J105"/>
  <c r="O103"/>
  <c r="O104"/>
  <c r="O105"/>
  <c r="O106"/>
  <c r="O107"/>
  <c r="O108"/>
  <c r="O109"/>
  <c r="O110"/>
  <c r="O111"/>
  <c r="H103"/>
  <c r="H104"/>
  <c r="H105"/>
  <c r="H106"/>
  <c r="H107"/>
  <c r="H108"/>
  <c r="H109"/>
  <c r="H110"/>
  <c r="H111"/>
  <c r="I103"/>
  <c r="I104"/>
  <c r="I105"/>
  <c r="I106"/>
  <c r="I107"/>
  <c r="I108"/>
  <c r="I109"/>
  <c r="I110"/>
  <c r="Q112" i="56" l="1"/>
  <c r="N112"/>
  <c r="I121" i="58" s="1"/>
  <c r="I127" s="1"/>
  <c r="N108" i="56"/>
  <c r="I120" i="58" s="1"/>
  <c r="Q112" i="59"/>
  <c r="N112"/>
  <c r="I121" i="60" s="1"/>
  <c r="N108" i="59"/>
  <c r="J91" i="60"/>
  <c r="I91"/>
  <c r="H91"/>
  <c r="J90"/>
  <c r="I90"/>
  <c r="H90"/>
  <c r="J89"/>
  <c r="I89"/>
  <c r="H89"/>
  <c r="J88"/>
  <c r="I88"/>
  <c r="H88"/>
  <c r="J87"/>
  <c r="I87"/>
  <c r="H87"/>
  <c r="J86"/>
  <c r="I86"/>
  <c r="H86"/>
  <c r="J85"/>
  <c r="I85"/>
  <c r="H85"/>
  <c r="J84"/>
  <c r="I84"/>
  <c r="H84"/>
  <c r="J83"/>
  <c r="I83"/>
  <c r="H83"/>
  <c r="J82"/>
  <c r="I82"/>
  <c r="H82"/>
  <c r="J81"/>
  <c r="I81"/>
  <c r="H81"/>
  <c r="J80"/>
  <c r="I80"/>
  <c r="H80"/>
  <c r="J79"/>
  <c r="I79"/>
  <c r="H79"/>
  <c r="J78"/>
  <c r="I78"/>
  <c r="H78"/>
  <c r="J77"/>
  <c r="I77"/>
  <c r="H77"/>
  <c r="J76"/>
  <c r="I76"/>
  <c r="H76"/>
  <c r="J75"/>
  <c r="I75"/>
  <c r="H75"/>
  <c r="J74"/>
  <c r="I74"/>
  <c r="H74"/>
  <c r="J73"/>
  <c r="I73"/>
  <c r="H73"/>
  <c r="J72"/>
  <c r="I72"/>
  <c r="H72"/>
  <c r="J71"/>
  <c r="I71"/>
  <c r="H71"/>
  <c r="J70"/>
  <c r="I70"/>
  <c r="H70"/>
  <c r="J69"/>
  <c r="I69"/>
  <c r="H69"/>
  <c r="J68"/>
  <c r="I68"/>
  <c r="H68"/>
  <c r="J67"/>
  <c r="I67"/>
  <c r="H67"/>
  <c r="J66"/>
  <c r="I66"/>
  <c r="H66"/>
  <c r="J65"/>
  <c r="I65"/>
  <c r="H65"/>
  <c r="J64"/>
  <c r="I64"/>
  <c r="H64"/>
  <c r="J63"/>
  <c r="I63"/>
  <c r="H63"/>
  <c r="J62"/>
  <c r="I62"/>
  <c r="H62"/>
  <c r="J61"/>
  <c r="I61"/>
  <c r="H61"/>
  <c r="J60"/>
  <c r="I60"/>
  <c r="H60"/>
  <c r="J59"/>
  <c r="I59"/>
  <c r="H59"/>
  <c r="J58"/>
  <c r="I58"/>
  <c r="H58"/>
  <c r="J57"/>
  <c r="I57"/>
  <c r="H57"/>
  <c r="J56"/>
  <c r="I56"/>
  <c r="H56"/>
  <c r="J55"/>
  <c r="I55"/>
  <c r="H55"/>
  <c r="J54"/>
  <c r="I54"/>
  <c r="H54"/>
  <c r="J53"/>
  <c r="I53"/>
  <c r="H53"/>
  <c r="J52"/>
  <c r="I52"/>
  <c r="H52"/>
  <c r="J51"/>
  <c r="I51"/>
  <c r="H51"/>
  <c r="J50"/>
  <c r="I50"/>
  <c r="H50"/>
  <c r="J49"/>
  <c r="I49"/>
  <c r="H49"/>
  <c r="J48"/>
  <c r="I48"/>
  <c r="H48"/>
  <c r="J47"/>
  <c r="I47"/>
  <c r="H47"/>
  <c r="J46"/>
  <c r="I46"/>
  <c r="H46"/>
  <c r="J45"/>
  <c r="I45"/>
  <c r="H45"/>
  <c r="J44"/>
  <c r="I44"/>
  <c r="H44"/>
  <c r="J43"/>
  <c r="I43"/>
  <c r="H43"/>
  <c r="J42"/>
  <c r="I42"/>
  <c r="H42"/>
  <c r="J41"/>
  <c r="I41"/>
  <c r="H41"/>
  <c r="J40"/>
  <c r="I40"/>
  <c r="H40"/>
  <c r="J39"/>
  <c r="I39"/>
  <c r="H39"/>
  <c r="J38"/>
  <c r="I38"/>
  <c r="H38"/>
  <c r="J34"/>
  <c r="I34"/>
  <c r="H34"/>
  <c r="J33"/>
  <c r="I33"/>
  <c r="H33"/>
  <c r="J32"/>
  <c r="I32"/>
  <c r="H32"/>
  <c r="J31"/>
  <c r="I31"/>
  <c r="H31"/>
  <c r="J30"/>
  <c r="I30"/>
  <c r="H30"/>
  <c r="J29"/>
  <c r="I29"/>
  <c r="H29"/>
  <c r="J28"/>
  <c r="I28"/>
  <c r="H28"/>
  <c r="J27"/>
  <c r="I27"/>
  <c r="H27"/>
  <c r="J26"/>
  <c r="I26"/>
  <c r="H26"/>
  <c r="J91" i="58"/>
  <c r="I91"/>
  <c r="H91"/>
  <c r="J90"/>
  <c r="I90"/>
  <c r="H90"/>
  <c r="J89"/>
  <c r="I89"/>
  <c r="H89"/>
  <c r="J88"/>
  <c r="I88"/>
  <c r="H88"/>
  <c r="J87"/>
  <c r="I87"/>
  <c r="H87"/>
  <c r="J86"/>
  <c r="I86"/>
  <c r="H86"/>
  <c r="J85"/>
  <c r="I85"/>
  <c r="H85"/>
  <c r="J84"/>
  <c r="I84"/>
  <c r="H84"/>
  <c r="J83"/>
  <c r="I83"/>
  <c r="H83"/>
  <c r="J82"/>
  <c r="I82"/>
  <c r="H82"/>
  <c r="J81"/>
  <c r="I81"/>
  <c r="H81"/>
  <c r="J80"/>
  <c r="I80"/>
  <c r="H80"/>
  <c r="J79"/>
  <c r="I79"/>
  <c r="H79"/>
  <c r="J78"/>
  <c r="I78"/>
  <c r="H78"/>
  <c r="J77"/>
  <c r="I77"/>
  <c r="H77"/>
  <c r="J76"/>
  <c r="I76"/>
  <c r="H76"/>
  <c r="J75"/>
  <c r="I75"/>
  <c r="H75"/>
  <c r="J74"/>
  <c r="I74"/>
  <c r="H74"/>
  <c r="J73"/>
  <c r="I73"/>
  <c r="H73"/>
  <c r="J72"/>
  <c r="I72"/>
  <c r="H72"/>
  <c r="J71"/>
  <c r="I71"/>
  <c r="H71"/>
  <c r="J70"/>
  <c r="I70"/>
  <c r="H70"/>
  <c r="J69"/>
  <c r="I69"/>
  <c r="H69"/>
  <c r="J68"/>
  <c r="I68"/>
  <c r="H68"/>
  <c r="J67"/>
  <c r="I67"/>
  <c r="H67"/>
  <c r="J66"/>
  <c r="I66"/>
  <c r="H66"/>
  <c r="J65"/>
  <c r="I65"/>
  <c r="H65"/>
  <c r="J64"/>
  <c r="I64"/>
  <c r="H64"/>
  <c r="J63"/>
  <c r="I63"/>
  <c r="H63"/>
  <c r="J62"/>
  <c r="I62"/>
  <c r="H62"/>
  <c r="J61"/>
  <c r="I61"/>
  <c r="H61"/>
  <c r="J60"/>
  <c r="I60"/>
  <c r="H60"/>
  <c r="J59"/>
  <c r="I59"/>
  <c r="H59"/>
  <c r="J58"/>
  <c r="I58"/>
  <c r="H58"/>
  <c r="J57"/>
  <c r="I57"/>
  <c r="H57"/>
  <c r="J56"/>
  <c r="I56"/>
  <c r="H56"/>
  <c r="J55"/>
  <c r="I55"/>
  <c r="H55"/>
  <c r="J54"/>
  <c r="I54"/>
  <c r="H54"/>
  <c r="J53"/>
  <c r="I53"/>
  <c r="H53"/>
  <c r="J52"/>
  <c r="I52"/>
  <c r="H52"/>
  <c r="J51"/>
  <c r="I51"/>
  <c r="H51"/>
  <c r="J50"/>
  <c r="I50"/>
  <c r="H50"/>
  <c r="J49"/>
  <c r="I49"/>
  <c r="H49"/>
  <c r="J48"/>
  <c r="I48"/>
  <c r="H48"/>
  <c r="J47"/>
  <c r="I47"/>
  <c r="H47"/>
  <c r="J46"/>
  <c r="I46"/>
  <c r="H46"/>
  <c r="J45"/>
  <c r="I45"/>
  <c r="H45"/>
  <c r="J44"/>
  <c r="I44"/>
  <c r="H44"/>
  <c r="J43"/>
  <c r="I43"/>
  <c r="H43"/>
  <c r="J42"/>
  <c r="I42"/>
  <c r="H42"/>
  <c r="J41"/>
  <c r="I41"/>
  <c r="H41"/>
  <c r="J40"/>
  <c r="I40"/>
  <c r="H40"/>
  <c r="J39"/>
  <c r="I39"/>
  <c r="H39"/>
  <c r="J38"/>
  <c r="I38"/>
  <c r="H38"/>
  <c r="J34"/>
  <c r="I34"/>
  <c r="H34"/>
  <c r="J33"/>
  <c r="I33"/>
  <c r="H33"/>
  <c r="J32"/>
  <c r="I32"/>
  <c r="H32"/>
  <c r="J31"/>
  <c r="I31"/>
  <c r="H31"/>
  <c r="J30"/>
  <c r="I30"/>
  <c r="H30"/>
  <c r="J29"/>
  <c r="I29"/>
  <c r="H29"/>
  <c r="J28"/>
  <c r="I28"/>
  <c r="H28"/>
  <c r="J27"/>
  <c r="I27"/>
  <c r="H27"/>
  <c r="J26"/>
  <c r="I26"/>
  <c r="H26"/>
  <c r="H43" i="55"/>
  <c r="I43"/>
  <c r="J43"/>
  <c r="H44"/>
  <c r="I44"/>
  <c r="J44"/>
  <c r="H45"/>
  <c r="I45"/>
  <c r="J45"/>
  <c r="H46"/>
  <c r="I46"/>
  <c r="J46"/>
  <c r="H47"/>
  <c r="I47"/>
  <c r="J47"/>
  <c r="H48"/>
  <c r="I48"/>
  <c r="J48"/>
  <c r="H49"/>
  <c r="I49"/>
  <c r="J49"/>
  <c r="H50"/>
  <c r="I50"/>
  <c r="J50"/>
  <c r="H51"/>
  <c r="I51"/>
  <c r="J51"/>
  <c r="H52"/>
  <c r="I52"/>
  <c r="J52"/>
  <c r="H53"/>
  <c r="I53"/>
  <c r="J53"/>
  <c r="H54"/>
  <c r="I54"/>
  <c r="J54"/>
  <c r="H55"/>
  <c r="I55"/>
  <c r="J55"/>
  <c r="H56"/>
  <c r="I56"/>
  <c r="J56"/>
  <c r="H57"/>
  <c r="I57"/>
  <c r="J57"/>
  <c r="H58"/>
  <c r="I58"/>
  <c r="J58"/>
  <c r="H59"/>
  <c r="I59"/>
  <c r="J59"/>
  <c r="H60"/>
  <c r="I60"/>
  <c r="J60"/>
  <c r="H61"/>
  <c r="I61"/>
  <c r="J61"/>
  <c r="H62"/>
  <c r="I62"/>
  <c r="J62"/>
  <c r="H63"/>
  <c r="I63"/>
  <c r="J63"/>
  <c r="H64"/>
  <c r="I64"/>
  <c r="J64"/>
  <c r="H65"/>
  <c r="I65"/>
  <c r="J65"/>
  <c r="H66"/>
  <c r="I66"/>
  <c r="J66"/>
  <c r="H67"/>
  <c r="I67"/>
  <c r="J67"/>
  <c r="H68"/>
  <c r="I68"/>
  <c r="J68"/>
  <c r="H69"/>
  <c r="I69"/>
  <c r="J69"/>
  <c r="H70"/>
  <c r="I70"/>
  <c r="J70"/>
  <c r="H71"/>
  <c r="I71"/>
  <c r="J71"/>
  <c r="H72"/>
  <c r="I72"/>
  <c r="J72"/>
  <c r="H73"/>
  <c r="I73"/>
  <c r="J73"/>
  <c r="H74"/>
  <c r="I74"/>
  <c r="J74"/>
  <c r="H75"/>
  <c r="I75"/>
  <c r="J75"/>
  <c r="H76"/>
  <c r="I76"/>
  <c r="J76"/>
  <c r="H77"/>
  <c r="I77"/>
  <c r="J77"/>
  <c r="H78"/>
  <c r="I78"/>
  <c r="J78"/>
  <c r="H79"/>
  <c r="I79"/>
  <c r="J79"/>
  <c r="H80"/>
  <c r="I80"/>
  <c r="J80"/>
  <c r="H81"/>
  <c r="I81"/>
  <c r="J81"/>
  <c r="H82"/>
  <c r="I82"/>
  <c r="J82"/>
  <c r="H83"/>
  <c r="I83"/>
  <c r="J83"/>
  <c r="H84"/>
  <c r="I84"/>
  <c r="J84"/>
  <c r="H85"/>
  <c r="I85"/>
  <c r="J85"/>
  <c r="H86"/>
  <c r="I86"/>
  <c r="J86"/>
  <c r="H87"/>
  <c r="I87"/>
  <c r="J87"/>
  <c r="H88"/>
  <c r="I88"/>
  <c r="J88"/>
  <c r="H89"/>
  <c r="I89"/>
  <c r="J89"/>
  <c r="H90"/>
  <c r="I90"/>
  <c r="J90"/>
  <c r="H91"/>
  <c r="I91"/>
  <c r="J91"/>
  <c r="H41"/>
  <c r="I41"/>
  <c r="J41"/>
  <c r="H42"/>
  <c r="I42"/>
  <c r="J42"/>
  <c r="H40"/>
  <c r="I40"/>
  <c r="J40"/>
  <c r="H39"/>
  <c r="I39"/>
  <c r="J39"/>
  <c r="I38"/>
  <c r="J38"/>
  <c r="H38"/>
  <c r="H27"/>
  <c r="I27"/>
  <c r="J27"/>
  <c r="H28"/>
  <c r="I28"/>
  <c r="J28"/>
  <c r="H29"/>
  <c r="I29"/>
  <c r="J29"/>
  <c r="H30"/>
  <c r="I30"/>
  <c r="J30"/>
  <c r="H31"/>
  <c r="I31"/>
  <c r="J31"/>
  <c r="H32"/>
  <c r="I32"/>
  <c r="J32"/>
  <c r="H33"/>
  <c r="I33"/>
  <c r="J33"/>
  <c r="H34"/>
  <c r="I34"/>
  <c r="J34"/>
  <c r="I26"/>
  <c r="J26"/>
  <c r="H26"/>
  <c r="I127" i="60" l="1"/>
  <c r="M101" i="54" l="1"/>
  <c r="M100"/>
  <c r="M101" i="56"/>
  <c r="M100"/>
  <c r="M101" i="59"/>
  <c r="M100"/>
  <c r="AK121" i="8"/>
  <c r="AJ121"/>
  <c r="AG121"/>
  <c r="AF121"/>
  <c r="AK120"/>
  <c r="AJ120"/>
  <c r="AG120"/>
  <c r="AF120"/>
  <c r="V121" i="4"/>
  <c r="T121"/>
  <c r="R121"/>
  <c r="Q121"/>
  <c r="O121"/>
  <c r="M121"/>
  <c r="K135" i="47"/>
  <c r="L135"/>
  <c r="K136"/>
  <c r="L136"/>
  <c r="K138"/>
  <c r="L138"/>
  <c r="K139"/>
  <c r="L139"/>
  <c r="P135"/>
  <c r="B135" s="1"/>
  <c r="Q135"/>
  <c r="R135"/>
  <c r="S135"/>
  <c r="T135"/>
  <c r="U135"/>
  <c r="V135"/>
  <c r="W135"/>
  <c r="X135"/>
  <c r="Y135"/>
  <c r="Z135"/>
  <c r="AA135"/>
  <c r="AB135"/>
  <c r="P136"/>
  <c r="Q136"/>
  <c r="R136"/>
  <c r="S136"/>
  <c r="T136"/>
  <c r="U136"/>
  <c r="V136"/>
  <c r="W136"/>
  <c r="X136"/>
  <c r="Y136"/>
  <c r="Z136"/>
  <c r="AA136"/>
  <c r="AB136"/>
  <c r="P137"/>
  <c r="B137" s="1"/>
  <c r="Q137"/>
  <c r="R137"/>
  <c r="C137" s="1"/>
  <c r="S137"/>
  <c r="T137"/>
  <c r="U137"/>
  <c r="V137"/>
  <c r="W137"/>
  <c r="X137"/>
  <c r="Y137"/>
  <c r="Z137"/>
  <c r="AA137"/>
  <c r="AB137"/>
  <c r="P138"/>
  <c r="Q138"/>
  <c r="R138"/>
  <c r="S138"/>
  <c r="T138"/>
  <c r="U138"/>
  <c r="V138"/>
  <c r="W138"/>
  <c r="X138"/>
  <c r="Y138"/>
  <c r="Z138"/>
  <c r="AA138"/>
  <c r="AB138"/>
  <c r="P139"/>
  <c r="B139" s="1"/>
  <c r="Q139"/>
  <c r="R139"/>
  <c r="S139"/>
  <c r="T139"/>
  <c r="U139"/>
  <c r="V139"/>
  <c r="W139"/>
  <c r="X139"/>
  <c r="Y139"/>
  <c r="Z139"/>
  <c r="AA139"/>
  <c r="AB139"/>
  <c r="C135"/>
  <c r="B136"/>
  <c r="C136"/>
  <c r="B138"/>
  <c r="C138"/>
  <c r="C139"/>
  <c r="B135" i="21"/>
  <c r="C135"/>
  <c r="B136"/>
  <c r="C136"/>
  <c r="B137"/>
  <c r="C137"/>
  <c r="B138"/>
  <c r="C138"/>
  <c r="B139"/>
  <c r="C139"/>
  <c r="E7" i="22"/>
  <c r="D7" s="1"/>
  <c r="B135"/>
  <c r="C135"/>
  <c r="B136"/>
  <c r="C136"/>
  <c r="B137"/>
  <c r="C137"/>
  <c r="B138"/>
  <c r="C138"/>
  <c r="B139"/>
  <c r="C139"/>
  <c r="K135"/>
  <c r="L135"/>
  <c r="K136"/>
  <c r="L136"/>
  <c r="K138"/>
  <c r="L138"/>
  <c r="K139"/>
  <c r="L139"/>
  <c r="S137"/>
  <c r="AD135"/>
  <c r="AE135"/>
  <c r="AF135"/>
  <c r="AG135"/>
  <c r="AH135"/>
  <c r="AI135"/>
  <c r="AJ135"/>
  <c r="AK135"/>
  <c r="AL135"/>
  <c r="AM135"/>
  <c r="AD136"/>
  <c r="AE136"/>
  <c r="AF136"/>
  <c r="AG136"/>
  <c r="AH136"/>
  <c r="AI136"/>
  <c r="AJ136"/>
  <c r="AK136"/>
  <c r="AL136"/>
  <c r="AM136"/>
  <c r="AD137"/>
  <c r="AE137"/>
  <c r="AF137"/>
  <c r="AG137"/>
  <c r="AH137"/>
  <c r="AI137"/>
  <c r="AJ137"/>
  <c r="AK137"/>
  <c r="AL137"/>
  <c r="AM137"/>
  <c r="AD138"/>
  <c r="AE138"/>
  <c r="AF138"/>
  <c r="AG138"/>
  <c r="AH138"/>
  <c r="AI138"/>
  <c r="AJ138"/>
  <c r="AK138"/>
  <c r="AL138"/>
  <c r="AM138"/>
  <c r="AD139"/>
  <c r="AE139"/>
  <c r="AF139"/>
  <c r="AG139"/>
  <c r="AH139"/>
  <c r="AI139"/>
  <c r="AJ139"/>
  <c r="AK139"/>
  <c r="AL139"/>
  <c r="AM139"/>
  <c r="V161" i="4" l="1"/>
  <c r="T161"/>
  <c r="V160"/>
  <c r="T160"/>
  <c r="V142"/>
  <c r="T142"/>
  <c r="V141"/>
  <c r="T141"/>
  <c r="T162"/>
  <c r="V162"/>
  <c r="T163"/>
  <c r="V163"/>
  <c r="T164"/>
  <c r="V164"/>
  <c r="T165"/>
  <c r="V165"/>
  <c r="T166"/>
  <c r="V166"/>
  <c r="T167"/>
  <c r="V167"/>
  <c r="T168"/>
  <c r="V168"/>
  <c r="T169"/>
  <c r="V169"/>
  <c r="T170"/>
  <c r="V170"/>
  <c r="T171"/>
  <c r="V171"/>
  <c r="T172"/>
  <c r="V172"/>
  <c r="T173"/>
  <c r="V173"/>
  <c r="T174"/>
  <c r="V174"/>
  <c r="T175"/>
  <c r="V175"/>
  <c r="T176"/>
  <c r="V176"/>
  <c r="T177"/>
  <c r="V177"/>
  <c r="T178"/>
  <c r="V178"/>
  <c r="T179"/>
  <c r="V179"/>
  <c r="T180"/>
  <c r="V180"/>
  <c r="T143"/>
  <c r="V143"/>
  <c r="T144"/>
  <c r="V144"/>
  <c r="T145"/>
  <c r="V145"/>
  <c r="T146"/>
  <c r="V146"/>
  <c r="T147"/>
  <c r="V147"/>
  <c r="T148"/>
  <c r="V148"/>
  <c r="T149"/>
  <c r="V149"/>
  <c r="T150"/>
  <c r="V150"/>
  <c r="T151"/>
  <c r="V151"/>
  <c r="T152"/>
  <c r="V152"/>
  <c r="T153"/>
  <c r="V153"/>
  <c r="T154"/>
  <c r="V154"/>
  <c r="T155"/>
  <c r="V155"/>
  <c r="T156"/>
  <c r="V156"/>
  <c r="T157"/>
  <c r="V157"/>
  <c r="T158"/>
  <c r="V158"/>
  <c r="T139"/>
  <c r="T138"/>
  <c r="T137"/>
  <c r="T136"/>
  <c r="T135"/>
  <c r="T134"/>
  <c r="T133"/>
  <c r="T132"/>
  <c r="T131"/>
  <c r="T130"/>
  <c r="T129"/>
  <c r="T128"/>
  <c r="T127"/>
  <c r="T126"/>
  <c r="T125"/>
  <c r="T123"/>
  <c r="T122"/>
  <c r="T120"/>
  <c r="T119"/>
  <c r="T118"/>
  <c r="V139"/>
  <c r="V138"/>
  <c r="V137"/>
  <c r="V136"/>
  <c r="V135"/>
  <c r="V134"/>
  <c r="V133"/>
  <c r="V131"/>
  <c r="V130"/>
  <c r="V129"/>
  <c r="V128"/>
  <c r="V127"/>
  <c r="V126"/>
  <c r="V125"/>
  <c r="V124"/>
  <c r="V123"/>
  <c r="V122"/>
  <c r="V120"/>
  <c r="V119"/>
  <c r="V118"/>
  <c r="V132"/>
  <c r="T124"/>
  <c r="M126"/>
  <c r="AK139" i="8"/>
  <c r="AJ139"/>
  <c r="AG139"/>
  <c r="AF139"/>
  <c r="AK138"/>
  <c r="AJ138"/>
  <c r="AG138"/>
  <c r="AF138"/>
  <c r="AK136"/>
  <c r="AJ136"/>
  <c r="AG136"/>
  <c r="AF136"/>
  <c r="AK135"/>
  <c r="AJ135"/>
  <c r="AG135"/>
  <c r="AF135"/>
  <c r="AB139"/>
  <c r="AA139"/>
  <c r="X139"/>
  <c r="W139"/>
  <c r="AB138"/>
  <c r="AA138"/>
  <c r="X138"/>
  <c r="W138"/>
  <c r="AB136"/>
  <c r="AA136"/>
  <c r="X136"/>
  <c r="W136"/>
  <c r="AB135"/>
  <c r="AA135"/>
  <c r="X135"/>
  <c r="W135"/>
  <c r="M132" i="4"/>
  <c r="O87"/>
  <c r="O132"/>
  <c r="Y139"/>
  <c r="X139"/>
  <c r="R139"/>
  <c r="Q139"/>
  <c r="O139"/>
  <c r="M139"/>
  <c r="Y138"/>
  <c r="X138"/>
  <c r="R138"/>
  <c r="Q138"/>
  <c r="O138"/>
  <c r="M138"/>
  <c r="Y136"/>
  <c r="X136"/>
  <c r="R136"/>
  <c r="Q136"/>
  <c r="O136"/>
  <c r="M136"/>
  <c r="Y135"/>
  <c r="X135"/>
  <c r="R135"/>
  <c r="Q135"/>
  <c r="O135"/>
  <c r="M135"/>
  <c r="X137"/>
  <c r="Y119"/>
  <c r="X119"/>
  <c r="R119"/>
  <c r="Q119"/>
  <c r="O119"/>
  <c r="M119"/>
  <c r="Y11"/>
  <c r="X11"/>
  <c r="V11"/>
  <c r="T11"/>
  <c r="R11"/>
  <c r="Q11"/>
  <c r="O11"/>
  <c r="M11"/>
  <c r="Q137" l="1"/>
  <c r="Y137"/>
  <c r="R137" l="1"/>
  <c r="R137" i="22" s="1"/>
  <c r="R134" i="4"/>
  <c r="R134" i="22" s="1"/>
  <c r="Q134" i="4" l="1"/>
  <c r="X134" l="1"/>
  <c r="Y134"/>
  <c r="Y48" i="2" l="1"/>
  <c r="Z48" s="1"/>
  <c r="Y50"/>
  <c r="Z50" s="1"/>
  <c r="Y51"/>
  <c r="Z51"/>
  <c r="Y52"/>
  <c r="Z52" s="1"/>
  <c r="Y53"/>
  <c r="Z53" s="1"/>
  <c r="Y55"/>
  <c r="Z55"/>
  <c r="Y58"/>
  <c r="Z58" s="1"/>
  <c r="Y59"/>
  <c r="Z59" s="1"/>
  <c r="R48"/>
  <c r="S48" s="1"/>
  <c r="R50"/>
  <c r="S50" s="1"/>
  <c r="R51"/>
  <c r="S51" s="1"/>
  <c r="R52"/>
  <c r="S52" s="1"/>
  <c r="R53"/>
  <c r="S53" s="1"/>
  <c r="R54"/>
  <c r="R55"/>
  <c r="S55" s="1"/>
  <c r="R58"/>
  <c r="S58" s="1"/>
  <c r="R59"/>
  <c r="S59" s="1"/>
  <c r="R60"/>
  <c r="R63"/>
  <c r="N2" i="54"/>
  <c r="N3" i="55"/>
  <c r="B3"/>
  <c r="N2"/>
  <c r="B2"/>
  <c r="N3" i="58"/>
  <c r="N2"/>
  <c r="B3"/>
  <c r="B2"/>
  <c r="M1" i="57"/>
  <c r="N2" i="56"/>
  <c r="N3" i="60"/>
  <c r="N2"/>
  <c r="B3"/>
  <c r="B2"/>
  <c r="N2" i="59"/>
  <c r="S60" i="2" l="1"/>
  <c r="F32" i="60"/>
  <c r="S63" i="2"/>
  <c r="F31" i="60"/>
  <c r="S54" i="2"/>
  <c r="F28" i="60"/>
  <c r="D65" i="15"/>
  <c r="D64"/>
  <c r="D43"/>
  <c r="E43" s="1"/>
  <c r="D42"/>
  <c r="E42" s="1"/>
  <c r="D41"/>
  <c r="E41" s="1"/>
  <c r="D39"/>
  <c r="E39" s="1"/>
  <c r="D38"/>
  <c r="E38" s="1"/>
  <c r="D37"/>
  <c r="D36"/>
  <c r="E36" s="1"/>
  <c r="F58" i="12"/>
  <c r="F58" i="15" s="1"/>
  <c r="E58" i="12" l="1"/>
  <c r="E58" i="15" s="1"/>
  <c r="D58" i="12"/>
  <c r="D58" i="15" s="1"/>
  <c r="F22" i="60"/>
  <c r="F21"/>
  <c r="F22" i="58"/>
  <c r="F21"/>
  <c r="F22" i="55"/>
  <c r="H11" i="33" s="1"/>
  <c r="H53" s="1"/>
  <c r="F21" i="55"/>
  <c r="H10" i="33" s="1"/>
  <c r="H52" s="1"/>
  <c r="F31" i="15"/>
  <c r="F30"/>
  <c r="E31"/>
  <c r="E30"/>
  <c r="H92" i="59"/>
  <c r="H91"/>
  <c r="H90"/>
  <c r="H86"/>
  <c r="H85"/>
  <c r="H84"/>
  <c r="H83"/>
  <c r="H81"/>
  <c r="H80"/>
  <c r="H79"/>
  <c r="H22" i="33" l="1"/>
  <c r="H34"/>
  <c r="H46"/>
  <c r="H58"/>
  <c r="H23"/>
  <c r="H35"/>
  <c r="H47"/>
  <c r="H59"/>
  <c r="H16"/>
  <c r="H28"/>
  <c r="H40"/>
  <c r="H17"/>
  <c r="H29"/>
  <c r="H41"/>
  <c r="M196"/>
  <c r="L196"/>
  <c r="K196"/>
  <c r="T196"/>
  <c r="H127" i="60"/>
  <c r="H126"/>
  <c r="H125"/>
  <c r="L32"/>
  <c r="L28"/>
  <c r="N18"/>
  <c r="N17"/>
  <c r="N16"/>
  <c r="N15"/>
  <c r="N14"/>
  <c r="N13"/>
  <c r="N12"/>
  <c r="N11"/>
  <c r="H121"/>
  <c r="N101" i="59"/>
  <c r="N100"/>
  <c r="H98"/>
  <c r="S93"/>
  <c r="S92"/>
  <c r="S91"/>
  <c r="S90"/>
  <c r="S89"/>
  <c r="S88"/>
  <c r="S87"/>
  <c r="S86"/>
  <c r="S85"/>
  <c r="S84"/>
  <c r="S83"/>
  <c r="S82"/>
  <c r="S81"/>
  <c r="S80"/>
  <c r="S79"/>
  <c r="F74"/>
  <c r="H57"/>
  <c r="M56"/>
  <c r="M55"/>
  <c r="M54"/>
  <c r="M53"/>
  <c r="M52"/>
  <c r="AB49"/>
  <c r="AC49" s="1"/>
  <c r="X49"/>
  <c r="Y49" s="1"/>
  <c r="AB48"/>
  <c r="AC48" s="1"/>
  <c r="X48"/>
  <c r="Y48" s="1"/>
  <c r="AC47"/>
  <c r="AB47"/>
  <c r="X47"/>
  <c r="Y47" s="1"/>
  <c r="AC46"/>
  <c r="AB46"/>
  <c r="X46"/>
  <c r="Y46" s="1"/>
  <c r="M45"/>
  <c r="I45"/>
  <c r="V44"/>
  <c r="M44"/>
  <c r="I44"/>
  <c r="V27" s="1"/>
  <c r="AB39"/>
  <c r="AC39" s="1"/>
  <c r="X39"/>
  <c r="Y39" s="1"/>
  <c r="AB38"/>
  <c r="AC38" s="1"/>
  <c r="X38"/>
  <c r="Y38" s="1"/>
  <c r="AB37"/>
  <c r="AC37" s="1"/>
  <c r="X37"/>
  <c r="Y37" s="1"/>
  <c r="AB36"/>
  <c r="AC36" s="1"/>
  <c r="X36"/>
  <c r="Y36" s="1"/>
  <c r="I36"/>
  <c r="F120" i="60"/>
  <c r="F126" s="1"/>
  <c r="I27" i="59"/>
  <c r="I31" s="1"/>
  <c r="N25"/>
  <c r="Z27" s="1"/>
  <c r="M25"/>
  <c r="AB24"/>
  <c r="AC24" s="1"/>
  <c r="AB23"/>
  <c r="AC23" s="1"/>
  <c r="AB22"/>
  <c r="AC22" s="1"/>
  <c r="AB21"/>
  <c r="AC21" s="1"/>
  <c r="V19"/>
  <c r="V24" s="1"/>
  <c r="V25" s="1"/>
  <c r="I19" s="1"/>
  <c r="M12"/>
  <c r="AC10"/>
  <c r="AB10"/>
  <c r="Y10"/>
  <c r="X10"/>
  <c r="AB9"/>
  <c r="AC9" s="1"/>
  <c r="Y9"/>
  <c r="X9"/>
  <c r="AC8"/>
  <c r="AB8"/>
  <c r="X8"/>
  <c r="Y8" s="1"/>
  <c r="I8"/>
  <c r="AB7"/>
  <c r="AC7" s="1"/>
  <c r="Y7"/>
  <c r="X7"/>
  <c r="H6"/>
  <c r="J8"/>
  <c r="J10"/>
  <c r="I10"/>
  <c r="AC3"/>
  <c r="N27" l="1"/>
  <c r="V22"/>
  <c r="W21"/>
  <c r="W23"/>
  <c r="V21"/>
  <c r="W22"/>
  <c r="V23"/>
  <c r="W24"/>
  <c r="W25" s="1"/>
  <c r="I33"/>
  <c r="AF125" i="8"/>
  <c r="N196" i="33"/>
  <c r="O196" s="1"/>
  <c r="J110" i="59"/>
  <c r="N52"/>
  <c r="N40" s="1"/>
  <c r="Q108" s="1"/>
  <c r="O45" i="60"/>
  <c r="O72"/>
  <c r="O41"/>
  <c r="O46"/>
  <c r="O53"/>
  <c r="O64"/>
  <c r="O80"/>
  <c r="O54"/>
  <c r="O31"/>
  <c r="U31"/>
  <c r="O74"/>
  <c r="O68"/>
  <c r="O60"/>
  <c r="O56"/>
  <c r="O52"/>
  <c r="O49"/>
  <c r="O44"/>
  <c r="O43"/>
  <c r="O84"/>
  <c r="O48"/>
  <c r="O47"/>
  <c r="O42"/>
  <c r="O38"/>
  <c r="O76"/>
  <c r="O58"/>
  <c r="O39"/>
  <c r="O40"/>
  <c r="O51"/>
  <c r="O66"/>
  <c r="O82"/>
  <c r="O90"/>
  <c r="Y27" i="59"/>
  <c r="X27"/>
  <c r="N197" i="33"/>
  <c r="F121" i="60"/>
  <c r="M31" i="59"/>
  <c r="AF126" i="8" s="1"/>
  <c r="Z19" i="59"/>
  <c r="O50" i="60"/>
  <c r="M36" i="59"/>
  <c r="Z44" s="1"/>
  <c r="AB3"/>
  <c r="J9" s="1"/>
  <c r="X44"/>
  <c r="Y44"/>
  <c r="M27"/>
  <c r="AB27"/>
  <c r="AC27"/>
  <c r="V42"/>
  <c r="Y3"/>
  <c r="R28" i="60"/>
  <c r="L31"/>
  <c r="R32"/>
  <c r="O88"/>
  <c r="O28"/>
  <c r="O32"/>
  <c r="X3" i="59"/>
  <c r="U28" i="60"/>
  <c r="R31"/>
  <c r="U32"/>
  <c r="L80"/>
  <c r="L38"/>
  <c r="L44"/>
  <c r="L54"/>
  <c r="AF132" i="8" l="1"/>
  <c r="I37" i="59"/>
  <c r="L66" i="60"/>
  <c r="L45"/>
  <c r="L51"/>
  <c r="L46"/>
  <c r="L72"/>
  <c r="L49"/>
  <c r="L74"/>
  <c r="L43"/>
  <c r="L53"/>
  <c r="L76"/>
  <c r="L50"/>
  <c r="L42"/>
  <c r="L47"/>
  <c r="L41"/>
  <c r="L64"/>
  <c r="L84"/>
  <c r="L52"/>
  <c r="L56"/>
  <c r="L88"/>
  <c r="L39"/>
  <c r="L48"/>
  <c r="L40"/>
  <c r="L58"/>
  <c r="L82"/>
  <c r="L90"/>
  <c r="O197" i="33"/>
  <c r="O70" i="60"/>
  <c r="L70"/>
  <c r="O55"/>
  <c r="L55"/>
  <c r="O71"/>
  <c r="L71"/>
  <c r="O83"/>
  <c r="L83"/>
  <c r="L121"/>
  <c r="F127"/>
  <c r="L127" s="1"/>
  <c r="O121"/>
  <c r="AC44" i="59"/>
  <c r="AB19"/>
  <c r="AB44"/>
  <c r="AC19"/>
  <c r="L60" i="60"/>
  <c r="O65"/>
  <c r="L65"/>
  <c r="O77"/>
  <c r="L77"/>
  <c r="Y42" i="59"/>
  <c r="X42"/>
  <c r="M37"/>
  <c r="O78" i="60"/>
  <c r="L78"/>
  <c r="L62"/>
  <c r="O62"/>
  <c r="O59"/>
  <c r="L59"/>
  <c r="O63"/>
  <c r="L63"/>
  <c r="O67"/>
  <c r="L67"/>
  <c r="O75"/>
  <c r="L75"/>
  <c r="O79"/>
  <c r="L79"/>
  <c r="O87"/>
  <c r="L87"/>
  <c r="O91"/>
  <c r="L91"/>
  <c r="L68"/>
  <c r="O57"/>
  <c r="L57"/>
  <c r="O61"/>
  <c r="L61"/>
  <c r="O69"/>
  <c r="L69"/>
  <c r="O73"/>
  <c r="L73"/>
  <c r="O81"/>
  <c r="L81"/>
  <c r="O85"/>
  <c r="L85"/>
  <c r="O89"/>
  <c r="L89"/>
  <c r="O86"/>
  <c r="L86"/>
  <c r="I9" i="59"/>
  <c r="I12" s="1"/>
  <c r="I21" l="1"/>
  <c r="N29" i="54" l="1"/>
  <c r="J110" s="1"/>
  <c r="M29"/>
  <c r="V196" i="33"/>
  <c r="U196"/>
  <c r="W197" s="1"/>
  <c r="X197" s="1"/>
  <c r="D196"/>
  <c r="E196"/>
  <c r="F196"/>
  <c r="S79" i="54"/>
  <c r="S80"/>
  <c r="S81"/>
  <c r="S82"/>
  <c r="S83"/>
  <c r="S84"/>
  <c r="S85"/>
  <c r="S86"/>
  <c r="S87"/>
  <c r="S88"/>
  <c r="S89"/>
  <c r="S90"/>
  <c r="S91"/>
  <c r="S92"/>
  <c r="S93"/>
  <c r="S78"/>
  <c r="U152" i="33"/>
  <c r="U153"/>
  <c r="V153" s="1"/>
  <c r="J80" i="59" s="1"/>
  <c r="U154" i="33"/>
  <c r="V154" s="1"/>
  <c r="J81" i="59" s="1"/>
  <c r="U156" i="33"/>
  <c r="V156" s="1"/>
  <c r="J83" i="59" s="1"/>
  <c r="U157" i="33"/>
  <c r="U158"/>
  <c r="U159"/>
  <c r="V159" s="1"/>
  <c r="J86" i="59" s="1"/>
  <c r="U163" i="33"/>
  <c r="V163" s="1"/>
  <c r="J90" i="59" s="1"/>
  <c r="U164" i="33"/>
  <c r="V164" s="1"/>
  <c r="J91" i="59" s="1"/>
  <c r="U165" i="33"/>
  <c r="V165"/>
  <c r="J92" i="59" s="1"/>
  <c r="V158" i="33"/>
  <c r="J85" i="59" s="1"/>
  <c r="V157" i="33"/>
  <c r="J84" i="59" s="1"/>
  <c r="V152" i="33"/>
  <c r="J79" i="59" s="1"/>
  <c r="G167" i="33"/>
  <c r="H167" s="1"/>
  <c r="O170"/>
  <c r="N170"/>
  <c r="T75" i="56" s="1"/>
  <c r="P170" i="33"/>
  <c r="S85" i="56"/>
  <c r="S86"/>
  <c r="S87"/>
  <c r="S88"/>
  <c r="S89"/>
  <c r="S90"/>
  <c r="S91"/>
  <c r="S92"/>
  <c r="S79"/>
  <c r="S80"/>
  <c r="S81"/>
  <c r="S82"/>
  <c r="S83"/>
  <c r="S84"/>
  <c r="S78"/>
  <c r="H127" i="58"/>
  <c r="H126"/>
  <c r="H125"/>
  <c r="N18"/>
  <c r="N17"/>
  <c r="N16"/>
  <c r="N15"/>
  <c r="N14"/>
  <c r="N13"/>
  <c r="N12"/>
  <c r="N11"/>
  <c r="M41" i="57"/>
  <c r="H41"/>
  <c r="M38"/>
  <c r="M37"/>
  <c r="M34"/>
  <c r="M33"/>
  <c r="H33"/>
  <c r="L31"/>
  <c r="L30"/>
  <c r="L27"/>
  <c r="L26"/>
  <c r="K25"/>
  <c r="M42" s="1"/>
  <c r="J20"/>
  <c r="I18"/>
  <c r="I17"/>
  <c r="I16"/>
  <c r="I15"/>
  <c r="H121" i="58"/>
  <c r="N101" i="56"/>
  <c r="N100"/>
  <c r="H98"/>
  <c r="F74"/>
  <c r="H57"/>
  <c r="M56"/>
  <c r="M55"/>
  <c r="M54"/>
  <c r="M53"/>
  <c r="M52"/>
  <c r="AB49"/>
  <c r="AC49" s="1"/>
  <c r="X49"/>
  <c r="Y49" s="1"/>
  <c r="AB48"/>
  <c r="AC48" s="1"/>
  <c r="X48"/>
  <c r="Y48" s="1"/>
  <c r="AB47"/>
  <c r="AC47" s="1"/>
  <c r="X47"/>
  <c r="Y47" s="1"/>
  <c r="AB46"/>
  <c r="AC46" s="1"/>
  <c r="X46"/>
  <c r="Y46" s="1"/>
  <c r="M45"/>
  <c r="I45"/>
  <c r="M44"/>
  <c r="M25" s="1"/>
  <c r="I44"/>
  <c r="I31" s="1"/>
  <c r="I32" s="1"/>
  <c r="AB39"/>
  <c r="AC39" s="1"/>
  <c r="X39"/>
  <c r="Y39" s="1"/>
  <c r="AB38"/>
  <c r="AC38" s="1"/>
  <c r="X38"/>
  <c r="Y38" s="1"/>
  <c r="AB37"/>
  <c r="AC37" s="1"/>
  <c r="X37"/>
  <c r="Y37" s="1"/>
  <c r="AB36"/>
  <c r="AC36" s="1"/>
  <c r="X36"/>
  <c r="Y36" s="1"/>
  <c r="I36"/>
  <c r="V44" s="1"/>
  <c r="V27"/>
  <c r="I27"/>
  <c r="AC24"/>
  <c r="AB24"/>
  <c r="AC23"/>
  <c r="AB23"/>
  <c r="AC22"/>
  <c r="AB22"/>
  <c r="AC21"/>
  <c r="AB21"/>
  <c r="V19"/>
  <c r="M12"/>
  <c r="AB10"/>
  <c r="X10"/>
  <c r="Y10" s="1"/>
  <c r="AB9"/>
  <c r="AC9" s="1"/>
  <c r="X9"/>
  <c r="Y9" s="1"/>
  <c r="AB8"/>
  <c r="AC8" s="1"/>
  <c r="X8"/>
  <c r="Y8" s="1"/>
  <c r="I8"/>
  <c r="AB7"/>
  <c r="AC7" s="1"/>
  <c r="X7"/>
  <c r="Y7" s="1"/>
  <c r="H6"/>
  <c r="J8"/>
  <c r="J10"/>
  <c r="I10"/>
  <c r="X3"/>
  <c r="BJ169" i="47"/>
  <c r="BI169"/>
  <c r="BH169"/>
  <c r="BG169"/>
  <c r="BF169"/>
  <c r="BE169"/>
  <c r="BD169"/>
  <c r="BC169"/>
  <c r="BB169"/>
  <c r="BA169"/>
  <c r="BJ161"/>
  <c r="BI161"/>
  <c r="BH161"/>
  <c r="BG161"/>
  <c r="BF161"/>
  <c r="BE161"/>
  <c r="BD161"/>
  <c r="BC161"/>
  <c r="BB161"/>
  <c r="BA161"/>
  <c r="BJ160"/>
  <c r="BI160"/>
  <c r="BH160"/>
  <c r="BG160"/>
  <c r="BF160"/>
  <c r="BE160"/>
  <c r="BD160"/>
  <c r="BC160"/>
  <c r="BB160"/>
  <c r="BA160"/>
  <c r="BD169" i="22"/>
  <c r="BC169"/>
  <c r="BB169"/>
  <c r="BA169"/>
  <c r="AZ169"/>
  <c r="AY169"/>
  <c r="AX169"/>
  <c r="AW169"/>
  <c r="AV169"/>
  <c r="AU169"/>
  <c r="BD161"/>
  <c r="BC161"/>
  <c r="BB161"/>
  <c r="BA161"/>
  <c r="AZ161"/>
  <c r="AY161"/>
  <c r="AX161"/>
  <c r="AW161"/>
  <c r="AV161"/>
  <c r="AU161"/>
  <c r="BD160"/>
  <c r="BC160"/>
  <c r="BB160"/>
  <c r="BA160"/>
  <c r="AZ160"/>
  <c r="AY160"/>
  <c r="AX160"/>
  <c r="AW160"/>
  <c r="AV160"/>
  <c r="AU160"/>
  <c r="N112" i="54" l="1"/>
  <c r="Q112"/>
  <c r="M14"/>
  <c r="I56"/>
  <c r="I54"/>
  <c r="I52"/>
  <c r="I55"/>
  <c r="I53"/>
  <c r="N108"/>
  <c r="L28" i="57"/>
  <c r="L32"/>
  <c r="M35"/>
  <c r="M39"/>
  <c r="L29"/>
  <c r="M36"/>
  <c r="M40"/>
  <c r="AB3" i="56"/>
  <c r="Y3"/>
  <c r="I9" s="1"/>
  <c r="I12" s="1"/>
  <c r="G196" i="33"/>
  <c r="H196" s="1"/>
  <c r="N52" i="56"/>
  <c r="N40" s="1"/>
  <c r="Y27"/>
  <c r="O59" i="58"/>
  <c r="O67"/>
  <c r="O75"/>
  <c r="O83"/>
  <c r="O91"/>
  <c r="O63"/>
  <c r="O71"/>
  <c r="O79"/>
  <c r="W196" i="33"/>
  <c r="X196" s="1"/>
  <c r="G197"/>
  <c r="Y44" i="56"/>
  <c r="V42"/>
  <c r="M36"/>
  <c r="Z44" s="1"/>
  <c r="AC10"/>
  <c r="AC3" s="1"/>
  <c r="V21"/>
  <c r="V22"/>
  <c r="V23"/>
  <c r="V24"/>
  <c r="V25" s="1"/>
  <c r="I19" s="1"/>
  <c r="X27"/>
  <c r="X44"/>
  <c r="N74"/>
  <c r="M27" i="57"/>
  <c r="M28"/>
  <c r="M29"/>
  <c r="M30"/>
  <c r="M31"/>
  <c r="M32"/>
  <c r="L63" i="58"/>
  <c r="W21" i="56"/>
  <c r="W22"/>
  <c r="W23"/>
  <c r="W24"/>
  <c r="L42" i="57"/>
  <c r="L41"/>
  <c r="M26"/>
  <c r="L33"/>
  <c r="L34"/>
  <c r="L35"/>
  <c r="L36"/>
  <c r="L37"/>
  <c r="L38"/>
  <c r="L39"/>
  <c r="L40"/>
  <c r="N25" i="56" l="1"/>
  <c r="Q108"/>
  <c r="J9"/>
  <c r="W25"/>
  <c r="L71" i="58"/>
  <c r="L87"/>
  <c r="L55"/>
  <c r="O87"/>
  <c r="O55"/>
  <c r="L79"/>
  <c r="L75"/>
  <c r="L59"/>
  <c r="L91"/>
  <c r="L67"/>
  <c r="L83"/>
  <c r="Z19" i="56"/>
  <c r="L73" i="58"/>
  <c r="O73"/>
  <c r="O38"/>
  <c r="L38"/>
  <c r="O42"/>
  <c r="L42"/>
  <c r="O46"/>
  <c r="L46"/>
  <c r="O50"/>
  <c r="L50"/>
  <c r="O54"/>
  <c r="L54"/>
  <c r="O41"/>
  <c r="L41"/>
  <c r="O45"/>
  <c r="L45"/>
  <c r="O49"/>
  <c r="L49"/>
  <c r="O53"/>
  <c r="L53"/>
  <c r="I125"/>
  <c r="L77"/>
  <c r="O77"/>
  <c r="L81"/>
  <c r="O81"/>
  <c r="O56"/>
  <c r="L56"/>
  <c r="O60"/>
  <c r="L60"/>
  <c r="O64"/>
  <c r="L64"/>
  <c r="O68"/>
  <c r="L68"/>
  <c r="O72"/>
  <c r="L72"/>
  <c r="O76"/>
  <c r="L76"/>
  <c r="O80"/>
  <c r="L80"/>
  <c r="O84"/>
  <c r="L84"/>
  <c r="O88"/>
  <c r="L88"/>
  <c r="I37" i="56"/>
  <c r="L69" i="58"/>
  <c r="O69"/>
  <c r="L85"/>
  <c r="O85"/>
  <c r="L89"/>
  <c r="O89"/>
  <c r="L57"/>
  <c r="O57"/>
  <c r="O40"/>
  <c r="L40"/>
  <c r="O44"/>
  <c r="L44"/>
  <c r="O48"/>
  <c r="L48"/>
  <c r="O52"/>
  <c r="L52"/>
  <c r="O39"/>
  <c r="L39"/>
  <c r="O43"/>
  <c r="L43"/>
  <c r="O47"/>
  <c r="L47"/>
  <c r="O51"/>
  <c r="L51"/>
  <c r="L61"/>
  <c r="O61"/>
  <c r="L65"/>
  <c r="O65"/>
  <c r="O58"/>
  <c r="L58"/>
  <c r="O62"/>
  <c r="L62"/>
  <c r="O66"/>
  <c r="L66"/>
  <c r="O70"/>
  <c r="L70"/>
  <c r="O74"/>
  <c r="L74"/>
  <c r="O78"/>
  <c r="L78"/>
  <c r="O82"/>
  <c r="L82"/>
  <c r="O86"/>
  <c r="L86"/>
  <c r="O90"/>
  <c r="L90"/>
  <c r="Z27" i="56"/>
  <c r="Y42"/>
  <c r="X42"/>
  <c r="M27" s="1"/>
  <c r="I119" i="58" l="1"/>
  <c r="F121"/>
  <c r="AB27" i="56"/>
  <c r="AC27"/>
  <c r="AC19"/>
  <c r="AB19"/>
  <c r="AC44"/>
  <c r="AB44"/>
  <c r="N27" l="1"/>
  <c r="M37"/>
  <c r="F120" i="58"/>
  <c r="J110" i="56"/>
  <c r="F127" i="58"/>
  <c r="L127" s="1"/>
  <c r="L121"/>
  <c r="O121"/>
  <c r="I21" i="56"/>
  <c r="M31"/>
  <c r="I126" i="58" l="1"/>
  <c r="H120"/>
  <c r="O120" s="1"/>
  <c r="L120"/>
  <c r="F126"/>
  <c r="L126" s="1"/>
  <c r="H85" i="13" l="1"/>
  <c r="H85" i="16"/>
  <c r="CA169" i="47"/>
  <c r="BZ169"/>
  <c r="BY169"/>
  <c r="BX169"/>
  <c r="BW169"/>
  <c r="BV169"/>
  <c r="BU169"/>
  <c r="BT169"/>
  <c r="BS169"/>
  <c r="BR169"/>
  <c r="CA161"/>
  <c r="BZ161"/>
  <c r="BY161"/>
  <c r="BX161"/>
  <c r="BW161"/>
  <c r="BV161"/>
  <c r="BU161"/>
  <c r="BT161"/>
  <c r="BS161"/>
  <c r="BR161"/>
  <c r="CA160"/>
  <c r="BZ160"/>
  <c r="BY160"/>
  <c r="BX160"/>
  <c r="BW160"/>
  <c r="BV160"/>
  <c r="BU160"/>
  <c r="BT160"/>
  <c r="BS160"/>
  <c r="BR160"/>
  <c r="BU169" i="22"/>
  <c r="BT169"/>
  <c r="BS169"/>
  <c r="BR169"/>
  <c r="BQ169"/>
  <c r="BP169"/>
  <c r="BO169"/>
  <c r="BN169"/>
  <c r="BM169"/>
  <c r="BL169"/>
  <c r="BU161"/>
  <c r="BT161"/>
  <c r="BS161"/>
  <c r="BR161"/>
  <c r="BQ161"/>
  <c r="BP161"/>
  <c r="BO161"/>
  <c r="BN161"/>
  <c r="BM161"/>
  <c r="BL161"/>
  <c r="BU160"/>
  <c r="BT160"/>
  <c r="BS160"/>
  <c r="BR160"/>
  <c r="BQ160"/>
  <c r="BP160"/>
  <c r="BO160"/>
  <c r="BN160"/>
  <c r="BM160"/>
  <c r="BL160"/>
  <c r="H127" i="55"/>
  <c r="H126"/>
  <c r="H125"/>
  <c r="N18"/>
  <c r="N17"/>
  <c r="N16"/>
  <c r="N15"/>
  <c r="N14"/>
  <c r="N13"/>
  <c r="N12"/>
  <c r="N11"/>
  <c r="H121"/>
  <c r="I121"/>
  <c r="I127" s="1"/>
  <c r="N101" i="54"/>
  <c r="N100"/>
  <c r="H98"/>
  <c r="F74"/>
  <c r="H57"/>
  <c r="M56"/>
  <c r="M55"/>
  <c r="M54"/>
  <c r="M53"/>
  <c r="M52"/>
  <c r="AC49"/>
  <c r="AB49"/>
  <c r="Y49"/>
  <c r="X49"/>
  <c r="AC48"/>
  <c r="AB48"/>
  <c r="Y48"/>
  <c r="X48"/>
  <c r="AC47"/>
  <c r="AB47"/>
  <c r="Y47"/>
  <c r="X47"/>
  <c r="AC46"/>
  <c r="AB46"/>
  <c r="Y46"/>
  <c r="X46"/>
  <c r="M45"/>
  <c r="I45"/>
  <c r="M44"/>
  <c r="M25" s="1"/>
  <c r="I44"/>
  <c r="AC39"/>
  <c r="AB39"/>
  <c r="Y39"/>
  <c r="X39"/>
  <c r="AC38"/>
  <c r="AB38"/>
  <c r="Y38"/>
  <c r="X38"/>
  <c r="AC37"/>
  <c r="AB37"/>
  <c r="X37"/>
  <c r="Y37" s="1"/>
  <c r="AB36"/>
  <c r="AC36" s="1"/>
  <c r="X36"/>
  <c r="Y36" s="1"/>
  <c r="I36"/>
  <c r="V44" s="1"/>
  <c r="V27"/>
  <c r="I27"/>
  <c r="I31" s="1"/>
  <c r="N25"/>
  <c r="Z27" s="1"/>
  <c r="AC24"/>
  <c r="AB24"/>
  <c r="AC23"/>
  <c r="AB23"/>
  <c r="AC22"/>
  <c r="AB22"/>
  <c r="W22"/>
  <c r="AB21"/>
  <c r="AC21" s="1"/>
  <c r="V19"/>
  <c r="W23" s="1"/>
  <c r="M12"/>
  <c r="AB10"/>
  <c r="AC10" s="1"/>
  <c r="AC3" s="1"/>
  <c r="X10"/>
  <c r="Y10" s="1"/>
  <c r="AB9"/>
  <c r="AC9" s="1"/>
  <c r="X9"/>
  <c r="Y9" s="1"/>
  <c r="AB8"/>
  <c r="AC8" s="1"/>
  <c r="X8"/>
  <c r="Y8" s="1"/>
  <c r="I8"/>
  <c r="AB7"/>
  <c r="AC7" s="1"/>
  <c r="X7"/>
  <c r="Y7" s="1"/>
  <c r="H6"/>
  <c r="J8"/>
  <c r="J10"/>
  <c r="I10"/>
  <c r="AB3"/>
  <c r="X3"/>
  <c r="W21" l="1"/>
  <c r="W24"/>
  <c r="W25" s="1"/>
  <c r="I33"/>
  <c r="AG132" i="8" s="1"/>
  <c r="AG125"/>
  <c r="O49" i="55"/>
  <c r="O41"/>
  <c r="O56"/>
  <c r="X27" i="54"/>
  <c r="Y27"/>
  <c r="O43" i="55"/>
  <c r="O51"/>
  <c r="O47"/>
  <c r="O53"/>
  <c r="O57"/>
  <c r="O39"/>
  <c r="AC27" i="54"/>
  <c r="AB27"/>
  <c r="M27"/>
  <c r="V42"/>
  <c r="M36"/>
  <c r="Z44" s="1"/>
  <c r="N52"/>
  <c r="N40" s="1"/>
  <c r="Q108" s="1"/>
  <c r="Y44"/>
  <c r="X44"/>
  <c r="J9"/>
  <c r="Y3"/>
  <c r="I9" s="1"/>
  <c r="V21"/>
  <c r="V22"/>
  <c r="V23"/>
  <c r="V24"/>
  <c r="V25" s="1"/>
  <c r="I19" s="1"/>
  <c r="O45" i="55"/>
  <c r="I12" i="54"/>
  <c r="N27"/>
  <c r="I37"/>
  <c r="L49" i="55"/>
  <c r="L41" l="1"/>
  <c r="L53"/>
  <c r="L47"/>
  <c r="L39"/>
  <c r="L51"/>
  <c r="L56"/>
  <c r="L43"/>
  <c r="L57"/>
  <c r="L45"/>
  <c r="Z19" i="54"/>
  <c r="L91" i="55"/>
  <c r="O91"/>
  <c r="L75"/>
  <c r="O75"/>
  <c r="L59"/>
  <c r="O59"/>
  <c r="L85"/>
  <c r="O85"/>
  <c r="L77"/>
  <c r="O77"/>
  <c r="L69"/>
  <c r="O69"/>
  <c r="L61"/>
  <c r="O61"/>
  <c r="L52"/>
  <c r="O52"/>
  <c r="L48"/>
  <c r="O48"/>
  <c r="L44"/>
  <c r="O44"/>
  <c r="L40"/>
  <c r="O40"/>
  <c r="F121"/>
  <c r="M31" i="54"/>
  <c r="AG126" i="8" s="1"/>
  <c r="L58" i="55"/>
  <c r="O58"/>
  <c r="O60"/>
  <c r="L60"/>
  <c r="O64"/>
  <c r="L64"/>
  <c r="O68"/>
  <c r="L68"/>
  <c r="O72"/>
  <c r="L72"/>
  <c r="O76"/>
  <c r="L76"/>
  <c r="O80"/>
  <c r="L80"/>
  <c r="O84"/>
  <c r="L84"/>
  <c r="O88"/>
  <c r="L88"/>
  <c r="M37" i="54"/>
  <c r="L83" i="55"/>
  <c r="O83"/>
  <c r="L67"/>
  <c r="O67"/>
  <c r="L87"/>
  <c r="O87"/>
  <c r="L79"/>
  <c r="O79"/>
  <c r="L71"/>
  <c r="O71"/>
  <c r="L63"/>
  <c r="O63"/>
  <c r="L89"/>
  <c r="O89"/>
  <c r="L81"/>
  <c r="O81"/>
  <c r="L73"/>
  <c r="O73"/>
  <c r="L65"/>
  <c r="O65"/>
  <c r="L55"/>
  <c r="O55"/>
  <c r="L54"/>
  <c r="O54"/>
  <c r="L50"/>
  <c r="O50"/>
  <c r="L46"/>
  <c r="O46"/>
  <c r="L42"/>
  <c r="O42"/>
  <c r="L38"/>
  <c r="O38"/>
  <c r="O62"/>
  <c r="L62"/>
  <c r="O66"/>
  <c r="L66"/>
  <c r="O70"/>
  <c r="L70"/>
  <c r="O74"/>
  <c r="L74"/>
  <c r="O78"/>
  <c r="L78"/>
  <c r="O82"/>
  <c r="L82"/>
  <c r="O86"/>
  <c r="L86"/>
  <c r="O90"/>
  <c r="L90"/>
  <c r="F120"/>
  <c r="X42" i="54"/>
  <c r="Y42"/>
  <c r="O121" i="55" l="1"/>
  <c r="F127"/>
  <c r="L127" s="1"/>
  <c r="L121"/>
  <c r="F126"/>
  <c r="AB44" i="54"/>
  <c r="AC19"/>
  <c r="AB19"/>
  <c r="AC44"/>
  <c r="I21" l="1"/>
  <c r="O63" i="2" l="1"/>
  <c r="W84" l="1"/>
  <c r="W86"/>
  <c r="W85"/>
  <c r="E40" i="57" s="1"/>
  <c r="W80" i="2"/>
  <c r="W88"/>
  <c r="G168" i="33" s="1"/>
  <c r="W72" i="2"/>
  <c r="W73"/>
  <c r="W74"/>
  <c r="W75"/>
  <c r="W76"/>
  <c r="E31" i="57" s="1"/>
  <c r="W77" i="2"/>
  <c r="E32" i="57" s="1"/>
  <c r="W78" i="2"/>
  <c r="W79"/>
  <c r="W81"/>
  <c r="W82"/>
  <c r="W83"/>
  <c r="W87"/>
  <c r="W89"/>
  <c r="G169" i="33" s="1"/>
  <c r="W71" i="2"/>
  <c r="P84"/>
  <c r="P86"/>
  <c r="P85"/>
  <c r="P80"/>
  <c r="H87" i="59" s="1"/>
  <c r="P72" i="2"/>
  <c r="P73"/>
  <c r="P74"/>
  <c r="P75"/>
  <c r="P76"/>
  <c r="P77"/>
  <c r="P78"/>
  <c r="P79"/>
  <c r="P81"/>
  <c r="P82"/>
  <c r="P83"/>
  <c r="P88"/>
  <c r="U168" i="33" s="1"/>
  <c r="V168" s="1"/>
  <c r="P89" i="2"/>
  <c r="U169" i="33" s="1"/>
  <c r="V169" s="1"/>
  <c r="P71" i="2"/>
  <c r="O60"/>
  <c r="O61"/>
  <c r="P16"/>
  <c r="I177" i="33" s="1"/>
  <c r="P196" s="1"/>
  <c r="D16" i="53"/>
  <c r="P7" s="1"/>
  <c r="D5" s="1"/>
  <c r="D24"/>
  <c r="O7"/>
  <c r="C5" s="1"/>
  <c r="I180" i="33"/>
  <c r="AA179"/>
  <c r="Z179"/>
  <c r="Y179"/>
  <c r="X179"/>
  <c r="W179"/>
  <c r="V179"/>
  <c r="U179"/>
  <c r="T179"/>
  <c r="AA178"/>
  <c r="Z178"/>
  <c r="Y178"/>
  <c r="X178"/>
  <c r="W178"/>
  <c r="V178"/>
  <c r="U178"/>
  <c r="T178"/>
  <c r="I195"/>
  <c r="H169"/>
  <c r="H168"/>
  <c r="Q167"/>
  <c r="P167"/>
  <c r="O167"/>
  <c r="P149"/>
  <c r="O149"/>
  <c r="I101"/>
  <c r="Q91"/>
  <c r="P91"/>
  <c r="O91"/>
  <c r="N91"/>
  <c r="M91"/>
  <c r="L91"/>
  <c r="K91"/>
  <c r="J91"/>
  <c r="I91"/>
  <c r="Q88"/>
  <c r="P88"/>
  <c r="O88"/>
  <c r="N88"/>
  <c r="M88"/>
  <c r="L88"/>
  <c r="K88"/>
  <c r="J88"/>
  <c r="I88"/>
  <c r="Q85"/>
  <c r="P85"/>
  <c r="O85"/>
  <c r="N85"/>
  <c r="M85"/>
  <c r="L85"/>
  <c r="K85"/>
  <c r="J85"/>
  <c r="I85"/>
  <c r="Q82"/>
  <c r="P82"/>
  <c r="O82"/>
  <c r="N82"/>
  <c r="M82"/>
  <c r="L82"/>
  <c r="K82"/>
  <c r="J82"/>
  <c r="I82"/>
  <c r="Q79"/>
  <c r="P79"/>
  <c r="O79"/>
  <c r="N79"/>
  <c r="M79"/>
  <c r="L79"/>
  <c r="K79"/>
  <c r="J79"/>
  <c r="I79"/>
  <c r="Q76"/>
  <c r="P76"/>
  <c r="O76"/>
  <c r="N76"/>
  <c r="M76"/>
  <c r="L76"/>
  <c r="K76"/>
  <c r="J76"/>
  <c r="I76"/>
  <c r="Q73"/>
  <c r="P73"/>
  <c r="O73"/>
  <c r="K73"/>
  <c r="J73"/>
  <c r="I73"/>
  <c r="Q70"/>
  <c r="P70"/>
  <c r="O70"/>
  <c r="N70"/>
  <c r="M70"/>
  <c r="L70"/>
  <c r="K70"/>
  <c r="J70"/>
  <c r="I70"/>
  <c r="Q67"/>
  <c r="P67"/>
  <c r="O67"/>
  <c r="N67"/>
  <c r="M67"/>
  <c r="L67"/>
  <c r="K67"/>
  <c r="J67"/>
  <c r="I67"/>
  <c r="Q59"/>
  <c r="P58"/>
  <c r="P53"/>
  <c r="O52"/>
  <c r="O47"/>
  <c r="N46"/>
  <c r="N41"/>
  <c r="Q40"/>
  <c r="Q35"/>
  <c r="K34"/>
  <c r="P34"/>
  <c r="P29"/>
  <c r="O28"/>
  <c r="P23"/>
  <c r="N22"/>
  <c r="G18"/>
  <c r="G24" s="1"/>
  <c r="G30" s="1"/>
  <c r="G36" s="1"/>
  <c r="G42" s="1"/>
  <c r="G48" s="1"/>
  <c r="G54" s="1"/>
  <c r="G60" s="1"/>
  <c r="N17"/>
  <c r="G17"/>
  <c r="G23" s="1"/>
  <c r="G29" s="1"/>
  <c r="G35" s="1"/>
  <c r="G41" s="1"/>
  <c r="G47" s="1"/>
  <c r="G53" s="1"/>
  <c r="G59" s="1"/>
  <c r="Q16"/>
  <c r="G16"/>
  <c r="G22" s="1"/>
  <c r="G28" s="1"/>
  <c r="G34" s="1"/>
  <c r="G40" s="1"/>
  <c r="G46" s="1"/>
  <c r="G52" s="1"/>
  <c r="G58" s="1"/>
  <c r="G15"/>
  <c r="G21" s="1"/>
  <c r="G27" s="1"/>
  <c r="G33" s="1"/>
  <c r="G39" s="1"/>
  <c r="G45" s="1"/>
  <c r="G51" s="1"/>
  <c r="G57" s="1"/>
  <c r="G14"/>
  <c r="G20" s="1"/>
  <c r="G26" s="1"/>
  <c r="G32" s="1"/>
  <c r="G38" s="1"/>
  <c r="G44" s="1"/>
  <c r="G50" s="1"/>
  <c r="G56" s="1"/>
  <c r="G13"/>
  <c r="G19" s="1"/>
  <c r="G25" s="1"/>
  <c r="G31" s="1"/>
  <c r="G37" s="1"/>
  <c r="G43" s="1"/>
  <c r="G49" s="1"/>
  <c r="G55" s="1"/>
  <c r="P11"/>
  <c r="N10"/>
  <c r="H64" i="2"/>
  <c r="V62" s="1"/>
  <c r="Y62" s="1"/>
  <c r="C64"/>
  <c r="O62" s="1"/>
  <c r="H57"/>
  <c r="H54"/>
  <c r="H49"/>
  <c r="H47"/>
  <c r="C57"/>
  <c r="C54"/>
  <c r="C49"/>
  <c r="C47"/>
  <c r="Z62" l="1"/>
  <c r="F34" i="55"/>
  <c r="F34" i="58"/>
  <c r="J70" i="2"/>
  <c r="E70"/>
  <c r="Q62" s="1"/>
  <c r="P87"/>
  <c r="U167" i="33" s="1"/>
  <c r="V167" s="1"/>
  <c r="I188"/>
  <c r="H82" i="59"/>
  <c r="H100" s="1"/>
  <c r="U155" i="33"/>
  <c r="V155" s="1"/>
  <c r="J82" i="59" s="1"/>
  <c r="H89"/>
  <c r="U162" i="33"/>
  <c r="V162" s="1"/>
  <c r="J89" i="59" s="1"/>
  <c r="H88"/>
  <c r="U161" i="33"/>
  <c r="V161" s="1"/>
  <c r="J88" i="59" s="1"/>
  <c r="U160" i="33"/>
  <c r="V160" s="1"/>
  <c r="J87" i="59" s="1"/>
  <c r="H93"/>
  <c r="U166" i="33"/>
  <c r="V166" s="1"/>
  <c r="J93" i="59" s="1"/>
  <c r="Y197" i="33"/>
  <c r="L110" i="56" s="1"/>
  <c r="Y196" i="33"/>
  <c r="K110" i="56" s="1"/>
  <c r="H78" i="59"/>
  <c r="U151" i="33"/>
  <c r="V151" s="1"/>
  <c r="J78" i="59" s="1"/>
  <c r="E30" i="57"/>
  <c r="E26"/>
  <c r="H78" i="56"/>
  <c r="H78" i="54"/>
  <c r="G151" i="33"/>
  <c r="H151" s="1"/>
  <c r="E42" i="57"/>
  <c r="H93" i="56"/>
  <c r="G166" i="33"/>
  <c r="H166" s="1"/>
  <c r="J93" i="56" s="1"/>
  <c r="H93" i="54"/>
  <c r="H92" i="56"/>
  <c r="G165" i="33"/>
  <c r="H165" s="1"/>
  <c r="J92" i="56" s="1"/>
  <c r="H92" i="54"/>
  <c r="H91" i="56"/>
  <c r="H91" i="54"/>
  <c r="G164" i="33"/>
  <c r="H164" s="1"/>
  <c r="J91" i="56" s="1"/>
  <c r="E39" i="57"/>
  <c r="H90" i="56"/>
  <c r="H90" i="54"/>
  <c r="G163" i="33"/>
  <c r="H163" s="1"/>
  <c r="J90" i="56" s="1"/>
  <c r="E38" i="57"/>
  <c r="H89" i="56"/>
  <c r="G162" i="33"/>
  <c r="H162" s="1"/>
  <c r="J89" i="56" s="1"/>
  <c r="H89" i="54"/>
  <c r="E37" i="57"/>
  <c r="H88" i="56"/>
  <c r="G161" i="33"/>
  <c r="H161" s="1"/>
  <c r="J88" i="56" s="1"/>
  <c r="H88" i="54"/>
  <c r="E36" i="57"/>
  <c r="H87" i="56"/>
  <c r="H87" i="54"/>
  <c r="G160" i="33"/>
  <c r="H160" s="1"/>
  <c r="J87" i="56" s="1"/>
  <c r="E35" i="57"/>
  <c r="H86" i="56"/>
  <c r="H86" i="54"/>
  <c r="G159" i="33"/>
  <c r="H159" s="1"/>
  <c r="J86" i="56" s="1"/>
  <c r="E34" i="57"/>
  <c r="H85" i="56"/>
  <c r="G158" i="33"/>
  <c r="H158" s="1"/>
  <c r="J85" i="56" s="1"/>
  <c r="H85" i="54"/>
  <c r="H84" i="56"/>
  <c r="G157" i="33"/>
  <c r="H157" s="1"/>
  <c r="J84" i="56" s="1"/>
  <c r="H84" i="54"/>
  <c r="H83" i="56"/>
  <c r="H83" i="54"/>
  <c r="G156" i="33"/>
  <c r="H156" s="1"/>
  <c r="J83" i="56" s="1"/>
  <c r="H82"/>
  <c r="H82" i="54"/>
  <c r="G155" i="33"/>
  <c r="H155" s="1"/>
  <c r="J82" i="56" s="1"/>
  <c r="H81"/>
  <c r="G154" i="33"/>
  <c r="H154" s="1"/>
  <c r="J81" i="56" s="1"/>
  <c r="H81" i="54"/>
  <c r="H100" s="1"/>
  <c r="E29" i="57"/>
  <c r="H80" i="56"/>
  <c r="G153" i="33"/>
  <c r="H153" s="1"/>
  <c r="J80" i="56" s="1"/>
  <c r="H80" i="54"/>
  <c r="E28" i="57"/>
  <c r="H79" i="56"/>
  <c r="H79" i="54"/>
  <c r="G152" i="33"/>
  <c r="H152" s="1"/>
  <c r="J79" i="56" s="1"/>
  <c r="D63" i="15"/>
  <c r="D63" i="12"/>
  <c r="J50" i="53"/>
  <c r="J87" i="54"/>
  <c r="J80"/>
  <c r="J92"/>
  <c r="J81"/>
  <c r="J89"/>
  <c r="J95" i="33"/>
  <c r="I182"/>
  <c r="K29"/>
  <c r="K17"/>
  <c r="J29"/>
  <c r="I190"/>
  <c r="X62" i="2"/>
  <c r="N59" i="33"/>
  <c r="I178"/>
  <c r="I186"/>
  <c r="I194"/>
  <c r="Q29"/>
  <c r="N35"/>
  <c r="I184"/>
  <c r="I192"/>
  <c r="C63" i="2"/>
  <c r="H63"/>
  <c r="L14" i="57" s="1"/>
  <c r="I14" s="1"/>
  <c r="I181" i="33"/>
  <c r="P197" s="1"/>
  <c r="L110" i="59" s="1"/>
  <c r="H120" i="60" s="1"/>
  <c r="O120" s="1"/>
  <c r="I185" i="33"/>
  <c r="I189"/>
  <c r="I193"/>
  <c r="H197"/>
  <c r="I197" s="1"/>
  <c r="I179"/>
  <c r="I183"/>
  <c r="I187"/>
  <c r="I191"/>
  <c r="O34"/>
  <c r="K53"/>
  <c r="N29"/>
  <c r="I34"/>
  <c r="Q34"/>
  <c r="Q36" s="1"/>
  <c r="J40"/>
  <c r="N16"/>
  <c r="N18" s="1"/>
  <c r="K46"/>
  <c r="J11"/>
  <c r="O11"/>
  <c r="K22"/>
  <c r="I29"/>
  <c r="O29"/>
  <c r="O30" s="1"/>
  <c r="J34"/>
  <c r="O41"/>
  <c r="O58"/>
  <c r="I10"/>
  <c r="Q10"/>
  <c r="K11"/>
  <c r="Q11"/>
  <c r="M17"/>
  <c r="M22"/>
  <c r="I41"/>
  <c r="Q41"/>
  <c r="Q42" s="1"/>
  <c r="M46"/>
  <c r="M53"/>
  <c r="I58"/>
  <c r="Q58"/>
  <c r="Q60" s="1"/>
  <c r="O10"/>
  <c r="K10"/>
  <c r="M11"/>
  <c r="O17"/>
  <c r="O22"/>
  <c r="K41"/>
  <c r="O46"/>
  <c r="O48" s="1"/>
  <c r="O53"/>
  <c r="O54" s="1"/>
  <c r="K58"/>
  <c r="M10"/>
  <c r="I11"/>
  <c r="N11"/>
  <c r="N12" s="1"/>
  <c r="J16"/>
  <c r="I17"/>
  <c r="Q17"/>
  <c r="Q18" s="1"/>
  <c r="I22"/>
  <c r="Q22"/>
  <c r="M29"/>
  <c r="M34"/>
  <c r="J35"/>
  <c r="N40"/>
  <c r="N42" s="1"/>
  <c r="M41"/>
  <c r="I46"/>
  <c r="Q46"/>
  <c r="I53"/>
  <c r="Q53"/>
  <c r="M58"/>
  <c r="J59"/>
  <c r="O23"/>
  <c r="K23"/>
  <c r="N23"/>
  <c r="N24" s="1"/>
  <c r="J23"/>
  <c r="Q23"/>
  <c r="M23"/>
  <c r="M24" s="1"/>
  <c r="I23"/>
  <c r="L23"/>
  <c r="P28"/>
  <c r="P30" s="1"/>
  <c r="L10"/>
  <c r="P10"/>
  <c r="P12" s="1"/>
  <c r="K16"/>
  <c r="O16"/>
  <c r="L17"/>
  <c r="P17"/>
  <c r="L22"/>
  <c r="P22"/>
  <c r="P24" s="1"/>
  <c r="I28"/>
  <c r="M28"/>
  <c r="Q28"/>
  <c r="N34"/>
  <c r="K35"/>
  <c r="K36" s="1"/>
  <c r="O35"/>
  <c r="K40"/>
  <c r="O40"/>
  <c r="L41"/>
  <c r="P41"/>
  <c r="L46"/>
  <c r="P46"/>
  <c r="I47"/>
  <c r="M47"/>
  <c r="Q47"/>
  <c r="I52"/>
  <c r="M52"/>
  <c r="M54" s="1"/>
  <c r="Q52"/>
  <c r="J53"/>
  <c r="N53"/>
  <c r="J58"/>
  <c r="N58"/>
  <c r="K59"/>
  <c r="O59"/>
  <c r="L47"/>
  <c r="L16"/>
  <c r="P16"/>
  <c r="J28"/>
  <c r="N28"/>
  <c r="L35"/>
  <c r="P35"/>
  <c r="P36" s="1"/>
  <c r="L40"/>
  <c r="P40"/>
  <c r="J47"/>
  <c r="N47"/>
  <c r="N48" s="1"/>
  <c r="J52"/>
  <c r="N52"/>
  <c r="L59"/>
  <c r="P59"/>
  <c r="P60" s="1"/>
  <c r="L28"/>
  <c r="P47"/>
  <c r="L52"/>
  <c r="P52"/>
  <c r="P54" s="1"/>
  <c r="J10"/>
  <c r="J12" s="1"/>
  <c r="L11"/>
  <c r="I16"/>
  <c r="M16"/>
  <c r="J17"/>
  <c r="J22"/>
  <c r="K28"/>
  <c r="L29"/>
  <c r="L34"/>
  <c r="I35"/>
  <c r="M35"/>
  <c r="I40"/>
  <c r="M40"/>
  <c r="J41"/>
  <c r="J46"/>
  <c r="J48" s="1"/>
  <c r="K47"/>
  <c r="K48" s="1"/>
  <c r="K52"/>
  <c r="L53"/>
  <c r="L58"/>
  <c r="L60" s="1"/>
  <c r="I59"/>
  <c r="M59"/>
  <c r="O34" i="58" l="1"/>
  <c r="U34" s="1"/>
  <c r="O34" i="55"/>
  <c r="U34" s="1"/>
  <c r="T94" i="59"/>
  <c r="J85" i="54"/>
  <c r="I10" i="55"/>
  <c r="I10" i="58"/>
  <c r="I10" i="60"/>
  <c r="M12" i="33"/>
  <c r="J14" i="55"/>
  <c r="J14" i="58"/>
  <c r="J14" i="60"/>
  <c r="J16" i="58"/>
  <c r="J16" i="55"/>
  <c r="J16" i="60"/>
  <c r="I16" i="55"/>
  <c r="I16" i="58"/>
  <c r="I16" i="60"/>
  <c r="H94" i="59"/>
  <c r="J94"/>
  <c r="Q74" s="1"/>
  <c r="J88" i="54"/>
  <c r="H100" i="56"/>
  <c r="J78"/>
  <c r="T94" s="1"/>
  <c r="J78" i="54"/>
  <c r="I196" i="33"/>
  <c r="K110" i="54" s="1"/>
  <c r="I120" i="55" s="1"/>
  <c r="K110" i="59"/>
  <c r="I120" i="60" s="1"/>
  <c r="J93" i="54"/>
  <c r="J83"/>
  <c r="J91"/>
  <c r="J90"/>
  <c r="J86"/>
  <c r="H94" i="56"/>
  <c r="I29" s="1"/>
  <c r="F118" i="58" s="1"/>
  <c r="F125" s="1"/>
  <c r="J84" i="54"/>
  <c r="J82"/>
  <c r="H94"/>
  <c r="I29" s="1"/>
  <c r="I14" i="56"/>
  <c r="J79" i="54"/>
  <c r="E44" i="57"/>
  <c r="H29" s="1"/>
  <c r="K18" i="33"/>
  <c r="N30"/>
  <c r="K54"/>
  <c r="J30"/>
  <c r="N36"/>
  <c r="Q30"/>
  <c r="M18"/>
  <c r="J42"/>
  <c r="I36"/>
  <c r="J24"/>
  <c r="J51" i="53"/>
  <c r="L110" i="54"/>
  <c r="H120" i="55" s="1"/>
  <c r="O120" s="1"/>
  <c r="J94" i="56"/>
  <c r="I60" i="33"/>
  <c r="I42"/>
  <c r="O12"/>
  <c r="K30"/>
  <c r="I18"/>
  <c r="Q54"/>
  <c r="M30"/>
  <c r="I48"/>
  <c r="I30"/>
  <c r="M36"/>
  <c r="N60"/>
  <c r="O36"/>
  <c r="J36"/>
  <c r="K42"/>
  <c r="K60"/>
  <c r="Q48"/>
  <c r="K24"/>
  <c r="I12"/>
  <c r="J18"/>
  <c r="I54"/>
  <c r="L54"/>
  <c r="L18"/>
  <c r="M48"/>
  <c r="Q24"/>
  <c r="O24"/>
  <c r="K12"/>
  <c r="J60"/>
  <c r="I24"/>
  <c r="M60"/>
  <c r="M42"/>
  <c r="L30"/>
  <c r="J54"/>
  <c r="L42"/>
  <c r="O60"/>
  <c r="P48"/>
  <c r="O42"/>
  <c r="O18"/>
  <c r="Q12"/>
  <c r="N54"/>
  <c r="P42"/>
  <c r="L12"/>
  <c r="L36"/>
  <c r="P18"/>
  <c r="L48"/>
  <c r="L24"/>
  <c r="I126" i="55" l="1"/>
  <c r="L126" s="1"/>
  <c r="L120"/>
  <c r="I126" i="60"/>
  <c r="L126" s="1"/>
  <c r="L120"/>
  <c r="J10" i="55"/>
  <c r="J10" i="60"/>
  <c r="J10" i="58"/>
  <c r="H10" i="55"/>
  <c r="H10" i="58"/>
  <c r="H10" i="60"/>
  <c r="H11" i="55"/>
  <c r="H11" i="58"/>
  <c r="H11" i="60"/>
  <c r="J11" i="55"/>
  <c r="J11" i="58"/>
  <c r="J11" i="60"/>
  <c r="I11" i="55"/>
  <c r="I11" i="58"/>
  <c r="I11" i="60"/>
  <c r="I12" i="55"/>
  <c r="I12" i="58"/>
  <c r="I12" i="60"/>
  <c r="J12" i="58"/>
  <c r="J12" i="55"/>
  <c r="J12" i="60"/>
  <c r="H12" i="55"/>
  <c r="H12" i="60"/>
  <c r="H12" i="58"/>
  <c r="H13" i="55"/>
  <c r="H13" i="60"/>
  <c r="H13" i="58"/>
  <c r="J13" i="55"/>
  <c r="J13" i="58"/>
  <c r="J13" i="60"/>
  <c r="I13" i="55"/>
  <c r="I13" i="60"/>
  <c r="I13" i="58"/>
  <c r="I14" i="55"/>
  <c r="I14" i="60"/>
  <c r="I14" i="58"/>
  <c r="H14" i="60"/>
  <c r="H14" i="55"/>
  <c r="H14" i="58"/>
  <c r="I15" i="55"/>
  <c r="I15" i="58"/>
  <c r="I15" i="60"/>
  <c r="J15" i="55"/>
  <c r="J15" i="58"/>
  <c r="J15" i="60"/>
  <c r="H15"/>
  <c r="H15" i="55"/>
  <c r="H15" i="58"/>
  <c r="H16" i="60"/>
  <c r="H16" i="55"/>
  <c r="H16" i="58"/>
  <c r="I17" i="55"/>
  <c r="I17" i="58"/>
  <c r="I17" i="60"/>
  <c r="H17" i="55"/>
  <c r="H17" i="60"/>
  <c r="H17" i="58"/>
  <c r="J17" i="55"/>
  <c r="J17" i="58"/>
  <c r="J17" i="60"/>
  <c r="H18"/>
  <c r="H18" i="55"/>
  <c r="H18" i="58"/>
  <c r="I18" i="55"/>
  <c r="I18" i="58"/>
  <c r="I18" i="60"/>
  <c r="J18" i="55"/>
  <c r="J18" i="58"/>
  <c r="J18" i="60"/>
  <c r="H101" i="59"/>
  <c r="I14"/>
  <c r="I29"/>
  <c r="T94" i="54"/>
  <c r="J94"/>
  <c r="Q74" s="1"/>
  <c r="H118" i="55" s="1"/>
  <c r="H40" i="57"/>
  <c r="H42"/>
  <c r="H39"/>
  <c r="H38"/>
  <c r="H37"/>
  <c r="H35"/>
  <c r="H101" i="56"/>
  <c r="J74" s="1"/>
  <c r="H36" i="57"/>
  <c r="H34"/>
  <c r="H31"/>
  <c r="H101" i="54"/>
  <c r="J74" s="1"/>
  <c r="H32" i="57"/>
  <c r="I14" i="54"/>
  <c r="I15" s="1"/>
  <c r="H30" i="57"/>
  <c r="I48"/>
  <c r="I49" s="1"/>
  <c r="H26"/>
  <c r="H28"/>
  <c r="I15" i="56"/>
  <c r="M15"/>
  <c r="F118" i="55"/>
  <c r="F125" s="1"/>
  <c r="I34" i="54"/>
  <c r="V47" i="2"/>
  <c r="O47"/>
  <c r="AK101" i="8"/>
  <c r="AB101" s="1"/>
  <c r="L101" i="22" s="1"/>
  <c r="AK36" i="8"/>
  <c r="AB36" s="1"/>
  <c r="L36" i="22" s="1"/>
  <c r="V60" i="2"/>
  <c r="AK37" i="8"/>
  <c r="AB37" s="1"/>
  <c r="L37" i="22" s="1"/>
  <c r="AK38" i="8"/>
  <c r="AB38" s="1"/>
  <c r="L38" i="22" s="1"/>
  <c r="O44"/>
  <c r="AI44" i="4" s="1"/>
  <c r="AD44" i="8" s="1"/>
  <c r="Q44" s="1"/>
  <c r="O45" i="22"/>
  <c r="AI45" i="4" s="1"/>
  <c r="AD45" i="8" s="1"/>
  <c r="Q45" s="1"/>
  <c r="AK15"/>
  <c r="AB15" s="1"/>
  <c r="L15" i="22" s="1"/>
  <c r="AK16" i="8"/>
  <c r="AB16" s="1"/>
  <c r="L16" i="22" s="1"/>
  <c r="AK17" i="8"/>
  <c r="AB17" s="1"/>
  <c r="L17" i="22" s="1"/>
  <c r="AK18" i="8"/>
  <c r="AB18" s="1"/>
  <c r="L18" i="22" s="1"/>
  <c r="AK19" i="8"/>
  <c r="AB19" s="1"/>
  <c r="L19" i="22" s="1"/>
  <c r="Q60" i="2"/>
  <c r="R125" i="4"/>
  <c r="R126"/>
  <c r="V63" i="2"/>
  <c r="O42"/>
  <c r="AM102" i="22" s="1"/>
  <c r="B176" i="21"/>
  <c r="C176"/>
  <c r="B177"/>
  <c r="C177"/>
  <c r="V49" i="2"/>
  <c r="O49"/>
  <c r="R49" s="1"/>
  <c r="V23" i="4"/>
  <c r="T23"/>
  <c r="R23"/>
  <c r="Q23"/>
  <c r="O23"/>
  <c r="M23"/>
  <c r="V29"/>
  <c r="T29"/>
  <c r="R29"/>
  <c r="Q29"/>
  <c r="O29"/>
  <c r="M29"/>
  <c r="V28"/>
  <c r="T28"/>
  <c r="R28"/>
  <c r="Q28"/>
  <c r="O28"/>
  <c r="M28"/>
  <c r="V27"/>
  <c r="T27"/>
  <c r="R27"/>
  <c r="Q27"/>
  <c r="O27"/>
  <c r="M27"/>
  <c r="V26"/>
  <c r="T26"/>
  <c r="R26"/>
  <c r="Q26"/>
  <c r="O26"/>
  <c r="M26"/>
  <c r="V40"/>
  <c r="T40"/>
  <c r="R40"/>
  <c r="Q40"/>
  <c r="O40"/>
  <c r="M40"/>
  <c r="R122"/>
  <c r="S128" i="47"/>
  <c r="T128"/>
  <c r="U128"/>
  <c r="V128"/>
  <c r="X128"/>
  <c r="Y128"/>
  <c r="Z128"/>
  <c r="AA128"/>
  <c r="AB128"/>
  <c r="AC128"/>
  <c r="AD128"/>
  <c r="AE128"/>
  <c r="S129"/>
  <c r="T129"/>
  <c r="U129"/>
  <c r="V129"/>
  <c r="W129"/>
  <c r="X129"/>
  <c r="Y129"/>
  <c r="Z129"/>
  <c r="AB129"/>
  <c r="AC129"/>
  <c r="AE129"/>
  <c r="S130"/>
  <c r="T130"/>
  <c r="V130"/>
  <c r="W130"/>
  <c r="X130"/>
  <c r="Y130"/>
  <c r="AA130"/>
  <c r="AB130"/>
  <c r="AC130"/>
  <c r="AD130"/>
  <c r="AE130"/>
  <c r="S131"/>
  <c r="U131"/>
  <c r="V131"/>
  <c r="W131"/>
  <c r="Z131"/>
  <c r="AA131"/>
  <c r="AD131"/>
  <c r="AE131"/>
  <c r="T127"/>
  <c r="U127"/>
  <c r="V127"/>
  <c r="W127"/>
  <c r="Y127"/>
  <c r="Z127"/>
  <c r="AB127"/>
  <c r="AC127"/>
  <c r="AD127"/>
  <c r="S127"/>
  <c r="T131"/>
  <c r="U130"/>
  <c r="Z130"/>
  <c r="AA127"/>
  <c r="AA129"/>
  <c r="W128"/>
  <c r="X131"/>
  <c r="Y131"/>
  <c r="X127"/>
  <c r="AG87" i="8"/>
  <c r="X87" s="1"/>
  <c r="K87" i="22" s="1"/>
  <c r="AJ87" i="8"/>
  <c r="AA87" s="1"/>
  <c r="L87" i="47" s="1"/>
  <c r="AJ88" i="8"/>
  <c r="AA88" s="1"/>
  <c r="L88" i="47" s="1"/>
  <c r="AJ89" i="8"/>
  <c r="AA89" s="1"/>
  <c r="L89" i="47" s="1"/>
  <c r="AF87" i="8"/>
  <c r="W87" s="1"/>
  <c r="K87" i="47" s="1"/>
  <c r="AF88" i="8"/>
  <c r="W88" s="1"/>
  <c r="K88" i="47" s="1"/>
  <c r="AF89" i="8"/>
  <c r="W89"/>
  <c r="K89" i="47" s="1"/>
  <c r="R118" i="4"/>
  <c r="X120" i="8"/>
  <c r="K120" i="22" s="1"/>
  <c r="AF122" i="8"/>
  <c r="W122" s="1"/>
  <c r="K122" i="47" s="1"/>
  <c r="S9"/>
  <c r="U96" i="33"/>
  <c r="AF46" i="8"/>
  <c r="W46" s="1"/>
  <c r="K46" i="47" s="1"/>
  <c r="AK44" i="8"/>
  <c r="AB44" s="1"/>
  <c r="L44" i="22" s="1"/>
  <c r="Y44" i="4"/>
  <c r="Y45"/>
  <c r="AK45" i="8"/>
  <c r="AB45" s="1"/>
  <c r="L45" i="22" s="1"/>
  <c r="H45" s="1"/>
  <c r="AK40" i="8"/>
  <c r="AB40" s="1"/>
  <c r="L40" i="22" s="1"/>
  <c r="Y40" i="4"/>
  <c r="AK41" i="8"/>
  <c r="AB41" s="1"/>
  <c r="L41" i="22" s="1"/>
  <c r="AK42" i="8"/>
  <c r="AB42" s="1"/>
  <c r="L42" i="22" s="1"/>
  <c r="AJ43" i="8"/>
  <c r="AA43" s="1"/>
  <c r="L43" i="47" s="1"/>
  <c r="AK43" i="8"/>
  <c r="AB43" s="1"/>
  <c r="L43" i="22" s="1"/>
  <c r="AG43" i="8"/>
  <c r="X43" s="1"/>
  <c r="K43" i="22" s="1"/>
  <c r="R44" i="4"/>
  <c r="R45"/>
  <c r="AG46" i="8"/>
  <c r="X46" s="1"/>
  <c r="K46" i="22" s="1"/>
  <c r="AF43" i="8"/>
  <c r="W43" s="1"/>
  <c r="K43" i="47" s="1"/>
  <c r="S39" i="4"/>
  <c r="Y39" s="1"/>
  <c r="S39" i="22" s="1"/>
  <c r="V43" i="4"/>
  <c r="T43"/>
  <c r="R43"/>
  <c r="Q43"/>
  <c r="O43"/>
  <c r="M43"/>
  <c r="C43" i="2"/>
  <c r="V36" i="11" s="1"/>
  <c r="R174" i="47"/>
  <c r="AJ180" i="8"/>
  <c r="AA180" s="1"/>
  <c r="L180" i="47" s="1"/>
  <c r="AF180" i="8"/>
  <c r="W180" s="1"/>
  <c r="K180" i="47" s="1"/>
  <c r="AJ179" i="8"/>
  <c r="AA179" s="1"/>
  <c r="L179" i="47" s="1"/>
  <c r="AF179" i="8"/>
  <c r="W179" s="1"/>
  <c r="K179" i="47" s="1"/>
  <c r="AJ177" i="8"/>
  <c r="AA177" s="1"/>
  <c r="L177" i="47" s="1"/>
  <c r="AF177" i="8"/>
  <c r="W177" s="1"/>
  <c r="K177" i="47" s="1"/>
  <c r="AJ176" i="8"/>
  <c r="AA176" s="1"/>
  <c r="L176" i="47" s="1"/>
  <c r="AF176" i="8"/>
  <c r="W176" s="1"/>
  <c r="K176" i="47" s="1"/>
  <c r="AJ175" i="8"/>
  <c r="AA175" s="1"/>
  <c r="L175" i="47" s="1"/>
  <c r="AF175" i="8"/>
  <c r="W175" s="1"/>
  <c r="K175" i="47" s="1"/>
  <c r="AJ173" i="8"/>
  <c r="AA173" s="1"/>
  <c r="L173" i="47" s="1"/>
  <c r="AF173" i="8"/>
  <c r="W173" s="1"/>
  <c r="K173" i="47" s="1"/>
  <c r="AJ172" i="8"/>
  <c r="AA172" s="1"/>
  <c r="L172" i="47" s="1"/>
  <c r="AF172" i="8"/>
  <c r="W172" s="1"/>
  <c r="K172" i="47" s="1"/>
  <c r="AJ171" i="8"/>
  <c r="AA171" s="1"/>
  <c r="L171" i="47" s="1"/>
  <c r="AF171" i="8"/>
  <c r="W171" s="1"/>
  <c r="K171" i="47" s="1"/>
  <c r="AJ168" i="8"/>
  <c r="AA168" s="1"/>
  <c r="L168" i="47" s="1"/>
  <c r="AF168" i="8"/>
  <c r="W168" s="1"/>
  <c r="K168" i="47" s="1"/>
  <c r="AJ167" i="8"/>
  <c r="AA167" s="1"/>
  <c r="L167" i="47" s="1"/>
  <c r="AF167" i="8"/>
  <c r="W167" s="1"/>
  <c r="K167" i="47" s="1"/>
  <c r="AJ166" i="8"/>
  <c r="AA166" s="1"/>
  <c r="L166" i="47" s="1"/>
  <c r="AF166" i="8"/>
  <c r="W166" s="1"/>
  <c r="K166" i="47" s="1"/>
  <c r="AJ165" i="8"/>
  <c r="AA165" s="1"/>
  <c r="L165" i="47" s="1"/>
  <c r="AF165" i="8"/>
  <c r="W165" s="1"/>
  <c r="K165" i="47" s="1"/>
  <c r="AJ163" i="8"/>
  <c r="AA163" s="1"/>
  <c r="L163" i="47" s="1"/>
  <c r="AF163" i="8"/>
  <c r="W163" s="1"/>
  <c r="K163" i="47" s="1"/>
  <c r="AJ162" i="8"/>
  <c r="AA162" s="1"/>
  <c r="L162" i="47" s="1"/>
  <c r="AF162" i="8"/>
  <c r="W162" s="1"/>
  <c r="K162" i="47" s="1"/>
  <c r="AJ160" i="8"/>
  <c r="AA160" s="1"/>
  <c r="L160" i="47" s="1"/>
  <c r="AF123" i="8"/>
  <c r="W123" s="1"/>
  <c r="K123" i="47" s="1"/>
  <c r="AB123"/>
  <c r="AB121"/>
  <c r="AJ158" i="8"/>
  <c r="AA158" s="1"/>
  <c r="L158" i="47" s="1"/>
  <c r="AF158" i="8"/>
  <c r="W158" s="1"/>
  <c r="K158" i="47" s="1"/>
  <c r="AJ157" i="8"/>
  <c r="AA157" s="1"/>
  <c r="L157" i="47" s="1"/>
  <c r="AF157" i="8"/>
  <c r="W157" s="1"/>
  <c r="K157" i="47" s="1"/>
  <c r="AJ156" i="8"/>
  <c r="AA156" s="1"/>
  <c r="L156" i="47" s="1"/>
  <c r="AF156" i="8"/>
  <c r="W156" s="1"/>
  <c r="K156" i="47" s="1"/>
  <c r="AJ154" i="8"/>
  <c r="AA154" s="1"/>
  <c r="L154" i="47" s="1"/>
  <c r="AF154" i="8"/>
  <c r="W154" s="1"/>
  <c r="K154" i="47" s="1"/>
  <c r="AJ152" i="8"/>
  <c r="AA152" s="1"/>
  <c r="L152" i="47" s="1"/>
  <c r="AF152" i="8"/>
  <c r="W152" s="1"/>
  <c r="K152" i="47" s="1"/>
  <c r="AJ151" i="8"/>
  <c r="AA151" s="1"/>
  <c r="L151" i="47" s="1"/>
  <c r="AF151" i="8"/>
  <c r="W151" s="1"/>
  <c r="K151" i="47" s="1"/>
  <c r="AJ150" i="8"/>
  <c r="AA150" s="1"/>
  <c r="L150" i="47" s="1"/>
  <c r="AF150" i="8"/>
  <c r="W150" s="1"/>
  <c r="K150" i="47" s="1"/>
  <c r="AJ149" i="8"/>
  <c r="AA149" s="1"/>
  <c r="L149" i="47" s="1"/>
  <c r="AF149" i="8"/>
  <c r="W149" s="1"/>
  <c r="K149" i="47" s="1"/>
  <c r="AJ148" i="8"/>
  <c r="AA148" s="1"/>
  <c r="L148" i="47" s="1"/>
  <c r="AF148" i="8"/>
  <c r="W148" s="1"/>
  <c r="K148" i="47" s="1"/>
  <c r="AJ147" i="8"/>
  <c r="AA147" s="1"/>
  <c r="L147" i="47" s="1"/>
  <c r="AF147" i="8"/>
  <c r="W147" s="1"/>
  <c r="K147" i="47" s="1"/>
  <c r="AJ145" i="8"/>
  <c r="AA145" s="1"/>
  <c r="L145" i="47" s="1"/>
  <c r="AF145" i="8"/>
  <c r="W145" s="1"/>
  <c r="K145" i="47" s="1"/>
  <c r="AJ144" i="8"/>
  <c r="AA144" s="1"/>
  <c r="L144" i="47" s="1"/>
  <c r="AF144" i="8"/>
  <c r="W144" s="1"/>
  <c r="K144" i="47" s="1"/>
  <c r="AJ142" i="8"/>
  <c r="AA142" s="1"/>
  <c r="L142" i="47" s="1"/>
  <c r="AF142" i="8"/>
  <c r="W142" s="1"/>
  <c r="K142" i="47" s="1"/>
  <c r="AK144" i="8"/>
  <c r="AB144" s="1"/>
  <c r="L144" i="22" s="1"/>
  <c r="AK145" i="8"/>
  <c r="AB145" s="1"/>
  <c r="L145" i="22" s="1"/>
  <c r="AJ132" i="8"/>
  <c r="AA132" s="1"/>
  <c r="L132" i="47" s="1"/>
  <c r="AJ131" i="8"/>
  <c r="AA131" s="1"/>
  <c r="L131" i="47" s="1"/>
  <c r="AF131" i="8"/>
  <c r="W131" s="1"/>
  <c r="K131" i="47" s="1"/>
  <c r="AJ130" i="8"/>
  <c r="AA130" s="1"/>
  <c r="L130" i="47" s="1"/>
  <c r="AF130" i="8"/>
  <c r="W130" s="1"/>
  <c r="K130" i="47" s="1"/>
  <c r="AJ129" i="8"/>
  <c r="AA129" s="1"/>
  <c r="L129" i="47" s="1"/>
  <c r="AF129" i="8"/>
  <c r="W129" s="1"/>
  <c r="K129" i="47" s="1"/>
  <c r="AJ128" i="8"/>
  <c r="AA128" s="1"/>
  <c r="L128" i="47" s="1"/>
  <c r="AF128" i="8"/>
  <c r="W128" s="1"/>
  <c r="K128" i="47" s="1"/>
  <c r="AJ127" i="8"/>
  <c r="AF127"/>
  <c r="W127" s="1"/>
  <c r="K127" i="47" s="1"/>
  <c r="AE127"/>
  <c r="AD129"/>
  <c r="AC131"/>
  <c r="AJ125" i="8"/>
  <c r="AA125" s="1"/>
  <c r="L125" i="47" s="1"/>
  <c r="AJ123" i="8"/>
  <c r="AA123" s="1"/>
  <c r="L123" i="47" s="1"/>
  <c r="AJ122" i="8"/>
  <c r="AA122" s="1"/>
  <c r="L122" i="47" s="1"/>
  <c r="W120" i="8"/>
  <c r="K120" i="47" s="1"/>
  <c r="AB120"/>
  <c r="AJ118" i="8"/>
  <c r="AA118" s="1"/>
  <c r="L118" i="47" s="1"/>
  <c r="AK118" i="8"/>
  <c r="AB118" s="1"/>
  <c r="L118" i="22" s="1"/>
  <c r="Y125" i="4"/>
  <c r="Y127"/>
  <c r="Y128"/>
  <c r="Y129"/>
  <c r="Y130"/>
  <c r="Y131"/>
  <c r="Y132"/>
  <c r="Y126"/>
  <c r="AK125" i="8"/>
  <c r="AK127"/>
  <c r="AB127" s="1"/>
  <c r="L127" i="22" s="1"/>
  <c r="AK128" i="8"/>
  <c r="AB128" s="1"/>
  <c r="L128" i="22" s="1"/>
  <c r="AK129" i="8"/>
  <c r="AB129" s="1"/>
  <c r="L129" i="22" s="1"/>
  <c r="AK130" i="8"/>
  <c r="AB130" s="1"/>
  <c r="L130" i="22" s="1"/>
  <c r="AK131" i="8"/>
  <c r="AB131" s="1"/>
  <c r="L131" i="22" s="1"/>
  <c r="AK132" i="8"/>
  <c r="AB132" s="1"/>
  <c r="L132" i="22" s="1"/>
  <c r="L115" i="47"/>
  <c r="H115" s="1"/>
  <c r="K115"/>
  <c r="AJ114" i="8"/>
  <c r="AA114" s="1"/>
  <c r="L114" i="47" s="1"/>
  <c r="AF114" i="8"/>
  <c r="W114" s="1"/>
  <c r="K114" i="47" s="1"/>
  <c r="AJ113" i="8"/>
  <c r="AA113" s="1"/>
  <c r="L113" i="47" s="1"/>
  <c r="AF113" i="8"/>
  <c r="W113" s="1"/>
  <c r="K113" i="47" s="1"/>
  <c r="AJ111" i="8"/>
  <c r="AA111" s="1"/>
  <c r="L111" i="47" s="1"/>
  <c r="AF111" i="8"/>
  <c r="W111" s="1"/>
  <c r="K111" i="47" s="1"/>
  <c r="AJ110" i="8"/>
  <c r="AA110" s="1"/>
  <c r="L110" i="47" s="1"/>
  <c r="AF110" i="8"/>
  <c r="W110" s="1"/>
  <c r="K110" i="47" s="1"/>
  <c r="R110" i="4"/>
  <c r="AJ108" i="8"/>
  <c r="AA108" s="1"/>
  <c r="L108" i="47" s="1"/>
  <c r="AF108" i="8"/>
  <c r="W108" s="1"/>
  <c r="K108" i="47" s="1"/>
  <c r="AJ107" i="8"/>
  <c r="AA107" s="1"/>
  <c r="L107" i="47" s="1"/>
  <c r="AF107" i="8"/>
  <c r="W107" s="1"/>
  <c r="K107" i="47" s="1"/>
  <c r="AJ106" i="8"/>
  <c r="AA106" s="1"/>
  <c r="L106" i="47" s="1"/>
  <c r="AF106" i="8"/>
  <c r="W106" s="1"/>
  <c r="K106" i="47" s="1"/>
  <c r="AJ105" i="8"/>
  <c r="AA105" s="1"/>
  <c r="L105" i="47" s="1"/>
  <c r="AF105" i="8"/>
  <c r="W105" s="1"/>
  <c r="K105" i="47" s="1"/>
  <c r="AJ104" i="8"/>
  <c r="AA104" s="1"/>
  <c r="L104" i="47" s="1"/>
  <c r="AF104" i="8"/>
  <c r="W104" s="1"/>
  <c r="K104" i="47" s="1"/>
  <c r="AJ103" i="8"/>
  <c r="AA103" s="1"/>
  <c r="L103" i="47" s="1"/>
  <c r="AF103" i="8"/>
  <c r="W103" s="1"/>
  <c r="K103" i="47" s="1"/>
  <c r="AJ101" i="8"/>
  <c r="AA101" s="1"/>
  <c r="L101" i="47" s="1"/>
  <c r="AF101" i="8"/>
  <c r="W101" s="1"/>
  <c r="K101" i="47" s="1"/>
  <c r="AJ100" i="8"/>
  <c r="AA100" s="1"/>
  <c r="L100" i="47" s="1"/>
  <c r="AF100" i="8"/>
  <c r="W100" s="1"/>
  <c r="K100" i="47" s="1"/>
  <c r="AJ99" i="8"/>
  <c r="AA99" s="1"/>
  <c r="L99" i="47" s="1"/>
  <c r="AF99" i="8"/>
  <c r="W99" s="1"/>
  <c r="K99" i="47" s="1"/>
  <c r="AJ95" i="8"/>
  <c r="AA95" s="1"/>
  <c r="L95" i="47" s="1"/>
  <c r="AF95" i="8"/>
  <c r="W95" s="1"/>
  <c r="K95" i="47" s="1"/>
  <c r="AJ94" i="8"/>
  <c r="AA94" s="1"/>
  <c r="L94" i="47" s="1"/>
  <c r="AF94" i="8"/>
  <c r="W94" s="1"/>
  <c r="K94" i="47" s="1"/>
  <c r="AJ93" i="8"/>
  <c r="AA93" s="1"/>
  <c r="L93" i="47" s="1"/>
  <c r="AF93" i="8"/>
  <c r="W93" s="1"/>
  <c r="K93" i="47" s="1"/>
  <c r="AJ92" i="8"/>
  <c r="AA92" s="1"/>
  <c r="L92" i="47" s="1"/>
  <c r="AF92" i="8"/>
  <c r="W92" s="1"/>
  <c r="K92" i="47" s="1"/>
  <c r="AJ91" i="8"/>
  <c r="AA91" s="1"/>
  <c r="L91" i="47" s="1"/>
  <c r="AF91" i="8"/>
  <c r="W91" s="1"/>
  <c r="K91" i="47" s="1"/>
  <c r="AJ85" i="8"/>
  <c r="AA85" s="1"/>
  <c r="L85" i="47" s="1"/>
  <c r="AF85" i="8"/>
  <c r="W85" s="1"/>
  <c r="K85" i="47" s="1"/>
  <c r="AJ84" i="8"/>
  <c r="AA84" s="1"/>
  <c r="L84" i="47" s="1"/>
  <c r="AF84" i="8"/>
  <c r="W84" s="1"/>
  <c r="K84" i="47" s="1"/>
  <c r="AJ83" i="8"/>
  <c r="AA83" s="1"/>
  <c r="L83" i="47" s="1"/>
  <c r="AF83" i="8"/>
  <c r="W83" s="1"/>
  <c r="K83" i="47" s="1"/>
  <c r="AJ82" i="8"/>
  <c r="AA82" s="1"/>
  <c r="L82" i="47" s="1"/>
  <c r="AF82" i="8"/>
  <c r="W82" s="1"/>
  <c r="K82" i="47" s="1"/>
  <c r="AJ81" i="8"/>
  <c r="AA81" s="1"/>
  <c r="L81" i="47" s="1"/>
  <c r="AF81" i="8"/>
  <c r="W81" s="1"/>
  <c r="K81" i="47" s="1"/>
  <c r="AJ80" i="8"/>
  <c r="AA80" s="1"/>
  <c r="L80" i="47" s="1"/>
  <c r="AF80" i="8"/>
  <c r="W80" s="1"/>
  <c r="K80" i="47" s="1"/>
  <c r="AJ78" i="8"/>
  <c r="AA78" s="1"/>
  <c r="L78" i="47" s="1"/>
  <c r="AF78" i="8"/>
  <c r="W78" s="1"/>
  <c r="K78" i="47" s="1"/>
  <c r="AJ77" i="8"/>
  <c r="AA77" s="1"/>
  <c r="L77" i="47" s="1"/>
  <c r="AF77" i="8"/>
  <c r="W77" s="1"/>
  <c r="K77" i="47" s="1"/>
  <c r="AJ74" i="8"/>
  <c r="AA74" s="1"/>
  <c r="L74" i="47" s="1"/>
  <c r="AF74" i="8"/>
  <c r="W74" s="1"/>
  <c r="K74" i="47" s="1"/>
  <c r="AJ73" i="8"/>
  <c r="AA73" s="1"/>
  <c r="L73" i="47" s="1"/>
  <c r="AF73" i="8"/>
  <c r="W73" s="1"/>
  <c r="K73" i="47" s="1"/>
  <c r="AJ72" i="8"/>
  <c r="AA72" s="1"/>
  <c r="L72" i="47" s="1"/>
  <c r="AF72" i="8"/>
  <c r="W72" s="1"/>
  <c r="K72" i="47" s="1"/>
  <c r="AJ70" i="8"/>
  <c r="AA70" s="1"/>
  <c r="L70" i="47" s="1"/>
  <c r="AF70" i="8"/>
  <c r="W70" s="1"/>
  <c r="K70" i="47" s="1"/>
  <c r="AJ69" i="8"/>
  <c r="AA69" s="1"/>
  <c r="L69" i="47" s="1"/>
  <c r="AF69" i="8"/>
  <c r="W69" s="1"/>
  <c r="K69" i="47" s="1"/>
  <c r="AJ68" i="8"/>
  <c r="AA68" s="1"/>
  <c r="L68" i="47" s="1"/>
  <c r="AF68" i="8"/>
  <c r="W68" s="1"/>
  <c r="K68" i="47" s="1"/>
  <c r="AJ66" i="8"/>
  <c r="AA66" s="1"/>
  <c r="L66" i="47" s="1"/>
  <c r="AF66" i="8"/>
  <c r="W66" s="1"/>
  <c r="K66" i="47" s="1"/>
  <c r="AJ65" i="8"/>
  <c r="AA65" s="1"/>
  <c r="L65" i="47" s="1"/>
  <c r="AF65" i="8"/>
  <c r="W65" s="1"/>
  <c r="K65" i="47" s="1"/>
  <c r="AJ64" i="8"/>
  <c r="AA64" s="1"/>
  <c r="L64" i="47" s="1"/>
  <c r="AF64" i="8"/>
  <c r="W64" s="1"/>
  <c r="K64" i="47" s="1"/>
  <c r="AJ60" i="8"/>
  <c r="AA60" s="1"/>
  <c r="L60" i="47" s="1"/>
  <c r="AF60" i="8"/>
  <c r="W60" s="1"/>
  <c r="K60" i="47" s="1"/>
  <c r="AJ59" i="8"/>
  <c r="AA59" s="1"/>
  <c r="L59" i="47" s="1"/>
  <c r="AF59" i="8"/>
  <c r="W59" s="1"/>
  <c r="K59" i="47" s="1"/>
  <c r="AJ57" i="8"/>
  <c r="AA57" s="1"/>
  <c r="L57" i="47" s="1"/>
  <c r="AF57" i="8"/>
  <c r="W57" s="1"/>
  <c r="K57" i="47" s="1"/>
  <c r="AJ56" i="8"/>
  <c r="AA56" s="1"/>
  <c r="L56" i="47" s="1"/>
  <c r="AF56" i="8"/>
  <c r="W56" s="1"/>
  <c r="K56" i="47" s="1"/>
  <c r="AJ55" i="8"/>
  <c r="AA55" s="1"/>
  <c r="L55" i="47" s="1"/>
  <c r="AF55" i="8"/>
  <c r="W55" s="1"/>
  <c r="K55" i="47" s="1"/>
  <c r="AJ54" i="8"/>
  <c r="AA54" s="1"/>
  <c r="L54" i="47" s="1"/>
  <c r="AF54" i="8"/>
  <c r="W54" s="1"/>
  <c r="K54" i="47" s="1"/>
  <c r="AJ52" i="8"/>
  <c r="AA52" s="1"/>
  <c r="L52" i="47" s="1"/>
  <c r="AF52" i="8"/>
  <c r="W52" s="1"/>
  <c r="K52" i="47" s="1"/>
  <c r="AJ51" i="8"/>
  <c r="AA51" s="1"/>
  <c r="L51" i="47" s="1"/>
  <c r="AF51" i="8"/>
  <c r="W51" s="1"/>
  <c r="K51" i="47" s="1"/>
  <c r="AJ50" i="8"/>
  <c r="AA50" s="1"/>
  <c r="L50" i="47" s="1"/>
  <c r="AF50" i="8"/>
  <c r="W50" s="1"/>
  <c r="K50" i="47" s="1"/>
  <c r="AJ49" i="8"/>
  <c r="AA49" s="1"/>
  <c r="L49" i="47" s="1"/>
  <c r="AF49" i="8"/>
  <c r="W49" s="1"/>
  <c r="K49" i="47" s="1"/>
  <c r="AJ46" i="8"/>
  <c r="AA46" s="1"/>
  <c r="L46" i="47" s="1"/>
  <c r="AJ45" i="8"/>
  <c r="AA45" s="1"/>
  <c r="L45" i="47" s="1"/>
  <c r="AF45" i="8"/>
  <c r="W45" s="1"/>
  <c r="K45" i="47" s="1"/>
  <c r="AJ44" i="8"/>
  <c r="AA44" s="1"/>
  <c r="L44" i="47" s="1"/>
  <c r="AF44" i="8"/>
  <c r="W44" s="1"/>
  <c r="K44" i="47" s="1"/>
  <c r="AJ42" i="8"/>
  <c r="AA42" s="1"/>
  <c r="L42" i="47" s="1"/>
  <c r="AF42" i="8"/>
  <c r="W42" s="1"/>
  <c r="K42" i="47" s="1"/>
  <c r="AJ41" i="8"/>
  <c r="AA41" s="1"/>
  <c r="L41" i="47" s="1"/>
  <c r="AF41" i="8"/>
  <c r="W41" s="1"/>
  <c r="K41" i="47" s="1"/>
  <c r="AJ40" i="8"/>
  <c r="AA40" s="1"/>
  <c r="L40" i="47" s="1"/>
  <c r="AF40" i="8"/>
  <c r="W40" s="1"/>
  <c r="K40" i="47" s="1"/>
  <c r="AJ38" i="8"/>
  <c r="AA38" s="1"/>
  <c r="L38" i="47" s="1"/>
  <c r="AF38" i="8"/>
  <c r="W38" s="1"/>
  <c r="K38" i="47" s="1"/>
  <c r="AJ37" i="8"/>
  <c r="AA37" s="1"/>
  <c r="L37" i="47" s="1"/>
  <c r="AF37" i="8"/>
  <c r="W37" s="1"/>
  <c r="K37" i="47" s="1"/>
  <c r="AJ36" i="8"/>
  <c r="AA36" s="1"/>
  <c r="L36" i="47" s="1"/>
  <c r="AF36" i="8"/>
  <c r="W36" s="1"/>
  <c r="K36" i="47" s="1"/>
  <c r="AJ33" i="8"/>
  <c r="AA33" s="1"/>
  <c r="L33" i="47" s="1"/>
  <c r="AF33" i="8"/>
  <c r="W33" s="1"/>
  <c r="K33" i="47" s="1"/>
  <c r="AJ32" i="8"/>
  <c r="AA32" s="1"/>
  <c r="L32" i="47" s="1"/>
  <c r="AF32" i="8"/>
  <c r="W32" s="1"/>
  <c r="K32" i="47" s="1"/>
  <c r="AJ30" i="8"/>
  <c r="AA30" s="1"/>
  <c r="L30" i="47" s="1"/>
  <c r="AF30" i="8"/>
  <c r="W30" s="1"/>
  <c r="K30" i="47" s="1"/>
  <c r="AJ29" i="8"/>
  <c r="AA29" s="1"/>
  <c r="L29" i="47" s="1"/>
  <c r="AF29" i="8"/>
  <c r="W29" s="1"/>
  <c r="K29" i="47" s="1"/>
  <c r="AJ28" i="8"/>
  <c r="AA28" s="1"/>
  <c r="L28" i="47" s="1"/>
  <c r="AF28" i="8"/>
  <c r="W28" s="1"/>
  <c r="K28" i="47" s="1"/>
  <c r="AJ27" i="8"/>
  <c r="AA27" s="1"/>
  <c r="L27" i="47" s="1"/>
  <c r="AF27" i="8"/>
  <c r="W27" s="1"/>
  <c r="K27" i="47" s="1"/>
  <c r="AJ26" i="8"/>
  <c r="AA26" s="1"/>
  <c r="L26" i="47" s="1"/>
  <c r="AF26" i="8"/>
  <c r="W26" s="1"/>
  <c r="K26" i="47" s="1"/>
  <c r="AJ25" i="8"/>
  <c r="AA25" s="1"/>
  <c r="L25" i="47" s="1"/>
  <c r="AF25" i="8"/>
  <c r="W25" s="1"/>
  <c r="K25" i="47" s="1"/>
  <c r="AJ24" i="8"/>
  <c r="AA24" s="1"/>
  <c r="L24" i="47" s="1"/>
  <c r="AF24" i="8"/>
  <c r="W24" s="1"/>
  <c r="K24" i="47" s="1"/>
  <c r="AJ23" i="8"/>
  <c r="AA23" s="1"/>
  <c r="L23" i="47" s="1"/>
  <c r="AF23" i="8"/>
  <c r="W23" s="1"/>
  <c r="K23" i="47" s="1"/>
  <c r="AJ22" i="8"/>
  <c r="AA22" s="1"/>
  <c r="L22" i="47" s="1"/>
  <c r="AF22" i="8"/>
  <c r="W22" s="1"/>
  <c r="K22" i="47" s="1"/>
  <c r="AJ19" i="8"/>
  <c r="AA19" s="1"/>
  <c r="L19" i="47" s="1"/>
  <c r="AF19" i="8"/>
  <c r="W19" s="1"/>
  <c r="K19" i="47" s="1"/>
  <c r="AJ18" i="8"/>
  <c r="AA18" s="1"/>
  <c r="L18" i="47" s="1"/>
  <c r="AF18" i="8"/>
  <c r="W18" s="1"/>
  <c r="K18" i="47" s="1"/>
  <c r="AJ17" i="8"/>
  <c r="AA17" s="1"/>
  <c r="L17" i="47" s="1"/>
  <c r="AF17" i="8"/>
  <c r="W17" s="1"/>
  <c r="K17" i="47" s="1"/>
  <c r="AJ16" i="8"/>
  <c r="AA16" s="1"/>
  <c r="L16" i="47" s="1"/>
  <c r="AF16" i="8"/>
  <c r="W16" s="1"/>
  <c r="K16" i="47" s="1"/>
  <c r="AJ15" i="8"/>
  <c r="AA15" s="1"/>
  <c r="L15" i="47" s="1"/>
  <c r="AF15" i="8"/>
  <c r="W15" s="1"/>
  <c r="K15" i="47" s="1"/>
  <c r="AJ13" i="8"/>
  <c r="AA13" s="1"/>
  <c r="L13" i="47" s="1"/>
  <c r="AF13" i="8"/>
  <c r="W13" s="1"/>
  <c r="K13" i="47" s="1"/>
  <c r="AJ12" i="8"/>
  <c r="AA12" s="1"/>
  <c r="L12" i="47" s="1"/>
  <c r="W12" i="8"/>
  <c r="K12" i="47" s="1"/>
  <c r="AH115" i="4"/>
  <c r="AC115" i="8" s="1"/>
  <c r="P115" s="1"/>
  <c r="AH97" i="4"/>
  <c r="AC97" i="8" s="1"/>
  <c r="AH96" i="4"/>
  <c r="AC96" i="8" s="1"/>
  <c r="P96" s="1"/>
  <c r="AH75" i="4"/>
  <c r="AC75" i="8" s="1"/>
  <c r="AH62" i="4"/>
  <c r="AC62" i="8" s="1"/>
  <c r="AH47" i="4"/>
  <c r="AC47" i="8" s="1"/>
  <c r="AH34" i="4"/>
  <c r="AC34" i="8" s="1"/>
  <c r="AH20" i="4"/>
  <c r="AC20" i="8" s="1"/>
  <c r="AC19" i="47"/>
  <c r="AD19"/>
  <c r="AE19"/>
  <c r="AC18"/>
  <c r="AD18"/>
  <c r="AE18"/>
  <c r="AC17"/>
  <c r="AD17"/>
  <c r="AE17"/>
  <c r="AC16"/>
  <c r="AD16"/>
  <c r="AE16"/>
  <c r="AC15"/>
  <c r="AD15"/>
  <c r="AE15"/>
  <c r="AE14"/>
  <c r="AC14"/>
  <c r="AD14"/>
  <c r="AH10" i="4"/>
  <c r="AH8"/>
  <c r="AC8" i="8" s="1"/>
  <c r="AB177" i="47"/>
  <c r="AB176"/>
  <c r="AB175"/>
  <c r="AB131"/>
  <c r="V74"/>
  <c r="W74"/>
  <c r="X74"/>
  <c r="Y74"/>
  <c r="Z74"/>
  <c r="AA74"/>
  <c r="AB74"/>
  <c r="V73"/>
  <c r="W73"/>
  <c r="X73"/>
  <c r="Y73"/>
  <c r="Z73"/>
  <c r="AA73"/>
  <c r="AB73"/>
  <c r="V72"/>
  <c r="W72"/>
  <c r="X72"/>
  <c r="Y72"/>
  <c r="Z72"/>
  <c r="AA72"/>
  <c r="AB72"/>
  <c r="V71"/>
  <c r="W71"/>
  <c r="X71"/>
  <c r="Y71"/>
  <c r="Z71"/>
  <c r="AA71"/>
  <c r="AB71"/>
  <c r="AB70"/>
  <c r="V70"/>
  <c r="W70"/>
  <c r="X70"/>
  <c r="Y70"/>
  <c r="Z70"/>
  <c r="AA70"/>
  <c r="AB69"/>
  <c r="V69"/>
  <c r="W69"/>
  <c r="X69"/>
  <c r="Y69"/>
  <c r="Z69"/>
  <c r="AA69"/>
  <c r="AB68"/>
  <c r="V68"/>
  <c r="W68"/>
  <c r="X68"/>
  <c r="Y68"/>
  <c r="Z68"/>
  <c r="AA68"/>
  <c r="V67"/>
  <c r="W67"/>
  <c r="X67"/>
  <c r="Y67"/>
  <c r="Z67"/>
  <c r="AA67"/>
  <c r="AB67"/>
  <c r="V66"/>
  <c r="W66"/>
  <c r="X66"/>
  <c r="Y66"/>
  <c r="Z66"/>
  <c r="AA66"/>
  <c r="AB66"/>
  <c r="V65"/>
  <c r="W65"/>
  <c r="X65"/>
  <c r="Y65"/>
  <c r="Z65"/>
  <c r="AA65"/>
  <c r="AB65"/>
  <c r="V64"/>
  <c r="W64"/>
  <c r="X64"/>
  <c r="Y64"/>
  <c r="Z64"/>
  <c r="AA64"/>
  <c r="AB64"/>
  <c r="V63"/>
  <c r="W63"/>
  <c r="X63"/>
  <c r="Y63"/>
  <c r="Z63"/>
  <c r="AA63"/>
  <c r="AB63"/>
  <c r="AB50"/>
  <c r="AB42"/>
  <c r="AB41"/>
  <c r="AB40"/>
  <c r="AB33"/>
  <c r="AB32"/>
  <c r="AB31"/>
  <c r="S19"/>
  <c r="W19"/>
  <c r="X19"/>
  <c r="Y19"/>
  <c r="Z19"/>
  <c r="AA19"/>
  <c r="AB19"/>
  <c r="S18"/>
  <c r="W18"/>
  <c r="X18"/>
  <c r="Y18"/>
  <c r="Z18"/>
  <c r="AA18"/>
  <c r="AB18"/>
  <c r="S17"/>
  <c r="W17"/>
  <c r="X17"/>
  <c r="Y17"/>
  <c r="Z17"/>
  <c r="AA17"/>
  <c r="AB17"/>
  <c r="S16"/>
  <c r="W16"/>
  <c r="X16"/>
  <c r="Y16"/>
  <c r="Z16"/>
  <c r="AA16"/>
  <c r="AB16"/>
  <c r="S15"/>
  <c r="W15"/>
  <c r="X15"/>
  <c r="Y15"/>
  <c r="Z15"/>
  <c r="AA15"/>
  <c r="AB15"/>
  <c r="T14"/>
  <c r="S14"/>
  <c r="W14"/>
  <c r="Z14"/>
  <c r="AA14"/>
  <c r="X14"/>
  <c r="Y14"/>
  <c r="AB14"/>
  <c r="AA8" i="4"/>
  <c r="Y8" i="8" s="1"/>
  <c r="AE8" i="47"/>
  <c r="AD8"/>
  <c r="AC8"/>
  <c r="X8" s="1"/>
  <c r="W8"/>
  <c r="AC179"/>
  <c r="AD179"/>
  <c r="AE179"/>
  <c r="AC180"/>
  <c r="AD180"/>
  <c r="AE180"/>
  <c r="AC170"/>
  <c r="AD170"/>
  <c r="AE170"/>
  <c r="AC174"/>
  <c r="AD174"/>
  <c r="AE174"/>
  <c r="AC178"/>
  <c r="AD178"/>
  <c r="AE178"/>
  <c r="AC175"/>
  <c r="AD175"/>
  <c r="AE175"/>
  <c r="AC176"/>
  <c r="AD176"/>
  <c r="AE176"/>
  <c r="AC177"/>
  <c r="AD177"/>
  <c r="AE177"/>
  <c r="AC171"/>
  <c r="AD171"/>
  <c r="AE171"/>
  <c r="AC172"/>
  <c r="AD172"/>
  <c r="AE172"/>
  <c r="AC173"/>
  <c r="AD173"/>
  <c r="AE173"/>
  <c r="AC160"/>
  <c r="AD160"/>
  <c r="AE160"/>
  <c r="AC161"/>
  <c r="AD161"/>
  <c r="AE161"/>
  <c r="AC169"/>
  <c r="AD169"/>
  <c r="AE169"/>
  <c r="AC165"/>
  <c r="AD165"/>
  <c r="AE165"/>
  <c r="AC166"/>
  <c r="AD166"/>
  <c r="AE166"/>
  <c r="AC167"/>
  <c r="AD167"/>
  <c r="AE167"/>
  <c r="AC168"/>
  <c r="AD168"/>
  <c r="AE168"/>
  <c r="AC162"/>
  <c r="AD162"/>
  <c r="AE162"/>
  <c r="AC163"/>
  <c r="AD163"/>
  <c r="AE163"/>
  <c r="AC164"/>
  <c r="AD164"/>
  <c r="AE164"/>
  <c r="AC117"/>
  <c r="AD117"/>
  <c r="AE117"/>
  <c r="AC140"/>
  <c r="AD140"/>
  <c r="AE140"/>
  <c r="AC159"/>
  <c r="AD159"/>
  <c r="AE159"/>
  <c r="AC156"/>
  <c r="AD156"/>
  <c r="AE156"/>
  <c r="AC157"/>
  <c r="AD157"/>
  <c r="AE157"/>
  <c r="AC158"/>
  <c r="AD158"/>
  <c r="AE158"/>
  <c r="AC154"/>
  <c r="AD154"/>
  <c r="AE154"/>
  <c r="AC155"/>
  <c r="AD155"/>
  <c r="AE155"/>
  <c r="AC141"/>
  <c r="AD141"/>
  <c r="AE141"/>
  <c r="AC146"/>
  <c r="AD146"/>
  <c r="AE146"/>
  <c r="AC153"/>
  <c r="AD153"/>
  <c r="AE153"/>
  <c r="AC147"/>
  <c r="AD147"/>
  <c r="AE147"/>
  <c r="AC148"/>
  <c r="AD148"/>
  <c r="AE148"/>
  <c r="AC149"/>
  <c r="AD149"/>
  <c r="AE149"/>
  <c r="AC150"/>
  <c r="AD150"/>
  <c r="AE150"/>
  <c r="AC151"/>
  <c r="AD151"/>
  <c r="AE151"/>
  <c r="AC152"/>
  <c r="AD152"/>
  <c r="AE152"/>
  <c r="AC144"/>
  <c r="AD144"/>
  <c r="AE144"/>
  <c r="AC145"/>
  <c r="AD145"/>
  <c r="AE145"/>
  <c r="AC142"/>
  <c r="AD142"/>
  <c r="AE142"/>
  <c r="AC143"/>
  <c r="AD143"/>
  <c r="AE143"/>
  <c r="AC134"/>
  <c r="AD134"/>
  <c r="AE134"/>
  <c r="AC137"/>
  <c r="AD137"/>
  <c r="AE137"/>
  <c r="AC118"/>
  <c r="AD118"/>
  <c r="AE118"/>
  <c r="AC119"/>
  <c r="AD119"/>
  <c r="AE119"/>
  <c r="AC124"/>
  <c r="AD124"/>
  <c r="AE124"/>
  <c r="AC133"/>
  <c r="AD133"/>
  <c r="AE133"/>
  <c r="AC132"/>
  <c r="AD132"/>
  <c r="AE132"/>
  <c r="AC125"/>
  <c r="AD125"/>
  <c r="AE125"/>
  <c r="AC126"/>
  <c r="AD126"/>
  <c r="AE126"/>
  <c r="AC122"/>
  <c r="AD122"/>
  <c r="AE122"/>
  <c r="AC123"/>
  <c r="AD123"/>
  <c r="AE123"/>
  <c r="AC120"/>
  <c r="AD120"/>
  <c r="AE120"/>
  <c r="AC121"/>
  <c r="AD121"/>
  <c r="AE121"/>
  <c r="AJ116" i="4"/>
  <c r="AL116" i="8" s="1"/>
  <c r="AC116" i="4"/>
  <c r="AH116" i="8" s="1"/>
  <c r="AC116" i="47"/>
  <c r="AD116"/>
  <c r="AE116"/>
  <c r="AJ115" i="4"/>
  <c r="R115" i="8" s="1"/>
  <c r="AC115" i="4"/>
  <c r="AH115" i="8" s="1"/>
  <c r="AC113" i="47"/>
  <c r="AD113"/>
  <c r="AE113"/>
  <c r="AC114"/>
  <c r="AD114"/>
  <c r="AE114"/>
  <c r="AC110"/>
  <c r="AD110"/>
  <c r="AE110"/>
  <c r="AC111"/>
  <c r="AD111"/>
  <c r="AE111"/>
  <c r="AC112"/>
  <c r="AD112"/>
  <c r="AE112"/>
  <c r="AC9"/>
  <c r="AD9"/>
  <c r="AE9"/>
  <c r="AC61"/>
  <c r="AD61"/>
  <c r="AE61"/>
  <c r="AC109"/>
  <c r="AD109"/>
  <c r="AE109"/>
  <c r="AC103"/>
  <c r="AD103"/>
  <c r="AE103"/>
  <c r="AC104"/>
  <c r="AD104"/>
  <c r="AE104"/>
  <c r="AC105"/>
  <c r="AD105"/>
  <c r="AE105"/>
  <c r="AC106"/>
  <c r="AD106"/>
  <c r="AE106"/>
  <c r="AC107"/>
  <c r="AD107"/>
  <c r="AE107"/>
  <c r="AC108"/>
  <c r="AD108"/>
  <c r="AE108"/>
  <c r="AC98"/>
  <c r="AD98"/>
  <c r="AE98"/>
  <c r="AC101"/>
  <c r="AD101"/>
  <c r="AE101"/>
  <c r="AC102"/>
  <c r="AD102"/>
  <c r="AE102"/>
  <c r="AC99"/>
  <c r="AD99"/>
  <c r="AE99"/>
  <c r="AC100"/>
  <c r="AD100"/>
  <c r="AE100"/>
  <c r="AC62"/>
  <c r="AD62"/>
  <c r="AE62"/>
  <c r="AC75"/>
  <c r="AD75"/>
  <c r="AE75"/>
  <c r="AC97"/>
  <c r="AD97"/>
  <c r="AE97"/>
  <c r="AJ96" i="4"/>
  <c r="R96" i="8" s="1"/>
  <c r="AC96" i="4"/>
  <c r="AH96" i="8" s="1"/>
  <c r="AC91" i="47"/>
  <c r="AD91"/>
  <c r="AE91"/>
  <c r="AC92"/>
  <c r="AD92"/>
  <c r="AE92"/>
  <c r="AC93"/>
  <c r="AD93"/>
  <c r="AE93"/>
  <c r="AC94"/>
  <c r="AD94"/>
  <c r="AE94"/>
  <c r="AC95"/>
  <c r="AD95"/>
  <c r="AE95"/>
  <c r="AC76"/>
  <c r="AD76"/>
  <c r="AE76"/>
  <c r="AC79"/>
  <c r="AD79"/>
  <c r="AE79"/>
  <c r="AC86"/>
  <c r="AD86"/>
  <c r="AE86"/>
  <c r="AC90"/>
  <c r="AD90"/>
  <c r="AE90"/>
  <c r="AC80"/>
  <c r="AD80"/>
  <c r="AE80"/>
  <c r="AC81"/>
  <c r="AD81"/>
  <c r="AE81"/>
  <c r="AC82"/>
  <c r="AD82"/>
  <c r="AE82"/>
  <c r="AC83"/>
  <c r="AD83"/>
  <c r="AE83"/>
  <c r="AC84"/>
  <c r="AD84"/>
  <c r="AE84"/>
  <c r="AC85"/>
  <c r="AD85"/>
  <c r="AE85"/>
  <c r="AC89"/>
  <c r="AD89"/>
  <c r="AE89"/>
  <c r="AC88"/>
  <c r="AD88"/>
  <c r="AE88"/>
  <c r="AC87"/>
  <c r="AD87"/>
  <c r="AE87"/>
  <c r="AC77"/>
  <c r="AD77"/>
  <c r="AE77"/>
  <c r="AC78"/>
  <c r="AD78"/>
  <c r="AE78"/>
  <c r="AC72"/>
  <c r="AD72"/>
  <c r="AE72"/>
  <c r="AC73"/>
  <c r="AD73"/>
  <c r="AE73"/>
  <c r="AC74"/>
  <c r="AD74"/>
  <c r="AE74"/>
  <c r="AC63"/>
  <c r="AD63"/>
  <c r="AE63"/>
  <c r="AC67"/>
  <c r="AD67"/>
  <c r="AE67"/>
  <c r="AC71"/>
  <c r="AD71"/>
  <c r="AE71"/>
  <c r="AC68"/>
  <c r="AD68"/>
  <c r="AE68"/>
  <c r="AC69"/>
  <c r="AD69"/>
  <c r="AE69"/>
  <c r="AC70"/>
  <c r="AD70"/>
  <c r="AE70"/>
  <c r="AC64"/>
  <c r="AD64"/>
  <c r="AE64"/>
  <c r="AC65"/>
  <c r="AD65"/>
  <c r="AE65"/>
  <c r="AC66"/>
  <c r="AD66"/>
  <c r="AE66"/>
  <c r="AC59"/>
  <c r="AD59"/>
  <c r="AE59"/>
  <c r="AC60"/>
  <c r="AD60"/>
  <c r="AE60"/>
  <c r="AC48"/>
  <c r="AD48"/>
  <c r="AE48"/>
  <c r="AC53"/>
  <c r="AD53"/>
  <c r="AE53"/>
  <c r="AC58"/>
  <c r="AD58"/>
  <c r="AE58"/>
  <c r="AC54"/>
  <c r="AD54"/>
  <c r="AE54"/>
  <c r="AC55"/>
  <c r="AD55"/>
  <c r="AE55"/>
  <c r="AC56"/>
  <c r="AD56"/>
  <c r="AE56"/>
  <c r="AC57"/>
  <c r="AD57"/>
  <c r="AE57"/>
  <c r="AC49"/>
  <c r="AD49"/>
  <c r="AE49"/>
  <c r="AC50"/>
  <c r="AD50"/>
  <c r="AE50"/>
  <c r="AC51"/>
  <c r="AD51"/>
  <c r="AE51"/>
  <c r="AC52"/>
  <c r="AD52"/>
  <c r="AE52"/>
  <c r="AC20"/>
  <c r="AD20"/>
  <c r="AE20"/>
  <c r="AC34"/>
  <c r="AD34"/>
  <c r="AE34"/>
  <c r="AC47"/>
  <c r="AD47"/>
  <c r="AE47"/>
  <c r="AC35"/>
  <c r="AD35"/>
  <c r="AE35"/>
  <c r="AC39"/>
  <c r="AD39"/>
  <c r="AE39"/>
  <c r="AC43"/>
  <c r="AD43"/>
  <c r="AE43"/>
  <c r="AC46"/>
  <c r="AD46"/>
  <c r="AE46"/>
  <c r="AC44"/>
  <c r="AD44"/>
  <c r="AE44"/>
  <c r="AC45"/>
  <c r="AD45"/>
  <c r="AE45"/>
  <c r="AC40"/>
  <c r="AD40"/>
  <c r="AE40"/>
  <c r="AC41"/>
  <c r="AD41"/>
  <c r="AE41"/>
  <c r="AC42"/>
  <c r="AD42"/>
  <c r="AE42"/>
  <c r="AC36"/>
  <c r="AD36"/>
  <c r="AE36"/>
  <c r="AC37"/>
  <c r="AD37"/>
  <c r="AE37"/>
  <c r="AC38"/>
  <c r="AD38"/>
  <c r="AE38"/>
  <c r="AC32"/>
  <c r="AD32"/>
  <c r="AE32"/>
  <c r="AC33"/>
  <c r="AD33"/>
  <c r="AE33"/>
  <c r="AC21"/>
  <c r="AD21"/>
  <c r="AE21"/>
  <c r="AC30"/>
  <c r="AD30"/>
  <c r="AE30"/>
  <c r="AC31"/>
  <c r="AD31"/>
  <c r="AE31"/>
  <c r="AC22"/>
  <c r="AD22"/>
  <c r="AE22"/>
  <c r="AC23"/>
  <c r="AD23"/>
  <c r="AE23"/>
  <c r="AC24"/>
  <c r="AD24"/>
  <c r="AE24"/>
  <c r="AC25"/>
  <c r="AD25"/>
  <c r="AE25"/>
  <c r="AC26"/>
  <c r="AD26"/>
  <c r="AE26"/>
  <c r="AC27"/>
  <c r="AD27"/>
  <c r="AE27"/>
  <c r="AC28"/>
  <c r="AD28"/>
  <c r="AE28"/>
  <c r="AC29"/>
  <c r="AD29"/>
  <c r="AE29"/>
  <c r="P9"/>
  <c r="B9" s="1"/>
  <c r="R9"/>
  <c r="C9" s="1"/>
  <c r="Q9"/>
  <c r="T9"/>
  <c r="U9"/>
  <c r="V9"/>
  <c r="W9"/>
  <c r="X9"/>
  <c r="Y9"/>
  <c r="Z9"/>
  <c r="AA9"/>
  <c r="AB9"/>
  <c r="P14"/>
  <c r="R14"/>
  <c r="Q14"/>
  <c r="U14"/>
  <c r="V14"/>
  <c r="P15"/>
  <c r="R15"/>
  <c r="Q15"/>
  <c r="T15"/>
  <c r="U15"/>
  <c r="V15"/>
  <c r="P16"/>
  <c r="R16"/>
  <c r="Q16"/>
  <c r="T16"/>
  <c r="U16"/>
  <c r="V16"/>
  <c r="P17"/>
  <c r="R17"/>
  <c r="Q17"/>
  <c r="T17"/>
  <c r="U17"/>
  <c r="V17"/>
  <c r="P18"/>
  <c r="R18"/>
  <c r="Q18"/>
  <c r="T18"/>
  <c r="U18"/>
  <c r="V18"/>
  <c r="P19"/>
  <c r="R19"/>
  <c r="Q19"/>
  <c r="T19"/>
  <c r="U19"/>
  <c r="V19"/>
  <c r="P20"/>
  <c r="R20"/>
  <c r="Q20"/>
  <c r="S20"/>
  <c r="T20"/>
  <c r="U20"/>
  <c r="V20"/>
  <c r="W20"/>
  <c r="X20"/>
  <c r="Y20"/>
  <c r="Z20"/>
  <c r="AA20"/>
  <c r="AB20"/>
  <c r="P21"/>
  <c r="R21"/>
  <c r="Q21"/>
  <c r="S21"/>
  <c r="T21"/>
  <c r="U21"/>
  <c r="V21"/>
  <c r="W21"/>
  <c r="X21"/>
  <c r="Y21"/>
  <c r="Z21"/>
  <c r="AA21"/>
  <c r="AB21"/>
  <c r="P22"/>
  <c r="R22"/>
  <c r="Q22"/>
  <c r="S22"/>
  <c r="T22"/>
  <c r="U22"/>
  <c r="V22"/>
  <c r="W22"/>
  <c r="X22"/>
  <c r="Y22"/>
  <c r="Z22"/>
  <c r="AA22"/>
  <c r="AB22"/>
  <c r="P23"/>
  <c r="B23" s="1"/>
  <c r="R23"/>
  <c r="C23" s="1"/>
  <c r="Q23"/>
  <c r="S23"/>
  <c r="T23"/>
  <c r="U23"/>
  <c r="V23"/>
  <c r="W23"/>
  <c r="X23"/>
  <c r="Y23"/>
  <c r="Z23"/>
  <c r="AA23"/>
  <c r="AB23"/>
  <c r="P24"/>
  <c r="R24"/>
  <c r="Q24"/>
  <c r="S24"/>
  <c r="T24"/>
  <c r="U24"/>
  <c r="V24"/>
  <c r="W24"/>
  <c r="X24"/>
  <c r="Y24"/>
  <c r="Z24"/>
  <c r="AA24"/>
  <c r="AB24"/>
  <c r="P25"/>
  <c r="R25"/>
  <c r="Q25"/>
  <c r="S25"/>
  <c r="T25"/>
  <c r="U25"/>
  <c r="V25"/>
  <c r="W25"/>
  <c r="X25"/>
  <c r="Y25"/>
  <c r="Z25"/>
  <c r="AA25"/>
  <c r="AB25"/>
  <c r="P26"/>
  <c r="B26" s="1"/>
  <c r="R26"/>
  <c r="C26" s="1"/>
  <c r="Q26"/>
  <c r="S26"/>
  <c r="T26"/>
  <c r="U26"/>
  <c r="V26"/>
  <c r="W26"/>
  <c r="X26"/>
  <c r="Y26"/>
  <c r="Z26"/>
  <c r="AA26"/>
  <c r="AB26"/>
  <c r="P27"/>
  <c r="B27" s="1"/>
  <c r="R27"/>
  <c r="C27" s="1"/>
  <c r="Q27"/>
  <c r="S27"/>
  <c r="T27"/>
  <c r="U27"/>
  <c r="V27"/>
  <c r="W27"/>
  <c r="X27"/>
  <c r="Y27"/>
  <c r="Z27"/>
  <c r="AA27"/>
  <c r="AB27"/>
  <c r="P28"/>
  <c r="B28" s="1"/>
  <c r="R28"/>
  <c r="C28" s="1"/>
  <c r="Q28"/>
  <c r="S28"/>
  <c r="T28"/>
  <c r="U28"/>
  <c r="V28"/>
  <c r="W28"/>
  <c r="X28"/>
  <c r="Y28"/>
  <c r="Z28"/>
  <c r="AA28"/>
  <c r="AB28"/>
  <c r="P29"/>
  <c r="B29" s="1"/>
  <c r="R29"/>
  <c r="C29" s="1"/>
  <c r="Q29"/>
  <c r="S29"/>
  <c r="T29"/>
  <c r="U29"/>
  <c r="V29"/>
  <c r="W29"/>
  <c r="X29"/>
  <c r="Y29"/>
  <c r="Z29"/>
  <c r="AA29"/>
  <c r="AB29"/>
  <c r="P30"/>
  <c r="R30"/>
  <c r="Q30"/>
  <c r="S30"/>
  <c r="T30"/>
  <c r="U30"/>
  <c r="V30"/>
  <c r="W30"/>
  <c r="X30"/>
  <c r="Y30"/>
  <c r="Z30"/>
  <c r="AA30"/>
  <c r="AB30"/>
  <c r="P31"/>
  <c r="R31"/>
  <c r="Q31"/>
  <c r="S31"/>
  <c r="T31"/>
  <c r="U31"/>
  <c r="V31"/>
  <c r="W31"/>
  <c r="X31"/>
  <c r="Y31"/>
  <c r="Z31"/>
  <c r="AA31"/>
  <c r="P32"/>
  <c r="R32"/>
  <c r="Q32"/>
  <c r="S32"/>
  <c r="T32"/>
  <c r="U32"/>
  <c r="V32"/>
  <c r="W32"/>
  <c r="X32"/>
  <c r="Y32"/>
  <c r="Z32"/>
  <c r="AA32"/>
  <c r="P33"/>
  <c r="R33"/>
  <c r="Q33"/>
  <c r="S33"/>
  <c r="T33"/>
  <c r="U33"/>
  <c r="V33"/>
  <c r="W33"/>
  <c r="X33"/>
  <c r="Y33"/>
  <c r="Z33"/>
  <c r="AA33"/>
  <c r="P34"/>
  <c r="R34"/>
  <c r="Q34"/>
  <c r="S34"/>
  <c r="T34"/>
  <c r="U34"/>
  <c r="V34"/>
  <c r="W34"/>
  <c r="X34"/>
  <c r="Y34"/>
  <c r="Z34"/>
  <c r="AA34"/>
  <c r="AB34"/>
  <c r="P35"/>
  <c r="R35"/>
  <c r="Q35"/>
  <c r="S35"/>
  <c r="T35"/>
  <c r="U35"/>
  <c r="V35"/>
  <c r="W35"/>
  <c r="X35"/>
  <c r="Y35"/>
  <c r="Z35"/>
  <c r="AA35"/>
  <c r="AB35"/>
  <c r="P36"/>
  <c r="R36"/>
  <c r="Q36"/>
  <c r="S36"/>
  <c r="T36"/>
  <c r="U36"/>
  <c r="V36"/>
  <c r="W36"/>
  <c r="X36"/>
  <c r="Y36"/>
  <c r="Z36"/>
  <c r="AA36"/>
  <c r="AB36"/>
  <c r="P37"/>
  <c r="R37"/>
  <c r="Q37"/>
  <c r="S37"/>
  <c r="T37"/>
  <c r="U37"/>
  <c r="V37"/>
  <c r="W37"/>
  <c r="X37"/>
  <c r="Y37"/>
  <c r="Z37"/>
  <c r="AA37"/>
  <c r="AB37"/>
  <c r="P38"/>
  <c r="R38"/>
  <c r="Q38"/>
  <c r="S38"/>
  <c r="T38"/>
  <c r="U38"/>
  <c r="V38"/>
  <c r="W38"/>
  <c r="X38"/>
  <c r="Y38"/>
  <c r="Z38"/>
  <c r="AA38"/>
  <c r="AB38"/>
  <c r="P39"/>
  <c r="R39"/>
  <c r="Q39"/>
  <c r="S39"/>
  <c r="T39"/>
  <c r="U39"/>
  <c r="V39"/>
  <c r="W39"/>
  <c r="X39"/>
  <c r="Y39"/>
  <c r="Z39"/>
  <c r="AA39"/>
  <c r="AB39"/>
  <c r="P40"/>
  <c r="R40"/>
  <c r="Q40"/>
  <c r="S40"/>
  <c r="T40"/>
  <c r="U40"/>
  <c r="V40"/>
  <c r="W40"/>
  <c r="X40"/>
  <c r="Y40"/>
  <c r="Z40"/>
  <c r="AA40"/>
  <c r="P41"/>
  <c r="R41"/>
  <c r="Q41"/>
  <c r="S41"/>
  <c r="T41"/>
  <c r="U41"/>
  <c r="V41"/>
  <c r="W41"/>
  <c r="X41"/>
  <c r="Y41"/>
  <c r="Z41"/>
  <c r="AA41"/>
  <c r="R42"/>
  <c r="P42"/>
  <c r="Q42"/>
  <c r="S42"/>
  <c r="T42"/>
  <c r="U42"/>
  <c r="V42"/>
  <c r="W42"/>
  <c r="X42"/>
  <c r="Y42"/>
  <c r="Z42"/>
  <c r="AA42"/>
  <c r="P43"/>
  <c r="R43"/>
  <c r="Q43"/>
  <c r="S43"/>
  <c r="T43"/>
  <c r="U43"/>
  <c r="V43"/>
  <c r="W43"/>
  <c r="X43"/>
  <c r="Y43"/>
  <c r="Z43"/>
  <c r="AA43"/>
  <c r="AB43"/>
  <c r="P44"/>
  <c r="B44" s="1"/>
  <c r="R44"/>
  <c r="C44" s="1"/>
  <c r="Q44"/>
  <c r="S44"/>
  <c r="T44"/>
  <c r="U44"/>
  <c r="V44"/>
  <c r="W44"/>
  <c r="X44"/>
  <c r="Y44"/>
  <c r="Z44"/>
  <c r="AA44"/>
  <c r="AB44"/>
  <c r="P45"/>
  <c r="B45" s="1"/>
  <c r="R45"/>
  <c r="C45" s="1"/>
  <c r="Q45"/>
  <c r="S45"/>
  <c r="T45"/>
  <c r="U45"/>
  <c r="V45"/>
  <c r="W45"/>
  <c r="X45"/>
  <c r="Y45"/>
  <c r="Z45"/>
  <c r="AA45"/>
  <c r="AB45"/>
  <c r="P46"/>
  <c r="R46"/>
  <c r="Q46"/>
  <c r="S46"/>
  <c r="T46"/>
  <c r="U46"/>
  <c r="V46"/>
  <c r="W46"/>
  <c r="X46"/>
  <c r="Y46"/>
  <c r="Z46"/>
  <c r="AA46"/>
  <c r="AB46"/>
  <c r="P47"/>
  <c r="R47"/>
  <c r="Q47"/>
  <c r="S47"/>
  <c r="T47"/>
  <c r="U47"/>
  <c r="V47"/>
  <c r="W47"/>
  <c r="X47"/>
  <c r="Y47"/>
  <c r="Z47"/>
  <c r="AA47"/>
  <c r="AB47"/>
  <c r="P48"/>
  <c r="R48"/>
  <c r="Q48"/>
  <c r="S48"/>
  <c r="T48"/>
  <c r="U48"/>
  <c r="V48"/>
  <c r="W48"/>
  <c r="X48"/>
  <c r="Y48"/>
  <c r="Z48"/>
  <c r="AA48"/>
  <c r="AB48"/>
  <c r="P49"/>
  <c r="R49"/>
  <c r="Q49"/>
  <c r="S49"/>
  <c r="T49"/>
  <c r="U49"/>
  <c r="V49"/>
  <c r="W49"/>
  <c r="X49"/>
  <c r="Y49"/>
  <c r="Z49"/>
  <c r="AA49"/>
  <c r="AB49"/>
  <c r="P50"/>
  <c r="R50"/>
  <c r="Q50"/>
  <c r="S50"/>
  <c r="T50"/>
  <c r="U50"/>
  <c r="V50"/>
  <c r="W50"/>
  <c r="X50"/>
  <c r="Y50"/>
  <c r="Z50"/>
  <c r="AA50"/>
  <c r="P51"/>
  <c r="B51" s="1"/>
  <c r="R51"/>
  <c r="C51" s="1"/>
  <c r="Q51"/>
  <c r="S51"/>
  <c r="T51"/>
  <c r="U51"/>
  <c r="V51"/>
  <c r="W51"/>
  <c r="X51"/>
  <c r="Y51"/>
  <c r="Z51"/>
  <c r="AA51"/>
  <c r="AB51"/>
  <c r="P52"/>
  <c r="B52" s="1"/>
  <c r="R52"/>
  <c r="C52" s="1"/>
  <c r="Q52"/>
  <c r="S52"/>
  <c r="T52"/>
  <c r="U52"/>
  <c r="V52"/>
  <c r="W52"/>
  <c r="X52"/>
  <c r="Y52"/>
  <c r="Z52"/>
  <c r="AA52"/>
  <c r="AB52"/>
  <c r="P53"/>
  <c r="R53"/>
  <c r="Q53"/>
  <c r="S53"/>
  <c r="T53"/>
  <c r="U53"/>
  <c r="V53"/>
  <c r="W53"/>
  <c r="X53"/>
  <c r="Y53"/>
  <c r="Z53"/>
  <c r="AA53"/>
  <c r="AB53"/>
  <c r="P54"/>
  <c r="R54"/>
  <c r="Q54"/>
  <c r="S54"/>
  <c r="T54"/>
  <c r="U54"/>
  <c r="V54"/>
  <c r="W54"/>
  <c r="X54"/>
  <c r="Y54"/>
  <c r="Z54"/>
  <c r="AA54"/>
  <c r="AB54"/>
  <c r="P55"/>
  <c r="R55"/>
  <c r="Q55"/>
  <c r="S55"/>
  <c r="T55"/>
  <c r="U55"/>
  <c r="V55"/>
  <c r="W55"/>
  <c r="X55"/>
  <c r="Y55"/>
  <c r="Z55"/>
  <c r="AA55"/>
  <c r="AB55"/>
  <c r="P56"/>
  <c r="R56"/>
  <c r="Q56"/>
  <c r="S56"/>
  <c r="T56"/>
  <c r="U56"/>
  <c r="V56"/>
  <c r="W56"/>
  <c r="X56"/>
  <c r="Y56"/>
  <c r="Z56"/>
  <c r="AA56"/>
  <c r="AB56"/>
  <c r="P57"/>
  <c r="B57" s="1"/>
  <c r="R57"/>
  <c r="C57" s="1"/>
  <c r="Q57"/>
  <c r="S57"/>
  <c r="T57"/>
  <c r="U57"/>
  <c r="V57"/>
  <c r="W57"/>
  <c r="X57"/>
  <c r="Y57"/>
  <c r="Z57"/>
  <c r="AA57"/>
  <c r="AB57"/>
  <c r="P58"/>
  <c r="R58"/>
  <c r="Q58"/>
  <c r="S58"/>
  <c r="T58"/>
  <c r="U58"/>
  <c r="V58"/>
  <c r="W58"/>
  <c r="X58"/>
  <c r="Y58"/>
  <c r="Z58"/>
  <c r="AA58"/>
  <c r="AB58"/>
  <c r="P59"/>
  <c r="R59"/>
  <c r="Q59"/>
  <c r="S59"/>
  <c r="T59"/>
  <c r="U59"/>
  <c r="V59"/>
  <c r="W59"/>
  <c r="X59"/>
  <c r="Y59"/>
  <c r="Z59"/>
  <c r="AA59"/>
  <c r="AB59"/>
  <c r="P60"/>
  <c r="R60"/>
  <c r="Q60"/>
  <c r="S60"/>
  <c r="T60"/>
  <c r="U60"/>
  <c r="V60"/>
  <c r="W60"/>
  <c r="X60"/>
  <c r="Y60"/>
  <c r="Z60"/>
  <c r="AA60"/>
  <c r="AB60"/>
  <c r="P61"/>
  <c r="B61" s="1"/>
  <c r="R61"/>
  <c r="C61" s="1"/>
  <c r="Q61"/>
  <c r="S61"/>
  <c r="T61"/>
  <c r="U61"/>
  <c r="V61"/>
  <c r="W61"/>
  <c r="X61"/>
  <c r="Y61"/>
  <c r="Z61"/>
  <c r="AA61"/>
  <c r="AB61"/>
  <c r="P62"/>
  <c r="B62" s="1"/>
  <c r="R62"/>
  <c r="C62" s="1"/>
  <c r="Q62"/>
  <c r="S62"/>
  <c r="T62"/>
  <c r="U62"/>
  <c r="V62"/>
  <c r="W62"/>
  <c r="X62"/>
  <c r="Y62"/>
  <c r="Z62"/>
  <c r="AA62"/>
  <c r="AB62"/>
  <c r="P63"/>
  <c r="B63" s="1"/>
  <c r="R63"/>
  <c r="C63" s="1"/>
  <c r="Q63"/>
  <c r="S63"/>
  <c r="T63"/>
  <c r="U63"/>
  <c r="P64"/>
  <c r="B64" s="1"/>
  <c r="R64"/>
  <c r="C64" s="1"/>
  <c r="Q64"/>
  <c r="S64"/>
  <c r="T64"/>
  <c r="U64"/>
  <c r="P65"/>
  <c r="B65" s="1"/>
  <c r="R65"/>
  <c r="C65" s="1"/>
  <c r="Q65"/>
  <c r="S65"/>
  <c r="T65"/>
  <c r="U65"/>
  <c r="P66"/>
  <c r="B66" s="1"/>
  <c r="R66"/>
  <c r="C66" s="1"/>
  <c r="Q66"/>
  <c r="S66"/>
  <c r="T66"/>
  <c r="U66"/>
  <c r="P67"/>
  <c r="B67" s="1"/>
  <c r="R67"/>
  <c r="C67"/>
  <c r="Q67"/>
  <c r="S67"/>
  <c r="T67"/>
  <c r="U67"/>
  <c r="P68"/>
  <c r="B68" s="1"/>
  <c r="R68"/>
  <c r="C68" s="1"/>
  <c r="Q68"/>
  <c r="S68"/>
  <c r="T68"/>
  <c r="U68"/>
  <c r="P69"/>
  <c r="B69" s="1"/>
  <c r="R69"/>
  <c r="C69"/>
  <c r="Q69"/>
  <c r="S69"/>
  <c r="T69"/>
  <c r="U69"/>
  <c r="P70"/>
  <c r="B70" s="1"/>
  <c r="R70"/>
  <c r="C70" s="1"/>
  <c r="Q70"/>
  <c r="S70"/>
  <c r="T70"/>
  <c r="U70"/>
  <c r="P71"/>
  <c r="B71" s="1"/>
  <c r="R71"/>
  <c r="C71" s="1"/>
  <c r="Q71"/>
  <c r="S71"/>
  <c r="T71"/>
  <c r="U71"/>
  <c r="P72"/>
  <c r="B72" s="1"/>
  <c r="R72"/>
  <c r="C72" s="1"/>
  <c r="Q72"/>
  <c r="S72"/>
  <c r="T72"/>
  <c r="U72"/>
  <c r="P73"/>
  <c r="B73" s="1"/>
  <c r="R73"/>
  <c r="C73" s="1"/>
  <c r="Q73"/>
  <c r="S73"/>
  <c r="T73"/>
  <c r="U73"/>
  <c r="P74"/>
  <c r="B74" s="1"/>
  <c r="R74"/>
  <c r="C74" s="1"/>
  <c r="Q74"/>
  <c r="S74"/>
  <c r="T74"/>
  <c r="U74"/>
  <c r="P75"/>
  <c r="B75" s="1"/>
  <c r="R75"/>
  <c r="C75"/>
  <c r="Q75"/>
  <c r="S75"/>
  <c r="T75"/>
  <c r="U75"/>
  <c r="V75"/>
  <c r="W75"/>
  <c r="X75"/>
  <c r="Y75"/>
  <c r="Z75"/>
  <c r="AA75"/>
  <c r="AB75"/>
  <c r="P76"/>
  <c r="B76" s="1"/>
  <c r="R76"/>
  <c r="C76" s="1"/>
  <c r="Q76"/>
  <c r="S76"/>
  <c r="T76"/>
  <c r="U76"/>
  <c r="V76"/>
  <c r="W76"/>
  <c r="X76"/>
  <c r="Y76"/>
  <c r="Z76"/>
  <c r="AA76"/>
  <c r="AB76"/>
  <c r="P77"/>
  <c r="B77" s="1"/>
  <c r="R77"/>
  <c r="C77" s="1"/>
  <c r="Q77"/>
  <c r="S77"/>
  <c r="T77"/>
  <c r="U77"/>
  <c r="V77"/>
  <c r="W77"/>
  <c r="X77"/>
  <c r="Y77"/>
  <c r="Z77"/>
  <c r="AA77"/>
  <c r="AB77"/>
  <c r="P78"/>
  <c r="B78" s="1"/>
  <c r="R78"/>
  <c r="C78" s="1"/>
  <c r="Q78"/>
  <c r="S78"/>
  <c r="T78"/>
  <c r="U78"/>
  <c r="V78"/>
  <c r="W78"/>
  <c r="X78"/>
  <c r="Y78"/>
  <c r="Z78"/>
  <c r="AA78"/>
  <c r="AB78"/>
  <c r="P79"/>
  <c r="B79" s="1"/>
  <c r="R79"/>
  <c r="C79" s="1"/>
  <c r="Q79"/>
  <c r="S79"/>
  <c r="T79"/>
  <c r="U79"/>
  <c r="V79"/>
  <c r="W79"/>
  <c r="X79"/>
  <c r="Y79"/>
  <c r="Z79"/>
  <c r="AA79"/>
  <c r="AB79"/>
  <c r="P80"/>
  <c r="B80" s="1"/>
  <c r="R80"/>
  <c r="C80" s="1"/>
  <c r="Q80"/>
  <c r="S80"/>
  <c r="T80"/>
  <c r="U80"/>
  <c r="V80"/>
  <c r="W80"/>
  <c r="X80"/>
  <c r="Y80"/>
  <c r="Z80"/>
  <c r="AA80"/>
  <c r="AB80"/>
  <c r="P81"/>
  <c r="B81" s="1"/>
  <c r="R81"/>
  <c r="C81" s="1"/>
  <c r="Q81"/>
  <c r="S81"/>
  <c r="T81"/>
  <c r="U81"/>
  <c r="V81"/>
  <c r="W81"/>
  <c r="X81"/>
  <c r="Y81"/>
  <c r="Z81"/>
  <c r="AA81"/>
  <c r="AB81"/>
  <c r="P82"/>
  <c r="B82" s="1"/>
  <c r="R82"/>
  <c r="C82" s="1"/>
  <c r="Q82"/>
  <c r="S82"/>
  <c r="T82"/>
  <c r="U82"/>
  <c r="V82"/>
  <c r="W82"/>
  <c r="X82"/>
  <c r="Y82"/>
  <c r="Z82"/>
  <c r="AA82"/>
  <c r="AB82"/>
  <c r="P83"/>
  <c r="B83" s="1"/>
  <c r="R83"/>
  <c r="C83" s="1"/>
  <c r="Q83"/>
  <c r="S83"/>
  <c r="T83"/>
  <c r="U83"/>
  <c r="V83"/>
  <c r="W83"/>
  <c r="X83"/>
  <c r="Y83"/>
  <c r="Z83"/>
  <c r="AA83"/>
  <c r="AB83"/>
  <c r="P84"/>
  <c r="B84" s="1"/>
  <c r="R84"/>
  <c r="C84" s="1"/>
  <c r="S84"/>
  <c r="T84"/>
  <c r="U84"/>
  <c r="V84"/>
  <c r="W84"/>
  <c r="X84"/>
  <c r="Y84"/>
  <c r="Z84"/>
  <c r="AA84"/>
  <c r="AB84"/>
  <c r="P85"/>
  <c r="B85" s="1"/>
  <c r="R85"/>
  <c r="C85" s="1"/>
  <c r="Q85"/>
  <c r="S85"/>
  <c r="T85"/>
  <c r="U85"/>
  <c r="V85"/>
  <c r="W85"/>
  <c r="X85"/>
  <c r="Y85"/>
  <c r="Z85"/>
  <c r="AA85"/>
  <c r="AB85"/>
  <c r="P86"/>
  <c r="B86" s="1"/>
  <c r="R86"/>
  <c r="C86" s="1"/>
  <c r="Q86"/>
  <c r="S86"/>
  <c r="T86"/>
  <c r="U86"/>
  <c r="V86"/>
  <c r="W86"/>
  <c r="X86"/>
  <c r="Y86"/>
  <c r="Z86"/>
  <c r="AA86"/>
  <c r="AB86"/>
  <c r="P87"/>
  <c r="B87" s="1"/>
  <c r="R87"/>
  <c r="C87" s="1"/>
  <c r="Q87"/>
  <c r="S87"/>
  <c r="T87"/>
  <c r="U87"/>
  <c r="V87"/>
  <c r="W87"/>
  <c r="X87"/>
  <c r="Y87"/>
  <c r="Z87"/>
  <c r="AA87"/>
  <c r="AB87"/>
  <c r="P88"/>
  <c r="B88" s="1"/>
  <c r="R88"/>
  <c r="C88" s="1"/>
  <c r="Q88"/>
  <c r="S88"/>
  <c r="T88"/>
  <c r="U88"/>
  <c r="V88"/>
  <c r="W88"/>
  <c r="X88"/>
  <c r="Y88"/>
  <c r="Z88"/>
  <c r="AA88"/>
  <c r="AB88"/>
  <c r="P89"/>
  <c r="B89" s="1"/>
  <c r="R89"/>
  <c r="C89" s="1"/>
  <c r="Q89"/>
  <c r="S89"/>
  <c r="T89"/>
  <c r="U89"/>
  <c r="V89"/>
  <c r="W89"/>
  <c r="X89"/>
  <c r="Y89"/>
  <c r="Z89"/>
  <c r="AA89"/>
  <c r="AB89"/>
  <c r="P90"/>
  <c r="B90" s="1"/>
  <c r="R90"/>
  <c r="C90" s="1"/>
  <c r="Q90"/>
  <c r="S90"/>
  <c r="T90"/>
  <c r="U90"/>
  <c r="V90"/>
  <c r="W90"/>
  <c r="X90"/>
  <c r="Y90"/>
  <c r="Z90"/>
  <c r="AA90"/>
  <c r="AB90"/>
  <c r="P91"/>
  <c r="B91" s="1"/>
  <c r="R91"/>
  <c r="C91" s="1"/>
  <c r="Q91"/>
  <c r="S91"/>
  <c r="T91"/>
  <c r="U91"/>
  <c r="V91"/>
  <c r="W91"/>
  <c r="X91"/>
  <c r="Y91"/>
  <c r="Z91"/>
  <c r="AA91"/>
  <c r="AB91"/>
  <c r="P92"/>
  <c r="B92" s="1"/>
  <c r="R92"/>
  <c r="C92" s="1"/>
  <c r="Q92"/>
  <c r="S92"/>
  <c r="T92"/>
  <c r="U92"/>
  <c r="V92"/>
  <c r="W92"/>
  <c r="X92"/>
  <c r="Y92"/>
  <c r="Z92"/>
  <c r="AA92"/>
  <c r="AB92"/>
  <c r="P93"/>
  <c r="B93" s="1"/>
  <c r="R93"/>
  <c r="C93" s="1"/>
  <c r="Q93"/>
  <c r="S93"/>
  <c r="T93"/>
  <c r="U93"/>
  <c r="V93"/>
  <c r="W93"/>
  <c r="X93"/>
  <c r="Y93"/>
  <c r="Z93"/>
  <c r="AA93"/>
  <c r="AB93"/>
  <c r="P94"/>
  <c r="B94" s="1"/>
  <c r="R94"/>
  <c r="C94" s="1"/>
  <c r="Q94"/>
  <c r="S94"/>
  <c r="T94"/>
  <c r="U94"/>
  <c r="V94"/>
  <c r="W94"/>
  <c r="X94"/>
  <c r="Y94"/>
  <c r="Z94"/>
  <c r="AA94"/>
  <c r="AB94"/>
  <c r="P95"/>
  <c r="B95" s="1"/>
  <c r="R95"/>
  <c r="C95" s="1"/>
  <c r="Q95"/>
  <c r="S95"/>
  <c r="T95"/>
  <c r="U95"/>
  <c r="V95"/>
  <c r="W95"/>
  <c r="X95"/>
  <c r="Y95"/>
  <c r="Z95"/>
  <c r="AA95"/>
  <c r="AB95"/>
  <c r="P96"/>
  <c r="B96" s="1"/>
  <c r="R96"/>
  <c r="C96" s="1"/>
  <c r="Q96"/>
  <c r="S96"/>
  <c r="T96"/>
  <c r="U96"/>
  <c r="V96"/>
  <c r="W96"/>
  <c r="X96"/>
  <c r="Y96"/>
  <c r="Z96"/>
  <c r="AA96"/>
  <c r="AB96"/>
  <c r="AC96"/>
  <c r="AD96"/>
  <c r="AE96"/>
  <c r="P97"/>
  <c r="B97" s="1"/>
  <c r="R97"/>
  <c r="C97"/>
  <c r="Q97"/>
  <c r="S97"/>
  <c r="T97"/>
  <c r="U97"/>
  <c r="V97"/>
  <c r="W97"/>
  <c r="X97"/>
  <c r="Y97"/>
  <c r="Z97"/>
  <c r="AA97"/>
  <c r="AB97"/>
  <c r="P98"/>
  <c r="B98" s="1"/>
  <c r="R98"/>
  <c r="C98" s="1"/>
  <c r="Q98"/>
  <c r="S98"/>
  <c r="T98"/>
  <c r="U98"/>
  <c r="V98"/>
  <c r="W98"/>
  <c r="X98"/>
  <c r="Y98"/>
  <c r="Z98"/>
  <c r="AA98"/>
  <c r="AB98"/>
  <c r="P99"/>
  <c r="B99" s="1"/>
  <c r="R99"/>
  <c r="C99"/>
  <c r="Q99"/>
  <c r="S99"/>
  <c r="T99"/>
  <c r="U99"/>
  <c r="V99"/>
  <c r="W99"/>
  <c r="X99"/>
  <c r="Y99"/>
  <c r="Z99"/>
  <c r="AA99"/>
  <c r="AB99"/>
  <c r="P100"/>
  <c r="B100" s="1"/>
  <c r="R100"/>
  <c r="C100" s="1"/>
  <c r="Q100"/>
  <c r="S100"/>
  <c r="T100"/>
  <c r="U100"/>
  <c r="V100"/>
  <c r="W100"/>
  <c r="X100"/>
  <c r="Y100"/>
  <c r="Z100"/>
  <c r="AA100"/>
  <c r="AB100"/>
  <c r="P101"/>
  <c r="B101" s="1"/>
  <c r="R101"/>
  <c r="C101" s="1"/>
  <c r="Q101"/>
  <c r="S101"/>
  <c r="T101"/>
  <c r="U101"/>
  <c r="V101"/>
  <c r="W101"/>
  <c r="X101"/>
  <c r="Y101"/>
  <c r="Z101"/>
  <c r="AA101"/>
  <c r="AB101"/>
  <c r="P102"/>
  <c r="B102" s="1"/>
  <c r="R102"/>
  <c r="C102" s="1"/>
  <c r="Q102"/>
  <c r="S102"/>
  <c r="T102"/>
  <c r="U102"/>
  <c r="V102"/>
  <c r="W102"/>
  <c r="X102"/>
  <c r="Y102"/>
  <c r="Z102"/>
  <c r="AA102"/>
  <c r="AB102"/>
  <c r="P103"/>
  <c r="B103" s="1"/>
  <c r="R103"/>
  <c r="C103" s="1"/>
  <c r="Q103"/>
  <c r="S103"/>
  <c r="T103"/>
  <c r="U103"/>
  <c r="V103"/>
  <c r="W103"/>
  <c r="X103"/>
  <c r="Y103"/>
  <c r="Z103"/>
  <c r="AA103"/>
  <c r="AB103"/>
  <c r="P104"/>
  <c r="B104" s="1"/>
  <c r="R104"/>
  <c r="C104" s="1"/>
  <c r="Q104"/>
  <c r="S104"/>
  <c r="T104"/>
  <c r="U104"/>
  <c r="V104"/>
  <c r="W104"/>
  <c r="X104"/>
  <c r="Y104"/>
  <c r="Z104"/>
  <c r="AA104"/>
  <c r="AB104"/>
  <c r="P105"/>
  <c r="B105" s="1"/>
  <c r="R105"/>
  <c r="C105"/>
  <c r="Q105"/>
  <c r="S105"/>
  <c r="T105"/>
  <c r="U105"/>
  <c r="V105"/>
  <c r="W105"/>
  <c r="X105"/>
  <c r="Y105"/>
  <c r="Z105"/>
  <c r="AA105"/>
  <c r="AB105"/>
  <c r="P106"/>
  <c r="B106" s="1"/>
  <c r="R106"/>
  <c r="C106" s="1"/>
  <c r="Q106"/>
  <c r="S106"/>
  <c r="T106"/>
  <c r="U106"/>
  <c r="V106"/>
  <c r="W106"/>
  <c r="X106"/>
  <c r="Y106"/>
  <c r="Z106"/>
  <c r="AA106"/>
  <c r="AB106"/>
  <c r="P107"/>
  <c r="B107" s="1"/>
  <c r="R107"/>
  <c r="C107"/>
  <c r="Q107"/>
  <c r="S107"/>
  <c r="T107"/>
  <c r="U107"/>
  <c r="V107"/>
  <c r="W107"/>
  <c r="X107"/>
  <c r="Y107"/>
  <c r="Z107"/>
  <c r="AA107"/>
  <c r="AB107"/>
  <c r="P108"/>
  <c r="B108" s="1"/>
  <c r="R108"/>
  <c r="C108" s="1"/>
  <c r="Q108"/>
  <c r="S108"/>
  <c r="T108"/>
  <c r="U108"/>
  <c r="V108"/>
  <c r="W108"/>
  <c r="X108"/>
  <c r="Y108"/>
  <c r="Z108"/>
  <c r="AA108"/>
  <c r="AB108"/>
  <c r="P109"/>
  <c r="B109" s="1"/>
  <c r="R109"/>
  <c r="C109" s="1"/>
  <c r="Q109"/>
  <c r="S109"/>
  <c r="T109"/>
  <c r="U109"/>
  <c r="V109"/>
  <c r="W109"/>
  <c r="X109"/>
  <c r="Y109"/>
  <c r="Z109"/>
  <c r="AA109"/>
  <c r="AB109"/>
  <c r="P110"/>
  <c r="B110" s="1"/>
  <c r="R110"/>
  <c r="C110" s="1"/>
  <c r="Q110"/>
  <c r="S110"/>
  <c r="T110"/>
  <c r="U110"/>
  <c r="V110"/>
  <c r="W110"/>
  <c r="X110"/>
  <c r="Y110"/>
  <c r="Z110"/>
  <c r="AA110"/>
  <c r="AB110"/>
  <c r="P111"/>
  <c r="B111" s="1"/>
  <c r="R111"/>
  <c r="C111" s="1"/>
  <c r="Q111"/>
  <c r="S111"/>
  <c r="T111"/>
  <c r="U111"/>
  <c r="V111"/>
  <c r="W111"/>
  <c r="X111"/>
  <c r="Y111"/>
  <c r="Z111"/>
  <c r="AA111"/>
  <c r="AB111"/>
  <c r="P112"/>
  <c r="B112" s="1"/>
  <c r="R112"/>
  <c r="C112" s="1"/>
  <c r="Q112"/>
  <c r="S112"/>
  <c r="T112"/>
  <c r="U112"/>
  <c r="V112"/>
  <c r="W112"/>
  <c r="X112"/>
  <c r="Y112"/>
  <c r="Z112"/>
  <c r="AA112"/>
  <c r="AB112"/>
  <c r="P113"/>
  <c r="B113" s="1"/>
  <c r="R113"/>
  <c r="C113" s="1"/>
  <c r="Q113"/>
  <c r="S113"/>
  <c r="T113"/>
  <c r="U113"/>
  <c r="V113"/>
  <c r="W113"/>
  <c r="X113"/>
  <c r="Y113"/>
  <c r="Z113"/>
  <c r="AA113"/>
  <c r="AB113"/>
  <c r="P114"/>
  <c r="B114" s="1"/>
  <c r="R114"/>
  <c r="C114" s="1"/>
  <c r="Q114"/>
  <c r="S114"/>
  <c r="T114"/>
  <c r="U114"/>
  <c r="V114"/>
  <c r="W114"/>
  <c r="X114"/>
  <c r="Y114"/>
  <c r="Z114"/>
  <c r="AA114"/>
  <c r="AB114"/>
  <c r="P115"/>
  <c r="B115" s="1"/>
  <c r="R115"/>
  <c r="C115"/>
  <c r="Q115"/>
  <c r="S115"/>
  <c r="T115"/>
  <c r="U115"/>
  <c r="V115"/>
  <c r="W115"/>
  <c r="X115"/>
  <c r="Y115"/>
  <c r="Z115"/>
  <c r="AA115"/>
  <c r="AB115"/>
  <c r="AC115"/>
  <c r="AD115"/>
  <c r="AE115"/>
  <c r="P116"/>
  <c r="B116" s="1"/>
  <c r="R116"/>
  <c r="C116" s="1"/>
  <c r="Q116"/>
  <c r="S116"/>
  <c r="T116"/>
  <c r="U116"/>
  <c r="V116"/>
  <c r="W116"/>
  <c r="X116"/>
  <c r="Y116"/>
  <c r="Z116"/>
  <c r="AA116"/>
  <c r="AB116"/>
  <c r="P117"/>
  <c r="B117" s="1"/>
  <c r="R117"/>
  <c r="C117" s="1"/>
  <c r="Q117"/>
  <c r="S117"/>
  <c r="T117"/>
  <c r="U117"/>
  <c r="V117"/>
  <c r="W117"/>
  <c r="X117"/>
  <c r="Y117"/>
  <c r="Z117"/>
  <c r="AA117"/>
  <c r="AB117"/>
  <c r="P118"/>
  <c r="B118" s="1"/>
  <c r="R118"/>
  <c r="C118" s="1"/>
  <c r="Q118"/>
  <c r="S118"/>
  <c r="T118"/>
  <c r="U118"/>
  <c r="V118"/>
  <c r="W118"/>
  <c r="X118"/>
  <c r="Y118"/>
  <c r="Z118"/>
  <c r="AA118"/>
  <c r="AB118"/>
  <c r="P119"/>
  <c r="B119" s="1"/>
  <c r="R119"/>
  <c r="C119" s="1"/>
  <c r="Q119"/>
  <c r="S119"/>
  <c r="T119"/>
  <c r="U119"/>
  <c r="V119"/>
  <c r="W119"/>
  <c r="X119"/>
  <c r="Y119"/>
  <c r="Z119"/>
  <c r="AA119"/>
  <c r="AB119"/>
  <c r="P120"/>
  <c r="B120" s="1"/>
  <c r="R120"/>
  <c r="C120" s="1"/>
  <c r="Q120"/>
  <c r="S120"/>
  <c r="T120"/>
  <c r="U120"/>
  <c r="V120"/>
  <c r="W120"/>
  <c r="X120"/>
  <c r="Y120"/>
  <c r="Z120"/>
  <c r="AA120"/>
  <c r="P121"/>
  <c r="B121" s="1"/>
  <c r="R121"/>
  <c r="C121" s="1"/>
  <c r="Q121"/>
  <c r="S121"/>
  <c r="T121"/>
  <c r="U121"/>
  <c r="V121"/>
  <c r="W121"/>
  <c r="X121"/>
  <c r="Y121"/>
  <c r="Z121"/>
  <c r="AA121"/>
  <c r="P122"/>
  <c r="B122" s="1"/>
  <c r="R122"/>
  <c r="C122" s="1"/>
  <c r="Q122"/>
  <c r="S122"/>
  <c r="T122"/>
  <c r="U122"/>
  <c r="V122"/>
  <c r="W122"/>
  <c r="X122"/>
  <c r="Y122"/>
  <c r="Z122"/>
  <c r="AA122"/>
  <c r="AB122"/>
  <c r="P123"/>
  <c r="B123" s="1"/>
  <c r="R123"/>
  <c r="C123" s="1"/>
  <c r="Q123"/>
  <c r="S123"/>
  <c r="T123"/>
  <c r="U123"/>
  <c r="V123"/>
  <c r="W123"/>
  <c r="X123"/>
  <c r="Y123"/>
  <c r="Z123"/>
  <c r="AA123"/>
  <c r="P124"/>
  <c r="B124" s="1"/>
  <c r="R124"/>
  <c r="C124" s="1"/>
  <c r="Q124"/>
  <c r="S124"/>
  <c r="T124"/>
  <c r="U124"/>
  <c r="V124"/>
  <c r="W124"/>
  <c r="X124"/>
  <c r="Y124"/>
  <c r="Z124"/>
  <c r="AA124"/>
  <c r="AB124"/>
  <c r="P125"/>
  <c r="B125" s="1"/>
  <c r="R125"/>
  <c r="C125" s="1"/>
  <c r="Q125"/>
  <c r="S125"/>
  <c r="T125"/>
  <c r="U125"/>
  <c r="V125"/>
  <c r="W125"/>
  <c r="X125"/>
  <c r="Y125"/>
  <c r="Z125"/>
  <c r="AA125"/>
  <c r="AB125"/>
  <c r="P126"/>
  <c r="B126" s="1"/>
  <c r="R126"/>
  <c r="C126" s="1"/>
  <c r="Q126"/>
  <c r="S126"/>
  <c r="T126"/>
  <c r="U126"/>
  <c r="V126"/>
  <c r="W126"/>
  <c r="X126"/>
  <c r="Y126"/>
  <c r="Z126"/>
  <c r="AA126"/>
  <c r="AB126"/>
  <c r="P127"/>
  <c r="B127" s="1"/>
  <c r="R127"/>
  <c r="C127" s="1"/>
  <c r="Q127"/>
  <c r="CE127"/>
  <c r="P128"/>
  <c r="B128" s="1"/>
  <c r="R128"/>
  <c r="C128" s="1"/>
  <c r="Q128"/>
  <c r="CE128"/>
  <c r="P129"/>
  <c r="B129" s="1"/>
  <c r="R129"/>
  <c r="C129" s="1"/>
  <c r="Q129"/>
  <c r="CE129"/>
  <c r="P130"/>
  <c r="B130" s="1"/>
  <c r="R130"/>
  <c r="C130" s="1"/>
  <c r="Q130"/>
  <c r="CE130"/>
  <c r="P131"/>
  <c r="B131" s="1"/>
  <c r="R131"/>
  <c r="C131" s="1"/>
  <c r="Q131"/>
  <c r="CE131"/>
  <c r="P132"/>
  <c r="B132" s="1"/>
  <c r="R132"/>
  <c r="C132" s="1"/>
  <c r="Q132"/>
  <c r="S132"/>
  <c r="T132"/>
  <c r="U132"/>
  <c r="V132"/>
  <c r="W132"/>
  <c r="X132"/>
  <c r="Y132"/>
  <c r="Z132"/>
  <c r="AA132"/>
  <c r="AB132"/>
  <c r="CE132"/>
  <c r="P133"/>
  <c r="B133" s="1"/>
  <c r="R133"/>
  <c r="C133" s="1"/>
  <c r="Q133"/>
  <c r="S133"/>
  <c r="T133"/>
  <c r="U133"/>
  <c r="V133"/>
  <c r="W133"/>
  <c r="X133"/>
  <c r="Y133"/>
  <c r="Z133"/>
  <c r="AA133"/>
  <c r="AB133"/>
  <c r="CE133"/>
  <c r="P134"/>
  <c r="B134" s="1"/>
  <c r="R134"/>
  <c r="C134" s="1"/>
  <c r="Q134"/>
  <c r="S134"/>
  <c r="T134"/>
  <c r="U134"/>
  <c r="V134"/>
  <c r="W134"/>
  <c r="X134"/>
  <c r="Y134"/>
  <c r="Z134"/>
  <c r="AA134"/>
  <c r="AB134"/>
  <c r="CE134"/>
  <c r="P140"/>
  <c r="B140"/>
  <c r="R140"/>
  <c r="C140" s="1"/>
  <c r="Q140"/>
  <c r="S140"/>
  <c r="T140"/>
  <c r="U140"/>
  <c r="V140"/>
  <c r="W140"/>
  <c r="X140"/>
  <c r="Y140"/>
  <c r="Z140"/>
  <c r="AA140"/>
  <c r="AB140"/>
  <c r="P141"/>
  <c r="B141" s="1"/>
  <c r="R141"/>
  <c r="C141" s="1"/>
  <c r="Q141"/>
  <c r="S141"/>
  <c r="T141"/>
  <c r="U141"/>
  <c r="V141"/>
  <c r="W141"/>
  <c r="X141"/>
  <c r="Y141"/>
  <c r="Z141"/>
  <c r="AA141"/>
  <c r="AB141"/>
  <c r="P142"/>
  <c r="B142"/>
  <c r="R142"/>
  <c r="C142" s="1"/>
  <c r="Q142"/>
  <c r="S142"/>
  <c r="T142"/>
  <c r="U142"/>
  <c r="V142"/>
  <c r="W142"/>
  <c r="X142"/>
  <c r="Y142"/>
  <c r="Z142"/>
  <c r="AA142"/>
  <c r="AB142"/>
  <c r="P143"/>
  <c r="B143" s="1"/>
  <c r="R143"/>
  <c r="C143" s="1"/>
  <c r="Q143"/>
  <c r="S143"/>
  <c r="T143"/>
  <c r="U143"/>
  <c r="V143"/>
  <c r="W143"/>
  <c r="X143"/>
  <c r="Y143"/>
  <c r="Z143"/>
  <c r="AA143"/>
  <c r="AB143"/>
  <c r="P144"/>
  <c r="B144"/>
  <c r="R144"/>
  <c r="C144" s="1"/>
  <c r="Q144"/>
  <c r="S144"/>
  <c r="T144"/>
  <c r="U144"/>
  <c r="V144"/>
  <c r="W144"/>
  <c r="X144"/>
  <c r="Y144"/>
  <c r="Z144"/>
  <c r="AA144"/>
  <c r="AB144"/>
  <c r="P145"/>
  <c r="B145" s="1"/>
  <c r="R145"/>
  <c r="C145" s="1"/>
  <c r="Q145"/>
  <c r="S145"/>
  <c r="T145"/>
  <c r="U145"/>
  <c r="V145"/>
  <c r="W145"/>
  <c r="X145"/>
  <c r="Y145"/>
  <c r="Z145"/>
  <c r="AA145"/>
  <c r="AB145"/>
  <c r="P146"/>
  <c r="B146" s="1"/>
  <c r="R146"/>
  <c r="C146" s="1"/>
  <c r="Q146"/>
  <c r="S146"/>
  <c r="T146"/>
  <c r="U146"/>
  <c r="V146"/>
  <c r="W146"/>
  <c r="X146"/>
  <c r="Y146"/>
  <c r="Z146"/>
  <c r="AA146"/>
  <c r="AB146"/>
  <c r="P147"/>
  <c r="B147" s="1"/>
  <c r="R147"/>
  <c r="C147" s="1"/>
  <c r="Q147"/>
  <c r="S147"/>
  <c r="T147"/>
  <c r="U147"/>
  <c r="V147"/>
  <c r="W147"/>
  <c r="X147"/>
  <c r="Y147"/>
  <c r="Z147"/>
  <c r="AA147"/>
  <c r="AB147"/>
  <c r="P148"/>
  <c r="B148"/>
  <c r="R148"/>
  <c r="C148" s="1"/>
  <c r="Q148"/>
  <c r="S148"/>
  <c r="T148"/>
  <c r="U148"/>
  <c r="V148"/>
  <c r="W148"/>
  <c r="X148"/>
  <c r="Y148"/>
  <c r="Z148"/>
  <c r="AA148"/>
  <c r="AB148"/>
  <c r="P149"/>
  <c r="B149" s="1"/>
  <c r="R149"/>
  <c r="C149" s="1"/>
  <c r="Q149"/>
  <c r="S149"/>
  <c r="T149"/>
  <c r="U149"/>
  <c r="V149"/>
  <c r="W149"/>
  <c r="X149"/>
  <c r="Y149"/>
  <c r="Z149"/>
  <c r="AA149"/>
  <c r="AB149"/>
  <c r="P150"/>
  <c r="B150"/>
  <c r="R150"/>
  <c r="C150" s="1"/>
  <c r="Q150"/>
  <c r="S150"/>
  <c r="T150"/>
  <c r="U150"/>
  <c r="V150"/>
  <c r="W150"/>
  <c r="X150"/>
  <c r="Y150"/>
  <c r="Z150"/>
  <c r="AA150"/>
  <c r="AB150"/>
  <c r="P151"/>
  <c r="B151" s="1"/>
  <c r="R151"/>
  <c r="C151" s="1"/>
  <c r="Q151"/>
  <c r="S151"/>
  <c r="T151"/>
  <c r="U151"/>
  <c r="V151"/>
  <c r="W151"/>
  <c r="X151"/>
  <c r="Y151"/>
  <c r="Z151"/>
  <c r="AA151"/>
  <c r="AB151"/>
  <c r="P152"/>
  <c r="B152"/>
  <c r="R152"/>
  <c r="C152" s="1"/>
  <c r="Q152"/>
  <c r="S152"/>
  <c r="T152"/>
  <c r="U152"/>
  <c r="V152"/>
  <c r="W152"/>
  <c r="X152"/>
  <c r="Y152"/>
  <c r="Z152"/>
  <c r="AA152"/>
  <c r="AB152"/>
  <c r="P153"/>
  <c r="B153" s="1"/>
  <c r="R153"/>
  <c r="C153" s="1"/>
  <c r="Q153"/>
  <c r="S153"/>
  <c r="T153"/>
  <c r="U153"/>
  <c r="V153"/>
  <c r="W153"/>
  <c r="X153"/>
  <c r="Y153"/>
  <c r="Z153"/>
  <c r="AA153"/>
  <c r="AB153"/>
  <c r="P154"/>
  <c r="B154" s="1"/>
  <c r="R154"/>
  <c r="C154" s="1"/>
  <c r="Q154"/>
  <c r="S154"/>
  <c r="T154"/>
  <c r="U154"/>
  <c r="V154"/>
  <c r="W154"/>
  <c r="X154"/>
  <c r="Y154"/>
  <c r="Z154"/>
  <c r="AA154"/>
  <c r="AB154"/>
  <c r="P155"/>
  <c r="B155" s="1"/>
  <c r="R155"/>
  <c r="C155" s="1"/>
  <c r="Q155"/>
  <c r="S155"/>
  <c r="T155"/>
  <c r="U155"/>
  <c r="V155"/>
  <c r="W155"/>
  <c r="X155"/>
  <c r="Y155"/>
  <c r="Z155"/>
  <c r="AA155"/>
  <c r="AB155"/>
  <c r="P156"/>
  <c r="B156"/>
  <c r="R156"/>
  <c r="C156" s="1"/>
  <c r="Q156"/>
  <c r="S156"/>
  <c r="T156"/>
  <c r="U156"/>
  <c r="V156"/>
  <c r="W156"/>
  <c r="X156"/>
  <c r="Y156"/>
  <c r="Z156"/>
  <c r="AA156"/>
  <c r="AB156"/>
  <c r="P157"/>
  <c r="B157" s="1"/>
  <c r="R157"/>
  <c r="C157" s="1"/>
  <c r="Q157"/>
  <c r="S157"/>
  <c r="T157"/>
  <c r="U157"/>
  <c r="V157"/>
  <c r="W157"/>
  <c r="X157"/>
  <c r="Y157"/>
  <c r="Z157"/>
  <c r="AA157"/>
  <c r="AB157"/>
  <c r="P158"/>
  <c r="B158"/>
  <c r="R158"/>
  <c r="C158" s="1"/>
  <c r="Q158"/>
  <c r="S158"/>
  <c r="T158"/>
  <c r="U158"/>
  <c r="V158"/>
  <c r="W158"/>
  <c r="X158"/>
  <c r="Y158"/>
  <c r="Z158"/>
  <c r="AA158"/>
  <c r="AB158"/>
  <c r="P159"/>
  <c r="B159" s="1"/>
  <c r="R159"/>
  <c r="C159" s="1"/>
  <c r="Q159"/>
  <c r="S159"/>
  <c r="T159"/>
  <c r="U159"/>
  <c r="V159"/>
  <c r="W159"/>
  <c r="X159"/>
  <c r="Y159"/>
  <c r="Z159"/>
  <c r="AA159"/>
  <c r="AB159"/>
  <c r="P160"/>
  <c r="B160"/>
  <c r="R160"/>
  <c r="C160" s="1"/>
  <c r="Q160"/>
  <c r="S160"/>
  <c r="T160"/>
  <c r="U160"/>
  <c r="V160"/>
  <c r="W160"/>
  <c r="X160"/>
  <c r="Y160"/>
  <c r="Z160"/>
  <c r="AA160"/>
  <c r="AB160"/>
  <c r="P161"/>
  <c r="B161" s="1"/>
  <c r="R161"/>
  <c r="C161" s="1"/>
  <c r="Q161"/>
  <c r="S161"/>
  <c r="T161"/>
  <c r="U161"/>
  <c r="V161"/>
  <c r="W161"/>
  <c r="X161"/>
  <c r="Y161"/>
  <c r="Z161"/>
  <c r="AA161"/>
  <c r="AB161"/>
  <c r="P162"/>
  <c r="B162" s="1"/>
  <c r="R162"/>
  <c r="C162" s="1"/>
  <c r="Q162"/>
  <c r="S162"/>
  <c r="T162"/>
  <c r="U162"/>
  <c r="V162"/>
  <c r="W162"/>
  <c r="X162"/>
  <c r="Y162"/>
  <c r="Z162"/>
  <c r="AA162"/>
  <c r="AB162"/>
  <c r="P163"/>
  <c r="B163" s="1"/>
  <c r="R163"/>
  <c r="C163" s="1"/>
  <c r="Q163"/>
  <c r="S163"/>
  <c r="T163"/>
  <c r="U163"/>
  <c r="V163"/>
  <c r="W163"/>
  <c r="X163"/>
  <c r="Y163"/>
  <c r="Z163"/>
  <c r="AA163"/>
  <c r="AB163"/>
  <c r="P164"/>
  <c r="B164"/>
  <c r="R164"/>
  <c r="C164" s="1"/>
  <c r="Q164"/>
  <c r="S164"/>
  <c r="T164"/>
  <c r="U164"/>
  <c r="V164"/>
  <c r="W164"/>
  <c r="X164"/>
  <c r="Y164"/>
  <c r="Z164"/>
  <c r="AA164"/>
  <c r="AB164"/>
  <c r="P165"/>
  <c r="B165" s="1"/>
  <c r="R165"/>
  <c r="C165" s="1"/>
  <c r="Q165"/>
  <c r="S165"/>
  <c r="T165"/>
  <c r="U165"/>
  <c r="V165"/>
  <c r="W165"/>
  <c r="X165"/>
  <c r="Y165"/>
  <c r="Z165"/>
  <c r="AA165"/>
  <c r="AB165"/>
  <c r="P166"/>
  <c r="B166"/>
  <c r="R166"/>
  <c r="C166" s="1"/>
  <c r="Q166"/>
  <c r="S166"/>
  <c r="T166"/>
  <c r="U166"/>
  <c r="V166"/>
  <c r="W166"/>
  <c r="X166"/>
  <c r="Y166"/>
  <c r="Z166"/>
  <c r="AA166"/>
  <c r="AB166"/>
  <c r="P167"/>
  <c r="B167" s="1"/>
  <c r="R167"/>
  <c r="C167" s="1"/>
  <c r="Q167"/>
  <c r="S167"/>
  <c r="T167"/>
  <c r="U167"/>
  <c r="V167"/>
  <c r="W167"/>
  <c r="X167"/>
  <c r="Y167"/>
  <c r="Z167"/>
  <c r="AA167"/>
  <c r="AB167"/>
  <c r="P168"/>
  <c r="B168"/>
  <c r="R168"/>
  <c r="C168" s="1"/>
  <c r="Q168"/>
  <c r="S168"/>
  <c r="T168"/>
  <c r="U168"/>
  <c r="V168"/>
  <c r="W168"/>
  <c r="X168"/>
  <c r="Y168"/>
  <c r="Z168"/>
  <c r="AA168"/>
  <c r="AB168"/>
  <c r="P169"/>
  <c r="B169" s="1"/>
  <c r="R169"/>
  <c r="C169" s="1"/>
  <c r="Q169"/>
  <c r="S169"/>
  <c r="T169"/>
  <c r="U169"/>
  <c r="V169"/>
  <c r="W169"/>
  <c r="X169"/>
  <c r="Y169"/>
  <c r="Z169"/>
  <c r="AA169"/>
  <c r="AB169"/>
  <c r="P170"/>
  <c r="B170" s="1"/>
  <c r="R170"/>
  <c r="C170"/>
  <c r="Q170"/>
  <c r="S170"/>
  <c r="T170"/>
  <c r="U170"/>
  <c r="V170"/>
  <c r="W170"/>
  <c r="X170"/>
  <c r="Y170"/>
  <c r="Z170"/>
  <c r="AA170"/>
  <c r="AB170"/>
  <c r="P171"/>
  <c r="B171" s="1"/>
  <c r="R171"/>
  <c r="C171" s="1"/>
  <c r="Q171"/>
  <c r="S171"/>
  <c r="T171"/>
  <c r="U171"/>
  <c r="V171"/>
  <c r="W171"/>
  <c r="X171"/>
  <c r="Y171"/>
  <c r="Z171"/>
  <c r="AA171"/>
  <c r="AB171"/>
  <c r="P172"/>
  <c r="B172" s="1"/>
  <c r="R172"/>
  <c r="C172"/>
  <c r="Q172"/>
  <c r="S172"/>
  <c r="T172"/>
  <c r="U172"/>
  <c r="V172"/>
  <c r="W172"/>
  <c r="X172"/>
  <c r="Y172"/>
  <c r="Z172"/>
  <c r="AA172"/>
  <c r="AB172"/>
  <c r="P173"/>
  <c r="B173" s="1"/>
  <c r="R173"/>
  <c r="C173" s="1"/>
  <c r="Q173"/>
  <c r="S173"/>
  <c r="T173"/>
  <c r="U173"/>
  <c r="V173"/>
  <c r="W173"/>
  <c r="X173"/>
  <c r="Y173"/>
  <c r="Z173"/>
  <c r="AA173"/>
  <c r="AB173"/>
  <c r="P174"/>
  <c r="B174" s="1"/>
  <c r="C174"/>
  <c r="Q174"/>
  <c r="S174"/>
  <c r="T174"/>
  <c r="U174"/>
  <c r="V174"/>
  <c r="W174"/>
  <c r="X174"/>
  <c r="Y174"/>
  <c r="Z174"/>
  <c r="AA174"/>
  <c r="AB174"/>
  <c r="P175"/>
  <c r="B175"/>
  <c r="R175"/>
  <c r="C175" s="1"/>
  <c r="Q175"/>
  <c r="S175"/>
  <c r="T175"/>
  <c r="U175"/>
  <c r="V175"/>
  <c r="W175"/>
  <c r="X175"/>
  <c r="Y175"/>
  <c r="Z175"/>
  <c r="AA175"/>
  <c r="P176"/>
  <c r="B176"/>
  <c r="R176"/>
  <c r="C176"/>
  <c r="Q176"/>
  <c r="S176"/>
  <c r="T176"/>
  <c r="U176"/>
  <c r="V176"/>
  <c r="W176"/>
  <c r="X176"/>
  <c r="Y176"/>
  <c r="Z176"/>
  <c r="AA176"/>
  <c r="P177"/>
  <c r="B177"/>
  <c r="R177"/>
  <c r="C177" s="1"/>
  <c r="Q177"/>
  <c r="S177"/>
  <c r="T177"/>
  <c r="U177"/>
  <c r="V177"/>
  <c r="W177"/>
  <c r="X177"/>
  <c r="Y177"/>
  <c r="Z177"/>
  <c r="AA177"/>
  <c r="P178"/>
  <c r="B178"/>
  <c r="R178"/>
  <c r="C178"/>
  <c r="Q178"/>
  <c r="S178"/>
  <c r="T178"/>
  <c r="U178"/>
  <c r="V178"/>
  <c r="W178"/>
  <c r="X178"/>
  <c r="Y178"/>
  <c r="Z178"/>
  <c r="AA178"/>
  <c r="AB178"/>
  <c r="P179"/>
  <c r="B179" s="1"/>
  <c r="R179"/>
  <c r="C179" s="1"/>
  <c r="Q179"/>
  <c r="S179"/>
  <c r="T179"/>
  <c r="U179"/>
  <c r="V179"/>
  <c r="W179"/>
  <c r="X179"/>
  <c r="Y179"/>
  <c r="Z179"/>
  <c r="AA179"/>
  <c r="AB179"/>
  <c r="P180"/>
  <c r="B180"/>
  <c r="R180"/>
  <c r="C180"/>
  <c r="Q180"/>
  <c r="S180"/>
  <c r="T180"/>
  <c r="U180"/>
  <c r="V180"/>
  <c r="W180"/>
  <c r="X180"/>
  <c r="Y180"/>
  <c r="Z180"/>
  <c r="AA180"/>
  <c r="AB180"/>
  <c r="D64" i="12"/>
  <c r="D36"/>
  <c r="E36" s="1"/>
  <c r="D43"/>
  <c r="E43" s="1"/>
  <c r="D42"/>
  <c r="E42" s="1"/>
  <c r="D41"/>
  <c r="E41" s="1"/>
  <c r="D39"/>
  <c r="E39" s="1"/>
  <c r="D38"/>
  <c r="E38" s="1"/>
  <c r="D37"/>
  <c r="V54" i="2"/>
  <c r="V56"/>
  <c r="V57"/>
  <c r="V61"/>
  <c r="X61" s="1"/>
  <c r="AG122" i="8"/>
  <c r="X122" s="1"/>
  <c r="K122" i="22" s="1"/>
  <c r="AG123" i="8"/>
  <c r="X123" s="1"/>
  <c r="K123" i="22" s="1"/>
  <c r="M128" i="4"/>
  <c r="M129"/>
  <c r="M130"/>
  <c r="M131"/>
  <c r="O54" i="2"/>
  <c r="O56"/>
  <c r="R56" s="1"/>
  <c r="O57"/>
  <c r="R57" s="1"/>
  <c r="Q61"/>
  <c r="X8" i="21"/>
  <c r="S8" s="1"/>
  <c r="W8"/>
  <c r="R8" s="1"/>
  <c r="Q8"/>
  <c r="Y41" i="4"/>
  <c r="Y42"/>
  <c r="Y175"/>
  <c r="Y176"/>
  <c r="Y177"/>
  <c r="AK175" i="8"/>
  <c r="AB175" s="1"/>
  <c r="L175" i="22" s="1"/>
  <c r="AK176" i="8"/>
  <c r="AB176" s="1"/>
  <c r="L176" i="22" s="1"/>
  <c r="AK177" i="8"/>
  <c r="AB177" s="1"/>
  <c r="L177" i="22" s="1"/>
  <c r="AG177" i="8"/>
  <c r="X177" s="1"/>
  <c r="K177" i="22" s="1"/>
  <c r="AG175" i="8"/>
  <c r="X175" s="1"/>
  <c r="K175" i="22" s="1"/>
  <c r="AG176" i="8"/>
  <c r="X176" s="1"/>
  <c r="K176" i="22" s="1"/>
  <c r="AG72" i="8"/>
  <c r="X72" s="1"/>
  <c r="K72" i="22" s="1"/>
  <c r="AG73" i="8"/>
  <c r="X73" s="1"/>
  <c r="K73" i="22" s="1"/>
  <c r="AG74" i="8"/>
  <c r="X74" s="1"/>
  <c r="K74" i="22" s="1"/>
  <c r="AG40" i="8"/>
  <c r="X40" s="1"/>
  <c r="K40" i="22" s="1"/>
  <c r="AG41" i="8"/>
  <c r="X41" s="1"/>
  <c r="K41" i="22" s="1"/>
  <c r="AG42" i="8"/>
  <c r="X42" s="1"/>
  <c r="K42" i="22" s="1"/>
  <c r="X175" i="4"/>
  <c r="X176"/>
  <c r="X177"/>
  <c r="Q175"/>
  <c r="Q176"/>
  <c r="Q177"/>
  <c r="Q41"/>
  <c r="Q42"/>
  <c r="X40"/>
  <c r="X41"/>
  <c r="X42"/>
  <c r="L35"/>
  <c r="R35" s="1"/>
  <c r="R35" i="22" s="1"/>
  <c r="Q35" i="4"/>
  <c r="Q36"/>
  <c r="Q37"/>
  <c r="Q38"/>
  <c r="L39"/>
  <c r="Q39" s="1"/>
  <c r="Q44"/>
  <c r="Q45"/>
  <c r="Q46"/>
  <c r="Y8" i="21"/>
  <c r="Q171" i="4"/>
  <c r="Q172"/>
  <c r="Q173"/>
  <c r="V42"/>
  <c r="T42"/>
  <c r="V41"/>
  <c r="T41"/>
  <c r="R42"/>
  <c r="O42"/>
  <c r="M42"/>
  <c r="R41"/>
  <c r="O41"/>
  <c r="M41"/>
  <c r="R177"/>
  <c r="R176"/>
  <c r="R175"/>
  <c r="Y174"/>
  <c r="S174" i="22" s="1"/>
  <c r="O177" i="4"/>
  <c r="M177"/>
  <c r="AK179" i="8"/>
  <c r="AB179" s="1"/>
  <c r="L179" i="22" s="1"/>
  <c r="Y179" i="4"/>
  <c r="Y180"/>
  <c r="AK180" i="8"/>
  <c r="AB180" s="1"/>
  <c r="L180" i="22" s="1"/>
  <c r="AK171" i="8"/>
  <c r="AB171" s="1"/>
  <c r="L171" i="22" s="1"/>
  <c r="Y171" i="4"/>
  <c r="Y172"/>
  <c r="Y173"/>
  <c r="AK172" i="8"/>
  <c r="AB172" s="1"/>
  <c r="L172" i="22" s="1"/>
  <c r="AK173" i="8"/>
  <c r="AB173" s="1"/>
  <c r="L173" i="22" s="1"/>
  <c r="AK165" i="8"/>
  <c r="AB165" s="1"/>
  <c r="L165" i="22" s="1"/>
  <c r="Y165" i="4"/>
  <c r="Y166"/>
  <c r="Y167"/>
  <c r="Y168"/>
  <c r="AK166" i="8"/>
  <c r="AB166" s="1"/>
  <c r="L166" i="22" s="1"/>
  <c r="AK167" i="8"/>
  <c r="AB167" s="1"/>
  <c r="L167" i="22" s="1"/>
  <c r="AK168" i="8"/>
  <c r="AB168" s="1"/>
  <c r="L168" i="22" s="1"/>
  <c r="Y162" i="4"/>
  <c r="Y163"/>
  <c r="Y164"/>
  <c r="S164" i="22" s="1"/>
  <c r="AK162" i="8"/>
  <c r="AB162" s="1"/>
  <c r="L162" i="22" s="1"/>
  <c r="AK163" i="8"/>
  <c r="AB163" s="1"/>
  <c r="L163" i="22" s="1"/>
  <c r="AB117" i="8"/>
  <c r="L117" i="22" s="1"/>
  <c r="AB140" i="8"/>
  <c r="L140" i="22"/>
  <c r="AB159" i="8"/>
  <c r="L159" i="22"/>
  <c r="AK156" i="8"/>
  <c r="AB156" s="1"/>
  <c r="L156" i="22" s="1"/>
  <c r="Y156" i="4"/>
  <c r="Y157"/>
  <c r="Y158"/>
  <c r="AK157" i="8"/>
  <c r="AB157" s="1"/>
  <c r="L157" i="22" s="1"/>
  <c r="AK158" i="8"/>
  <c r="AB158" s="1"/>
  <c r="L158" i="22" s="1"/>
  <c r="Y154" i="4"/>
  <c r="X155"/>
  <c r="AK154" i="8"/>
  <c r="AB154" s="1"/>
  <c r="L154" i="22" s="1"/>
  <c r="Y144" i="4"/>
  <c r="Y145"/>
  <c r="AK147" i="8"/>
  <c r="AB147" s="1"/>
  <c r="L147" i="22" s="1"/>
  <c r="Y147" i="4"/>
  <c r="Y148"/>
  <c r="Y149"/>
  <c r="Y150"/>
  <c r="Y151"/>
  <c r="Y152"/>
  <c r="AK148" i="8"/>
  <c r="AB148" s="1"/>
  <c r="L148" i="22" s="1"/>
  <c r="AK149" i="8"/>
  <c r="AB149" s="1"/>
  <c r="L149" i="22" s="1"/>
  <c r="AK150" i="8"/>
  <c r="AB150" s="1"/>
  <c r="L150" i="22" s="1"/>
  <c r="AK151" i="8"/>
  <c r="AB151" s="1"/>
  <c r="L151" i="22" s="1"/>
  <c r="AK152" i="8"/>
  <c r="AB152" s="1"/>
  <c r="L152" i="22" s="1"/>
  <c r="AK122" i="8"/>
  <c r="AB122" s="1"/>
  <c r="L122" i="22" s="1"/>
  <c r="Y122" i="4"/>
  <c r="Y123"/>
  <c r="AK123" i="8"/>
  <c r="AB123" s="1"/>
  <c r="L123" i="22" s="1"/>
  <c r="Y120" i="4"/>
  <c r="Y121"/>
  <c r="AB120" i="8"/>
  <c r="L120" i="22" s="1"/>
  <c r="Y118" i="4"/>
  <c r="Y124"/>
  <c r="Y133"/>
  <c r="AL116"/>
  <c r="AM116" i="8" s="1"/>
  <c r="AL115" i="4"/>
  <c r="AM115" i="8" s="1"/>
  <c r="AK113"/>
  <c r="Y113" i="4"/>
  <c r="Y114"/>
  <c r="AK114" i="8"/>
  <c r="AB114" s="1"/>
  <c r="L114" i="22" s="1"/>
  <c r="Y110" i="4"/>
  <c r="Y111"/>
  <c r="Y112"/>
  <c r="AK110" i="8"/>
  <c r="AB110" s="1"/>
  <c r="L110" i="22" s="1"/>
  <c r="AK111" i="8"/>
  <c r="AB111" s="1"/>
  <c r="L111" i="22" s="1"/>
  <c r="AK103" i="8"/>
  <c r="AB103" s="1"/>
  <c r="L103" i="22" s="1"/>
  <c r="Y103" i="4"/>
  <c r="Y104"/>
  <c r="Y105"/>
  <c r="Y106"/>
  <c r="Y107"/>
  <c r="Y108"/>
  <c r="AK104" i="8"/>
  <c r="AB104" s="1"/>
  <c r="L104" i="22" s="1"/>
  <c r="AK105" i="8"/>
  <c r="AB105" s="1"/>
  <c r="L105" i="22" s="1"/>
  <c r="AK106" i="8"/>
  <c r="AB106" s="1"/>
  <c r="L106" i="22" s="1"/>
  <c r="AK107" i="8"/>
  <c r="AB107" s="1"/>
  <c r="L107" i="22" s="1"/>
  <c r="AK108" i="8"/>
  <c r="AB108" s="1"/>
  <c r="L108" i="22" s="1"/>
  <c r="AK99" i="8"/>
  <c r="AB99" s="1"/>
  <c r="L99" i="22" s="1"/>
  <c r="Y99" i="4"/>
  <c r="Y100"/>
  <c r="AK100" i="8"/>
  <c r="AB100" s="1"/>
  <c r="L100" i="22" s="1"/>
  <c r="S98" i="4"/>
  <c r="Y101"/>
  <c r="S102"/>
  <c r="Y102"/>
  <c r="S102" i="22" s="1"/>
  <c r="AL96" i="4"/>
  <c r="AM96" i="8" s="1"/>
  <c r="AK91"/>
  <c r="AB91" s="1"/>
  <c r="L91" i="22" s="1"/>
  <c r="Y91" i="4"/>
  <c r="Y92"/>
  <c r="Y93"/>
  <c r="Y94"/>
  <c r="Y95"/>
  <c r="AK92" i="8"/>
  <c r="AB92" s="1"/>
  <c r="L92" i="22" s="1"/>
  <c r="AK93" i="8"/>
  <c r="AB93" s="1"/>
  <c r="L93" i="22" s="1"/>
  <c r="AK94" i="8"/>
  <c r="AB94" s="1"/>
  <c r="L94" i="22" s="1"/>
  <c r="AK95" i="8"/>
  <c r="AB95" s="1"/>
  <c r="L95" i="22" s="1"/>
  <c r="AK77" i="8"/>
  <c r="AB77" s="1"/>
  <c r="L77" i="22" s="1"/>
  <c r="Y77" i="4"/>
  <c r="Y78"/>
  <c r="AK78" i="8"/>
  <c r="AB78" s="1"/>
  <c r="L78" i="22" s="1"/>
  <c r="AK80" i="8"/>
  <c r="AB80" s="1"/>
  <c r="L80" i="22" s="1"/>
  <c r="Y80" i="4"/>
  <c r="Y81"/>
  <c r="S81" i="22" s="1"/>
  <c r="Y82" i="4"/>
  <c r="Y83"/>
  <c r="Y84"/>
  <c r="S84" i="22" s="1"/>
  <c r="Y85" i="4"/>
  <c r="AK81" i="8"/>
  <c r="AB81" s="1"/>
  <c r="L81" i="22" s="1"/>
  <c r="AK82" i="8"/>
  <c r="AB82" s="1"/>
  <c r="L82" i="22" s="1"/>
  <c r="AK83" i="8"/>
  <c r="AB83" s="1"/>
  <c r="L83" i="22" s="1"/>
  <c r="AK84" i="8"/>
  <c r="AB84" s="1"/>
  <c r="L84" i="22" s="1"/>
  <c r="AK85" i="8"/>
  <c r="AB85" s="1"/>
  <c r="L85" i="22" s="1"/>
  <c r="AK87" i="8"/>
  <c r="AB87" s="1"/>
  <c r="L87" i="22" s="1"/>
  <c r="Y87" i="4"/>
  <c r="Y88"/>
  <c r="Y89"/>
  <c r="AK88" i="8"/>
  <c r="AB88" s="1"/>
  <c r="L88" i="22" s="1"/>
  <c r="AK89" i="8"/>
  <c r="AB89" s="1"/>
  <c r="L89" i="22" s="1"/>
  <c r="AK72" i="8"/>
  <c r="AB72" s="1"/>
  <c r="L72" i="22" s="1"/>
  <c r="Y72" i="4"/>
  <c r="Y73"/>
  <c r="Y74"/>
  <c r="AK73" i="8"/>
  <c r="AB73" s="1"/>
  <c r="L73" i="22" s="1"/>
  <c r="AK74" i="8"/>
  <c r="AB74" s="1"/>
  <c r="L74" i="22" s="1"/>
  <c r="AK64" i="8"/>
  <c r="AB64" s="1"/>
  <c r="L64" i="22" s="1"/>
  <c r="Y64" i="4"/>
  <c r="Y65"/>
  <c r="Y66"/>
  <c r="AK65" i="8"/>
  <c r="AB65" s="1"/>
  <c r="L65" i="22" s="1"/>
  <c r="AK66" i="8"/>
  <c r="AB66" s="1"/>
  <c r="L66" i="22" s="1"/>
  <c r="AK68" i="8"/>
  <c r="AB68" s="1"/>
  <c r="L68" i="22" s="1"/>
  <c r="Y68" i="4"/>
  <c r="Y69"/>
  <c r="Y70"/>
  <c r="AK69" i="8"/>
  <c r="AB69" s="1"/>
  <c r="L69" i="22" s="1"/>
  <c r="AK70" i="8"/>
  <c r="AB70" s="1"/>
  <c r="L70" i="22" s="1"/>
  <c r="AK59" i="8"/>
  <c r="AB59" s="1"/>
  <c r="L59" i="22" s="1"/>
  <c r="Y59" i="4"/>
  <c r="Y60"/>
  <c r="AK60" i="8"/>
  <c r="AB60" s="1"/>
  <c r="L60" i="22" s="1"/>
  <c r="AK49" i="8"/>
  <c r="AB49" s="1"/>
  <c r="L49" i="22" s="1"/>
  <c r="Y49" i="4"/>
  <c r="Y50"/>
  <c r="Y51"/>
  <c r="Y52"/>
  <c r="AK50" i="8"/>
  <c r="AB50" s="1"/>
  <c r="L50" i="22" s="1"/>
  <c r="AK51" i="8"/>
  <c r="AB51" s="1"/>
  <c r="L51" i="22" s="1"/>
  <c r="AK52" i="8"/>
  <c r="AB52" s="1"/>
  <c r="L52" i="22" s="1"/>
  <c r="AK54" i="8"/>
  <c r="AB54" s="1"/>
  <c r="L54" i="22" s="1"/>
  <c r="Y54" i="4"/>
  <c r="Y55"/>
  <c r="Y56"/>
  <c r="Y57"/>
  <c r="AK55" i="8"/>
  <c r="AB55" s="1"/>
  <c r="L55" i="22" s="1"/>
  <c r="AK56" i="8"/>
  <c r="AB56" s="1"/>
  <c r="L56" i="22" s="1"/>
  <c r="AK57" i="8"/>
  <c r="AB57" s="1"/>
  <c r="L57" i="22" s="1"/>
  <c r="Y36" i="4"/>
  <c r="Y37"/>
  <c r="Y38"/>
  <c r="AK46" i="8"/>
  <c r="AB46" s="1"/>
  <c r="L46" i="22" s="1"/>
  <c r="AK32" i="8"/>
  <c r="AB32" s="1"/>
  <c r="L32" i="22" s="1"/>
  <c r="S32" i="4"/>
  <c r="S33"/>
  <c r="Y33"/>
  <c r="AK33" i="8"/>
  <c r="AB33" s="1"/>
  <c r="L33" i="22" s="1"/>
  <c r="AK22" i="8"/>
  <c r="AB22" s="1"/>
  <c r="L22" i="22" s="1"/>
  <c r="Y22" i="4"/>
  <c r="Y23"/>
  <c r="Y24"/>
  <c r="Y25"/>
  <c r="Y26"/>
  <c r="Y27"/>
  <c r="Y28"/>
  <c r="Y29"/>
  <c r="AK23" i="8"/>
  <c r="AB23" s="1"/>
  <c r="L23" i="22" s="1"/>
  <c r="AK24" i="8"/>
  <c r="AB24" s="1"/>
  <c r="L24" i="22" s="1"/>
  <c r="AK25" i="8"/>
  <c r="AB25" s="1"/>
  <c r="L25" i="22" s="1"/>
  <c r="AK26" i="8"/>
  <c r="AB26" s="1"/>
  <c r="L26" i="22" s="1"/>
  <c r="AK27" i="8"/>
  <c r="AB27" s="1"/>
  <c r="L27" i="22" s="1"/>
  <c r="AK28" i="8"/>
  <c r="AB28" s="1"/>
  <c r="L28" i="22" s="1"/>
  <c r="AK29" i="8"/>
  <c r="AB29" s="1"/>
  <c r="L29" i="22" s="1"/>
  <c r="AK30" i="8"/>
  <c r="AB30" s="1"/>
  <c r="L30" i="22" s="1"/>
  <c r="S21" i="4"/>
  <c r="Y30"/>
  <c r="Y31"/>
  <c r="S31" i="22" s="1"/>
  <c r="AK12" i="8"/>
  <c r="AB12" s="1"/>
  <c r="L12" i="22" s="1"/>
  <c r="Y12" i="4"/>
  <c r="Y13"/>
  <c r="AK13" i="8"/>
  <c r="AB13" s="1"/>
  <c r="L13" i="22" s="1"/>
  <c r="Y15" i="4"/>
  <c r="Y16"/>
  <c r="Y17"/>
  <c r="Y18"/>
  <c r="S14"/>
  <c r="Y19"/>
  <c r="X179"/>
  <c r="X180"/>
  <c r="X171"/>
  <c r="X172"/>
  <c r="X173"/>
  <c r="X165"/>
  <c r="X166"/>
  <c r="X167"/>
  <c r="X168"/>
  <c r="X162"/>
  <c r="X163"/>
  <c r="X164"/>
  <c r="AA117" i="8"/>
  <c r="L117" i="47" s="1"/>
  <c r="AA140" i="8"/>
  <c r="L140" i="47" s="1"/>
  <c r="AA159" i="8"/>
  <c r="L159" i="47" s="1"/>
  <c r="X156" i="4"/>
  <c r="X157"/>
  <c r="X158"/>
  <c r="X154"/>
  <c r="X147"/>
  <c r="X148"/>
  <c r="X149"/>
  <c r="X150"/>
  <c r="X151"/>
  <c r="X152"/>
  <c r="X144"/>
  <c r="X145"/>
  <c r="X122"/>
  <c r="X123"/>
  <c r="X120"/>
  <c r="X118"/>
  <c r="X124"/>
  <c r="X127"/>
  <c r="X128"/>
  <c r="X129"/>
  <c r="X130"/>
  <c r="X131"/>
  <c r="X113"/>
  <c r="X114"/>
  <c r="X110"/>
  <c r="X111"/>
  <c r="X103"/>
  <c r="X104"/>
  <c r="X105"/>
  <c r="X106"/>
  <c r="X107"/>
  <c r="X108"/>
  <c r="X99"/>
  <c r="X100"/>
  <c r="AL96" i="8"/>
  <c r="X91" i="4"/>
  <c r="X92"/>
  <c r="X93"/>
  <c r="X94"/>
  <c r="X95"/>
  <c r="X87"/>
  <c r="X88"/>
  <c r="X89"/>
  <c r="X80"/>
  <c r="X81"/>
  <c r="X82"/>
  <c r="X83"/>
  <c r="X84"/>
  <c r="X85"/>
  <c r="X72"/>
  <c r="X73"/>
  <c r="X74"/>
  <c r="X68"/>
  <c r="X69"/>
  <c r="X70"/>
  <c r="X64"/>
  <c r="X65"/>
  <c r="X66"/>
  <c r="X59"/>
  <c r="X60"/>
  <c r="X54"/>
  <c r="X55"/>
  <c r="X56"/>
  <c r="X57"/>
  <c r="X49"/>
  <c r="X50"/>
  <c r="X51"/>
  <c r="X52"/>
  <c r="X44"/>
  <c r="X45"/>
  <c r="X36"/>
  <c r="X37"/>
  <c r="X38"/>
  <c r="X33"/>
  <c r="X22"/>
  <c r="X23"/>
  <c r="X24"/>
  <c r="X25"/>
  <c r="X26"/>
  <c r="X27"/>
  <c r="X28"/>
  <c r="X29"/>
  <c r="X15"/>
  <c r="X16"/>
  <c r="X17"/>
  <c r="X18"/>
  <c r="X12"/>
  <c r="X13"/>
  <c r="Q120"/>
  <c r="Q122"/>
  <c r="Q123"/>
  <c r="R120"/>
  <c r="R123"/>
  <c r="AP8" i="22"/>
  <c r="AJ8" s="1"/>
  <c r="I43" i="2"/>
  <c r="C2" i="3"/>
  <c r="E2"/>
  <c r="E3"/>
  <c r="C4"/>
  <c r="E5" i="4"/>
  <c r="AH6"/>
  <c r="AI6"/>
  <c r="AB8"/>
  <c r="Z8" i="8" s="1"/>
  <c r="AI8" i="4"/>
  <c r="AD8" i="8" s="1"/>
  <c r="Q14" i="4"/>
  <c r="L33"/>
  <c r="Q33" s="1"/>
  <c r="L32"/>
  <c r="L21"/>
  <c r="Q21" s="1"/>
  <c r="L58"/>
  <c r="Q58" s="1"/>
  <c r="L53"/>
  <c r="R53" s="1"/>
  <c r="R53" i="22" s="1"/>
  <c r="L48" i="4"/>
  <c r="R48" s="1"/>
  <c r="R48" i="22" s="1"/>
  <c r="S35" i="4"/>
  <c r="S58"/>
  <c r="X58" s="1"/>
  <c r="S53"/>
  <c r="Y53" s="1"/>
  <c r="S53" i="22" s="1"/>
  <c r="S48" i="4"/>
  <c r="Q12"/>
  <c r="Q13"/>
  <c r="Q15"/>
  <c r="Q16"/>
  <c r="Q17"/>
  <c r="Q18"/>
  <c r="Q19"/>
  <c r="R12"/>
  <c r="R13"/>
  <c r="R15"/>
  <c r="R16"/>
  <c r="R17"/>
  <c r="R18"/>
  <c r="R19"/>
  <c r="AG12" i="8"/>
  <c r="X12" s="1"/>
  <c r="K12" i="22" s="1"/>
  <c r="AG13" i="8"/>
  <c r="X13" s="1"/>
  <c r="K13" i="22" s="1"/>
  <c r="AG15" i="8"/>
  <c r="X15" s="1"/>
  <c r="K15" i="22" s="1"/>
  <c r="AG16" i="8"/>
  <c r="X16" s="1"/>
  <c r="K16" i="22" s="1"/>
  <c r="AG17" i="8"/>
  <c r="X17" s="1"/>
  <c r="K17" i="22" s="1"/>
  <c r="AG18" i="8"/>
  <c r="X18" s="1"/>
  <c r="K18" i="22" s="1"/>
  <c r="AG19" i="8"/>
  <c r="X19" s="1"/>
  <c r="K19" i="22" s="1"/>
  <c r="X19" i="4"/>
  <c r="M12"/>
  <c r="O12"/>
  <c r="T12"/>
  <c r="V12"/>
  <c r="M13"/>
  <c r="O13"/>
  <c r="T13"/>
  <c r="V13"/>
  <c r="M15"/>
  <c r="O15"/>
  <c r="T15"/>
  <c r="V15"/>
  <c r="M16"/>
  <c r="O16"/>
  <c r="T16"/>
  <c r="V16"/>
  <c r="M17"/>
  <c r="O17"/>
  <c r="T17"/>
  <c r="V17"/>
  <c r="M18"/>
  <c r="O18"/>
  <c r="T18"/>
  <c r="V18"/>
  <c r="M19"/>
  <c r="O19"/>
  <c r="T19"/>
  <c r="V19"/>
  <c r="Q22"/>
  <c r="Q24"/>
  <c r="Q25"/>
  <c r="Q30"/>
  <c r="Q31"/>
  <c r="R22"/>
  <c r="R24"/>
  <c r="R25"/>
  <c r="R30"/>
  <c r="R31"/>
  <c r="R31" i="22" s="1"/>
  <c r="X30" i="4"/>
  <c r="X31"/>
  <c r="M22"/>
  <c r="O22"/>
  <c r="T22"/>
  <c r="V22"/>
  <c r="AG22" i="8"/>
  <c r="X22" s="1"/>
  <c r="K22" i="22" s="1"/>
  <c r="AG23" i="8"/>
  <c r="X23" s="1"/>
  <c r="K23" i="22" s="1"/>
  <c r="AG24" i="8"/>
  <c r="X24" s="1"/>
  <c r="K24" i="22" s="1"/>
  <c r="AG25" i="8"/>
  <c r="X25" s="1"/>
  <c r="K25" i="22" s="1"/>
  <c r="AG26" i="8"/>
  <c r="X26" s="1"/>
  <c r="K26" i="22" s="1"/>
  <c r="AG27" i="8"/>
  <c r="X27" s="1"/>
  <c r="K27" i="22" s="1"/>
  <c r="AG28" i="8"/>
  <c r="X28" s="1"/>
  <c r="K28" i="22" s="1"/>
  <c r="AG29" i="8"/>
  <c r="X29" s="1"/>
  <c r="K29" i="22" s="1"/>
  <c r="M24" i="4"/>
  <c r="O24"/>
  <c r="T24"/>
  <c r="V24"/>
  <c r="M25"/>
  <c r="O25"/>
  <c r="T25"/>
  <c r="V25"/>
  <c r="M30"/>
  <c r="O30"/>
  <c r="T30"/>
  <c r="V30"/>
  <c r="M31"/>
  <c r="O31"/>
  <c r="T31"/>
  <c r="V31"/>
  <c r="V32"/>
  <c r="AG32" i="8"/>
  <c r="X32" s="1"/>
  <c r="K32" i="22" s="1"/>
  <c r="AG33" i="8"/>
  <c r="X33" s="1"/>
  <c r="K33" i="22" s="1"/>
  <c r="T33" i="4"/>
  <c r="V33"/>
  <c r="X35"/>
  <c r="Y35"/>
  <c r="S35" i="22" s="1"/>
  <c r="R36" i="4"/>
  <c r="R37"/>
  <c r="R38"/>
  <c r="R46"/>
  <c r="X43"/>
  <c r="X46"/>
  <c r="Y43"/>
  <c r="Y46"/>
  <c r="M36"/>
  <c r="O36"/>
  <c r="T36"/>
  <c r="V36"/>
  <c r="AG36" i="8"/>
  <c r="X36" s="1"/>
  <c r="K36" i="22" s="1"/>
  <c r="AG37" i="8"/>
  <c r="X37" s="1"/>
  <c r="K37" i="22" s="1"/>
  <c r="AG38" i="8"/>
  <c r="X38" s="1"/>
  <c r="K38" i="22" s="1"/>
  <c r="M37" i="4"/>
  <c r="O37"/>
  <c r="T37"/>
  <c r="V37"/>
  <c r="M38"/>
  <c r="O38"/>
  <c r="T38"/>
  <c r="V38"/>
  <c r="M44"/>
  <c r="O44"/>
  <c r="T44"/>
  <c r="V44"/>
  <c r="AG44" i="8"/>
  <c r="X44" s="1"/>
  <c r="K44" i="22" s="1"/>
  <c r="AG45" i="8"/>
  <c r="X45" s="1"/>
  <c r="K45" i="22" s="1"/>
  <c r="M45" i="4"/>
  <c r="O45"/>
  <c r="T45"/>
  <c r="V45"/>
  <c r="M46"/>
  <c r="O46"/>
  <c r="T46"/>
  <c r="V46"/>
  <c r="Q49"/>
  <c r="Q50"/>
  <c r="Q51"/>
  <c r="Q52"/>
  <c r="Q54"/>
  <c r="Q55"/>
  <c r="Q56"/>
  <c r="Q57"/>
  <c r="Q59"/>
  <c r="Q60"/>
  <c r="R49"/>
  <c r="R50"/>
  <c r="R51"/>
  <c r="R52"/>
  <c r="R54"/>
  <c r="R55"/>
  <c r="R56"/>
  <c r="R57"/>
  <c r="R59"/>
  <c r="R60"/>
  <c r="M49"/>
  <c r="O49"/>
  <c r="T49"/>
  <c r="V49"/>
  <c r="AG49" i="8"/>
  <c r="X49" s="1"/>
  <c r="K49" i="22" s="1"/>
  <c r="AG50" i="8"/>
  <c r="X50" s="1"/>
  <c r="K50" i="22" s="1"/>
  <c r="AG51" i="8"/>
  <c r="X51" s="1"/>
  <c r="K51" i="22" s="1"/>
  <c r="AG52" i="8"/>
  <c r="X52" s="1"/>
  <c r="K52" i="22" s="1"/>
  <c r="M50" i="4"/>
  <c r="O50"/>
  <c r="T50"/>
  <c r="V50"/>
  <c r="M51"/>
  <c r="O51"/>
  <c r="T51"/>
  <c r="V51"/>
  <c r="M52"/>
  <c r="O52"/>
  <c r="T52"/>
  <c r="V52"/>
  <c r="M54"/>
  <c r="O54"/>
  <c r="T54"/>
  <c r="V54"/>
  <c r="AG54" i="8"/>
  <c r="X54" s="1"/>
  <c r="K54" i="22" s="1"/>
  <c r="AG55" i="8"/>
  <c r="X55" s="1"/>
  <c r="K55" i="22" s="1"/>
  <c r="AG56" i="8"/>
  <c r="X56" s="1"/>
  <c r="K56" i="22" s="1"/>
  <c r="AG57" i="8"/>
  <c r="X57" s="1"/>
  <c r="K57" i="22" s="1"/>
  <c r="M55" i="4"/>
  <c r="O55"/>
  <c r="T55"/>
  <c r="V55"/>
  <c r="M56"/>
  <c r="O56"/>
  <c r="T56"/>
  <c r="V56"/>
  <c r="M57"/>
  <c r="O57"/>
  <c r="T57"/>
  <c r="V57"/>
  <c r="M59"/>
  <c r="O59"/>
  <c r="T59"/>
  <c r="V59"/>
  <c r="AG59" i="8"/>
  <c r="X59" s="1"/>
  <c r="K59" i="22" s="1"/>
  <c r="AG60" i="8"/>
  <c r="X60" s="1"/>
  <c r="K60" i="22" s="1"/>
  <c r="M60" i="4"/>
  <c r="O60"/>
  <c r="T60"/>
  <c r="V60"/>
  <c r="L71"/>
  <c r="Q71" s="1"/>
  <c r="L67"/>
  <c r="Q67" s="1"/>
  <c r="L63"/>
  <c r="S71"/>
  <c r="S67"/>
  <c r="Y67" s="1"/>
  <c r="S67" i="22" s="1"/>
  <c r="S63" i="4"/>
  <c r="Y63" s="1"/>
  <c r="S63" i="22" s="1"/>
  <c r="L90" i="4"/>
  <c r="Q90" s="1"/>
  <c r="L86"/>
  <c r="L79"/>
  <c r="L76"/>
  <c r="R76" s="1"/>
  <c r="R76" i="22" s="1"/>
  <c r="L102" i="4"/>
  <c r="L98"/>
  <c r="R98" s="1"/>
  <c r="S90"/>
  <c r="X90" s="1"/>
  <c r="S86"/>
  <c r="S79"/>
  <c r="S76"/>
  <c r="Q64"/>
  <c r="Q65"/>
  <c r="Q66"/>
  <c r="Q68"/>
  <c r="Q69"/>
  <c r="Q70"/>
  <c r="Q72"/>
  <c r="Q73"/>
  <c r="Q74"/>
  <c r="R64"/>
  <c r="R65"/>
  <c r="R66"/>
  <c r="R67"/>
  <c r="R67" i="22"/>
  <c r="R68" i="4"/>
  <c r="R69"/>
  <c r="R70"/>
  <c r="R71"/>
  <c r="R71" i="22" s="1"/>
  <c r="R72" i="4"/>
  <c r="R73"/>
  <c r="R74"/>
  <c r="X67"/>
  <c r="M64"/>
  <c r="O64"/>
  <c r="T64"/>
  <c r="V64"/>
  <c r="AG64" i="8"/>
  <c r="X64" s="1"/>
  <c r="K64" i="22" s="1"/>
  <c r="AG65" i="8"/>
  <c r="X65" s="1"/>
  <c r="K65" i="22" s="1"/>
  <c r="AG66" i="8"/>
  <c r="X66" s="1"/>
  <c r="K66" i="22" s="1"/>
  <c r="M65" i="4"/>
  <c r="O65"/>
  <c r="T65"/>
  <c r="V65"/>
  <c r="M66"/>
  <c r="O66"/>
  <c r="T66"/>
  <c r="V66"/>
  <c r="M68"/>
  <c r="O68"/>
  <c r="T68"/>
  <c r="V68"/>
  <c r="AG68" i="8"/>
  <c r="X68" s="1"/>
  <c r="K68" i="22" s="1"/>
  <c r="AG69" i="8"/>
  <c r="X69" s="1"/>
  <c r="K69" i="22" s="1"/>
  <c r="AG70" i="8"/>
  <c r="X70" s="1"/>
  <c r="K70" i="22" s="1"/>
  <c r="M69" i="4"/>
  <c r="O69"/>
  <c r="T69"/>
  <c r="V69"/>
  <c r="M70"/>
  <c r="O70"/>
  <c r="T70"/>
  <c r="V70"/>
  <c r="M72"/>
  <c r="O72"/>
  <c r="T72"/>
  <c r="V72"/>
  <c r="M73"/>
  <c r="O73"/>
  <c r="T73"/>
  <c r="V73"/>
  <c r="M74"/>
  <c r="O74"/>
  <c r="T74"/>
  <c r="V74"/>
  <c r="Q76"/>
  <c r="X76"/>
  <c r="Q77"/>
  <c r="Q78"/>
  <c r="Q80"/>
  <c r="Q81"/>
  <c r="Q82"/>
  <c r="Q83"/>
  <c r="Q84"/>
  <c r="Q85"/>
  <c r="Q87"/>
  <c r="Q88"/>
  <c r="Q89"/>
  <c r="Q91"/>
  <c r="Q92"/>
  <c r="Q93"/>
  <c r="Q94"/>
  <c r="Q95"/>
  <c r="R77"/>
  <c r="R78"/>
  <c r="R80"/>
  <c r="R81"/>
  <c r="R82"/>
  <c r="R83"/>
  <c r="R84"/>
  <c r="R85"/>
  <c r="R87"/>
  <c r="R88"/>
  <c r="R89"/>
  <c r="R91"/>
  <c r="R92"/>
  <c r="R93"/>
  <c r="R94"/>
  <c r="R95"/>
  <c r="X77"/>
  <c r="X78"/>
  <c r="M77"/>
  <c r="O77"/>
  <c r="T77"/>
  <c r="V77"/>
  <c r="AG77" i="8"/>
  <c r="X77" s="1"/>
  <c r="K77" i="22" s="1"/>
  <c r="AG78" i="8"/>
  <c r="X78" s="1"/>
  <c r="K78" i="22" s="1"/>
  <c r="M78" i="4"/>
  <c r="O78"/>
  <c r="T78"/>
  <c r="V78"/>
  <c r="M80"/>
  <c r="O80"/>
  <c r="T80"/>
  <c r="V80"/>
  <c r="AG80" i="8"/>
  <c r="X80" s="1"/>
  <c r="K80" i="22" s="1"/>
  <c r="AG81" i="8"/>
  <c r="X81" s="1"/>
  <c r="K81" i="22" s="1"/>
  <c r="AG82" i="8"/>
  <c r="X82" s="1"/>
  <c r="K82" i="22" s="1"/>
  <c r="AG83" i="8"/>
  <c r="X83" s="1"/>
  <c r="K83" i="22" s="1"/>
  <c r="AG84" i="8"/>
  <c r="X84" s="1"/>
  <c r="K84" i="22" s="1"/>
  <c r="AG85" i="8"/>
  <c r="X85" s="1"/>
  <c r="K85" i="22" s="1"/>
  <c r="M81" i="4"/>
  <c r="O81"/>
  <c r="T81"/>
  <c r="V81"/>
  <c r="M82"/>
  <c r="O82"/>
  <c r="T82"/>
  <c r="V82"/>
  <c r="M83"/>
  <c r="O83"/>
  <c r="T83"/>
  <c r="V83"/>
  <c r="M84"/>
  <c r="O84"/>
  <c r="T84"/>
  <c r="V84"/>
  <c r="M85"/>
  <c r="O85"/>
  <c r="T85"/>
  <c r="V85"/>
  <c r="M87"/>
  <c r="T87"/>
  <c r="V87"/>
  <c r="AG88" i="8"/>
  <c r="X88" s="1"/>
  <c r="K88" i="22" s="1"/>
  <c r="AG89" i="8"/>
  <c r="X89" s="1"/>
  <c r="K89" i="22" s="1"/>
  <c r="M88" i="4"/>
  <c r="O88"/>
  <c r="T88"/>
  <c r="V88"/>
  <c r="M89"/>
  <c r="O89"/>
  <c r="T89"/>
  <c r="V89"/>
  <c r="M91"/>
  <c r="O91"/>
  <c r="T91"/>
  <c r="V91"/>
  <c r="AG91" i="8"/>
  <c r="X91" s="1"/>
  <c r="K91" i="22" s="1"/>
  <c r="AG92" i="8"/>
  <c r="X92" s="1"/>
  <c r="K92" i="22" s="1"/>
  <c r="AG93" i="8"/>
  <c r="X93" s="1"/>
  <c r="K93" i="22" s="1"/>
  <c r="AG94" i="8"/>
  <c r="X94" s="1"/>
  <c r="K94" i="22" s="1"/>
  <c r="AG95" i="8"/>
  <c r="X95" s="1"/>
  <c r="K95" i="22" s="1"/>
  <c r="M92" i="4"/>
  <c r="O92"/>
  <c r="T92"/>
  <c r="V92"/>
  <c r="M93"/>
  <c r="O93"/>
  <c r="T93"/>
  <c r="V93"/>
  <c r="M94"/>
  <c r="O94"/>
  <c r="T94"/>
  <c r="V94"/>
  <c r="M95"/>
  <c r="O95"/>
  <c r="T95"/>
  <c r="V95"/>
  <c r="M96"/>
  <c r="O96"/>
  <c r="Q96"/>
  <c r="R96"/>
  <c r="R96" i="22" s="1"/>
  <c r="T96" i="4"/>
  <c r="V96"/>
  <c r="X96"/>
  <c r="Y96"/>
  <c r="AB96"/>
  <c r="Z96" i="8" s="1"/>
  <c r="M96" s="1"/>
  <c r="AE96" i="4"/>
  <c r="AI96" i="8" s="1"/>
  <c r="AI96" i="4"/>
  <c r="AD96" i="8" s="1"/>
  <c r="Q96" s="1"/>
  <c r="Q99" i="4"/>
  <c r="Q100"/>
  <c r="Q101"/>
  <c r="Q103"/>
  <c r="Q104"/>
  <c r="Q105"/>
  <c r="Q106"/>
  <c r="Q107"/>
  <c r="Q108"/>
  <c r="R98" i="22"/>
  <c r="R99" i="4"/>
  <c r="R100"/>
  <c r="R101"/>
  <c r="R103"/>
  <c r="R104"/>
  <c r="R105"/>
  <c r="R106"/>
  <c r="R107"/>
  <c r="R108"/>
  <c r="X101"/>
  <c r="X102"/>
  <c r="M99"/>
  <c r="O99"/>
  <c r="T99"/>
  <c r="V99"/>
  <c r="AG99" i="8"/>
  <c r="X99" s="1"/>
  <c r="K99" i="22" s="1"/>
  <c r="AG100" i="8"/>
  <c r="X100" s="1"/>
  <c r="K100" i="22" s="1"/>
  <c r="M100" i="4"/>
  <c r="O100"/>
  <c r="T100"/>
  <c r="V100"/>
  <c r="M101"/>
  <c r="O101"/>
  <c r="T101"/>
  <c r="V101"/>
  <c r="M103"/>
  <c r="O103"/>
  <c r="T103"/>
  <c r="V103"/>
  <c r="AG103" i="8"/>
  <c r="X103" s="1"/>
  <c r="K103" i="22" s="1"/>
  <c r="AG104" i="8"/>
  <c r="X104" s="1"/>
  <c r="K104" i="22" s="1"/>
  <c r="AG105" i="8"/>
  <c r="X105" s="1"/>
  <c r="K105" i="22" s="1"/>
  <c r="AG106" i="8"/>
  <c r="X106" s="1"/>
  <c r="K106" i="22" s="1"/>
  <c r="AG107" i="8"/>
  <c r="X107" s="1"/>
  <c r="K107" i="22" s="1"/>
  <c r="AG108" i="8"/>
  <c r="X108" s="1"/>
  <c r="K108" i="22" s="1"/>
  <c r="M104" i="4"/>
  <c r="O104"/>
  <c r="T104"/>
  <c r="V104"/>
  <c r="M105"/>
  <c r="O105"/>
  <c r="T105"/>
  <c r="V105"/>
  <c r="M106"/>
  <c r="O106"/>
  <c r="T106"/>
  <c r="V106"/>
  <c r="M107"/>
  <c r="O107"/>
  <c r="T107"/>
  <c r="V107"/>
  <c r="M108"/>
  <c r="O108"/>
  <c r="T108"/>
  <c r="V108"/>
  <c r="M110"/>
  <c r="O110"/>
  <c r="Q110"/>
  <c r="T110"/>
  <c r="V110"/>
  <c r="Q111"/>
  <c r="L112"/>
  <c r="R112" s="1"/>
  <c r="Q112"/>
  <c r="R111"/>
  <c r="Q113"/>
  <c r="Q114"/>
  <c r="AG110" i="8"/>
  <c r="X110" s="1"/>
  <c r="K110" i="22" s="1"/>
  <c r="AG111" i="8"/>
  <c r="X111" s="1"/>
  <c r="K111" i="22" s="1"/>
  <c r="AG113" i="8"/>
  <c r="X113" s="1"/>
  <c r="K113" i="22" s="1"/>
  <c r="R113" i="4"/>
  <c r="R114"/>
  <c r="AG114" i="8"/>
  <c r="X114" s="1"/>
  <c r="K114" i="22" s="1"/>
  <c r="M111" i="4"/>
  <c r="O111"/>
  <c r="T111"/>
  <c r="V111"/>
  <c r="M113"/>
  <c r="O113"/>
  <c r="T113"/>
  <c r="V113"/>
  <c r="M114"/>
  <c r="O114"/>
  <c r="T114"/>
  <c r="V114"/>
  <c r="M115"/>
  <c r="O115"/>
  <c r="Q115"/>
  <c r="R115"/>
  <c r="R115" i="22" s="1"/>
  <c r="T115" i="4"/>
  <c r="V115"/>
  <c r="X115"/>
  <c r="Y115"/>
  <c r="S115" i="22" s="1"/>
  <c r="AB115" i="4"/>
  <c r="Z115" i="8" s="1"/>
  <c r="M115" s="1"/>
  <c r="AE115" i="4"/>
  <c r="AI115"/>
  <c r="AB116"/>
  <c r="Z116" i="8" s="1"/>
  <c r="AE116" i="4"/>
  <c r="AI116" i="8" s="1"/>
  <c r="AI116" i="4"/>
  <c r="AD116" i="8" s="1"/>
  <c r="R127" i="4"/>
  <c r="R128"/>
  <c r="R129"/>
  <c r="R130"/>
  <c r="R131"/>
  <c r="R132"/>
  <c r="M118"/>
  <c r="O118"/>
  <c r="Q118"/>
  <c r="Q124"/>
  <c r="Q125"/>
  <c r="Q126"/>
  <c r="Q127"/>
  <c r="Q128"/>
  <c r="Q129"/>
  <c r="Q130"/>
  <c r="Q131"/>
  <c r="Q132"/>
  <c r="M120"/>
  <c r="O120"/>
  <c r="M122"/>
  <c r="O122"/>
  <c r="M123"/>
  <c r="O123"/>
  <c r="M125"/>
  <c r="O125"/>
  <c r="X125"/>
  <c r="X126"/>
  <c r="X132"/>
  <c r="O126"/>
  <c r="M127"/>
  <c r="O127"/>
  <c r="AG127" i="8"/>
  <c r="X127" s="1"/>
  <c r="K127" i="22" s="1"/>
  <c r="AG128" i="8"/>
  <c r="X128" s="1"/>
  <c r="K128" i="22" s="1"/>
  <c r="AG129" i="8"/>
  <c r="X129" s="1"/>
  <c r="K129" i="22" s="1"/>
  <c r="AG130" i="8"/>
  <c r="X130" s="1"/>
  <c r="K130" i="22" s="1"/>
  <c r="AG131" i="8"/>
  <c r="X131" s="1"/>
  <c r="K131" i="22" s="1"/>
  <c r="O128" i="4"/>
  <c r="O129"/>
  <c r="O130"/>
  <c r="O131"/>
  <c r="X143"/>
  <c r="Q146"/>
  <c r="L155"/>
  <c r="Q155" s="1"/>
  <c r="L153"/>
  <c r="Q153" s="1"/>
  <c r="R146"/>
  <c r="Q142"/>
  <c r="Q143"/>
  <c r="Q144"/>
  <c r="Q145"/>
  <c r="AG142" i="8"/>
  <c r="X142" s="1"/>
  <c r="K142" i="22" s="1"/>
  <c r="R142" i="4"/>
  <c r="R143"/>
  <c r="R143" i="22" s="1"/>
  <c r="R144" i="4"/>
  <c r="R145"/>
  <c r="AK142" i="8"/>
  <c r="AB142" s="1"/>
  <c r="L142" i="22" s="1"/>
  <c r="Y142" i="4"/>
  <c r="Y143"/>
  <c r="S143" i="22" s="1"/>
  <c r="M142" i="4"/>
  <c r="O142"/>
  <c r="X142"/>
  <c r="M144"/>
  <c r="O144"/>
  <c r="AG144" i="8"/>
  <c r="X144" s="1"/>
  <c r="K144" i="22" s="1"/>
  <c r="AG145" i="8"/>
  <c r="X145" s="1"/>
  <c r="K145" i="22" s="1"/>
  <c r="M145" i="4"/>
  <c r="O145"/>
  <c r="M147"/>
  <c r="O147"/>
  <c r="Q147"/>
  <c r="R147"/>
  <c r="Q148"/>
  <c r="Q149"/>
  <c r="Q150"/>
  <c r="Q151"/>
  <c r="Q152"/>
  <c r="R148"/>
  <c r="R149"/>
  <c r="R150"/>
  <c r="R151"/>
  <c r="R152"/>
  <c r="AG147" i="8"/>
  <c r="X147" s="1"/>
  <c r="K147" i="22" s="1"/>
  <c r="AG148" i="8"/>
  <c r="X148" s="1"/>
  <c r="K148" i="22" s="1"/>
  <c r="AG149" i="8"/>
  <c r="X149" s="1"/>
  <c r="K149" i="22" s="1"/>
  <c r="AG150" i="8"/>
  <c r="X150" s="1"/>
  <c r="K150" i="22" s="1"/>
  <c r="AG151" i="8"/>
  <c r="X151" s="1"/>
  <c r="K151" i="22" s="1"/>
  <c r="AG152" i="8"/>
  <c r="X152" s="1"/>
  <c r="K152" i="22" s="1"/>
  <c r="M148" i="4"/>
  <c r="O148"/>
  <c r="M149"/>
  <c r="O149"/>
  <c r="M150"/>
  <c r="O150"/>
  <c r="M151"/>
  <c r="O151"/>
  <c r="M152"/>
  <c r="O152"/>
  <c r="M154"/>
  <c r="O154"/>
  <c r="Q154"/>
  <c r="R154"/>
  <c r="Q156"/>
  <c r="Q157"/>
  <c r="Q158"/>
  <c r="R156"/>
  <c r="R157"/>
  <c r="R158"/>
  <c r="AG154" i="8"/>
  <c r="X154" s="1"/>
  <c r="K154" i="22" s="1"/>
  <c r="M156" i="4"/>
  <c r="O156"/>
  <c r="AG156" i="8"/>
  <c r="X156" s="1"/>
  <c r="K156" i="22" s="1"/>
  <c r="AG157" i="8"/>
  <c r="X157" s="1"/>
  <c r="K157" i="22" s="1"/>
  <c r="AG158" i="8"/>
  <c r="X158" s="1"/>
  <c r="K158" i="22" s="1"/>
  <c r="M157" i="4"/>
  <c r="O157"/>
  <c r="M158"/>
  <c r="O158"/>
  <c r="M160"/>
  <c r="O160"/>
  <c r="Q160"/>
  <c r="R160"/>
  <c r="X160"/>
  <c r="Y160"/>
  <c r="L164"/>
  <c r="R164" s="1"/>
  <c r="R164" i="22" s="1"/>
  <c r="L178" i="4"/>
  <c r="Q178" s="1"/>
  <c r="L174"/>
  <c r="L170"/>
  <c r="X161"/>
  <c r="X178"/>
  <c r="AK160" i="8"/>
  <c r="AB160" s="1"/>
  <c r="L160" i="22" s="1"/>
  <c r="M162" i="4"/>
  <c r="O162"/>
  <c r="Q162"/>
  <c r="R162"/>
  <c r="Q163"/>
  <c r="Q164"/>
  <c r="Q165"/>
  <c r="Q166"/>
  <c r="Q167"/>
  <c r="Q168"/>
  <c r="R163"/>
  <c r="R165"/>
  <c r="R166"/>
  <c r="R167"/>
  <c r="R168"/>
  <c r="AG162" i="8"/>
  <c r="X162" s="1"/>
  <c r="K162" i="22" s="1"/>
  <c r="AG163" i="8"/>
  <c r="X163" s="1"/>
  <c r="K163" i="22" s="1"/>
  <c r="M163" i="4"/>
  <c r="O163"/>
  <c r="M165"/>
  <c r="O165"/>
  <c r="AG165" i="8"/>
  <c r="X165" s="1"/>
  <c r="K165" i="22" s="1"/>
  <c r="AG166" i="8"/>
  <c r="X166" s="1"/>
  <c r="K166" i="22" s="1"/>
  <c r="AG167" i="8"/>
  <c r="X167" s="1"/>
  <c r="K167" i="22" s="1"/>
  <c r="AG168" i="8"/>
  <c r="X168" s="1"/>
  <c r="K168" i="22" s="1"/>
  <c r="M166" i="4"/>
  <c r="O166"/>
  <c r="M167"/>
  <c r="O167"/>
  <c r="M168"/>
  <c r="O168"/>
  <c r="X170"/>
  <c r="Q179"/>
  <c r="Q180"/>
  <c r="R171"/>
  <c r="R172"/>
  <c r="R173"/>
  <c r="R178"/>
  <c r="R178" i="22" s="1"/>
  <c r="R179" i="4"/>
  <c r="R180"/>
  <c r="X174"/>
  <c r="M171"/>
  <c r="O171"/>
  <c r="AG171" i="8"/>
  <c r="X171" s="1"/>
  <c r="K171" i="22" s="1"/>
  <c r="AG172" i="8"/>
  <c r="X172" s="1"/>
  <c r="K172" i="22" s="1"/>
  <c r="AG173" i="8"/>
  <c r="X173" s="1"/>
  <c r="K173" i="22" s="1"/>
  <c r="M172" i="4"/>
  <c r="O172"/>
  <c r="M173"/>
  <c r="O173"/>
  <c r="M175"/>
  <c r="O175"/>
  <c r="M176"/>
  <c r="O176"/>
  <c r="M179"/>
  <c r="O179"/>
  <c r="AG179" i="8"/>
  <c r="X179" s="1"/>
  <c r="K179" i="22" s="1"/>
  <c r="AG180" i="8"/>
  <c r="X180" s="1"/>
  <c r="K180" i="22" s="1"/>
  <c r="M180" i="4"/>
  <c r="O180"/>
  <c r="B2" i="8"/>
  <c r="S2"/>
  <c r="B3"/>
  <c r="S3"/>
  <c r="H5"/>
  <c r="AC10"/>
  <c r="AG30"/>
  <c r="X30" s="1"/>
  <c r="K30" i="22" s="1"/>
  <c r="AA61" i="8"/>
  <c r="L61" i="47" s="1"/>
  <c r="AB61" i="8"/>
  <c r="W96"/>
  <c r="K96" i="47" s="1"/>
  <c r="X96" i="8"/>
  <c r="K96" i="22" s="1"/>
  <c r="G96" s="1"/>
  <c r="AA96" i="8"/>
  <c r="L96" i="47" s="1"/>
  <c r="H96" s="1"/>
  <c r="AB96" i="8"/>
  <c r="AG101"/>
  <c r="X101" s="1"/>
  <c r="K101" i="22" s="1"/>
  <c r="AA109" i="8"/>
  <c r="L109" i="47" s="1"/>
  <c r="AB109" i="8"/>
  <c r="L109" i="22" s="1"/>
  <c r="AD115" i="8"/>
  <c r="Q115" s="1"/>
  <c r="AA116"/>
  <c r="L116" i="47" s="1"/>
  <c r="AB116" i="8"/>
  <c r="L116" i="22" s="1"/>
  <c r="H116" s="1"/>
  <c r="K5" i="9"/>
  <c r="N5"/>
  <c r="D8"/>
  <c r="J8"/>
  <c r="D9"/>
  <c r="J9"/>
  <c r="D10"/>
  <c r="J10"/>
  <c r="D11"/>
  <c r="J11"/>
  <c r="J12"/>
  <c r="D13"/>
  <c r="F13"/>
  <c r="J13"/>
  <c r="D14"/>
  <c r="J14"/>
  <c r="E15"/>
  <c r="J15"/>
  <c r="E16"/>
  <c r="J16"/>
  <c r="J17"/>
  <c r="N17"/>
  <c r="D18"/>
  <c r="J18"/>
  <c r="N18"/>
  <c r="N19"/>
  <c r="N20"/>
  <c r="U28"/>
  <c r="Z32"/>
  <c r="Z33"/>
  <c r="C41"/>
  <c r="H41"/>
  <c r="L41"/>
  <c r="C52"/>
  <c r="H52"/>
  <c r="L52"/>
  <c r="B66"/>
  <c r="H66"/>
  <c r="L66"/>
  <c r="B68"/>
  <c r="H68"/>
  <c r="L68"/>
  <c r="K5" i="10"/>
  <c r="N5"/>
  <c r="D8"/>
  <c r="J8"/>
  <c r="D9"/>
  <c r="J9"/>
  <c r="D10"/>
  <c r="J10"/>
  <c r="D11"/>
  <c r="J11"/>
  <c r="J12"/>
  <c r="D13"/>
  <c r="J13"/>
  <c r="D14"/>
  <c r="J14"/>
  <c r="E15"/>
  <c r="J15"/>
  <c r="E16"/>
  <c r="J16"/>
  <c r="U28"/>
  <c r="Y28" s="1"/>
  <c r="W28"/>
  <c r="Z32"/>
  <c r="U33"/>
  <c r="Z33"/>
  <c r="C41"/>
  <c r="H41"/>
  <c r="L41"/>
  <c r="C52"/>
  <c r="H52"/>
  <c r="L52"/>
  <c r="J5" i="11"/>
  <c r="M5"/>
  <c r="D9"/>
  <c r="J9"/>
  <c r="N9"/>
  <c r="D11"/>
  <c r="J11"/>
  <c r="N11"/>
  <c r="E12"/>
  <c r="J12"/>
  <c r="N12"/>
  <c r="D14"/>
  <c r="J14"/>
  <c r="D15"/>
  <c r="J15"/>
  <c r="N15"/>
  <c r="D16"/>
  <c r="J16"/>
  <c r="N16"/>
  <c r="D17"/>
  <c r="J17"/>
  <c r="N17"/>
  <c r="N18"/>
  <c r="N19"/>
  <c r="U28"/>
  <c r="Z32"/>
  <c r="Z33"/>
  <c r="C41"/>
  <c r="H41"/>
  <c r="L41"/>
  <c r="C52"/>
  <c r="H52"/>
  <c r="L52"/>
  <c r="F2" i="12"/>
  <c r="F3"/>
  <c r="D7"/>
  <c r="E7" s="1"/>
  <c r="F2" i="13"/>
  <c r="F3"/>
  <c r="D7"/>
  <c r="E7" s="1"/>
  <c r="F2" i="15"/>
  <c r="F3"/>
  <c r="D7"/>
  <c r="E7" s="1"/>
  <c r="F2" i="16"/>
  <c r="F3"/>
  <c r="D7"/>
  <c r="E7" s="1"/>
  <c r="B58" i="21"/>
  <c r="C58"/>
  <c r="B59"/>
  <c r="C59"/>
  <c r="B60"/>
  <c r="C60"/>
  <c r="B61"/>
  <c r="C61"/>
  <c r="B62"/>
  <c r="C62"/>
  <c r="B63"/>
  <c r="C63"/>
  <c r="B64"/>
  <c r="C64"/>
  <c r="B65"/>
  <c r="C65"/>
  <c r="B66"/>
  <c r="C66"/>
  <c r="B67"/>
  <c r="C67"/>
  <c r="B68"/>
  <c r="C68"/>
  <c r="B69"/>
  <c r="C69"/>
  <c r="B70"/>
  <c r="C70"/>
  <c r="B71"/>
  <c r="C71"/>
  <c r="B72"/>
  <c r="C72"/>
  <c r="B73"/>
  <c r="C73"/>
  <c r="B74"/>
  <c r="C74"/>
  <c r="B75"/>
  <c r="C75"/>
  <c r="B76"/>
  <c r="C76"/>
  <c r="B77"/>
  <c r="C77"/>
  <c r="B78"/>
  <c r="C78"/>
  <c r="B79"/>
  <c r="C79"/>
  <c r="B80"/>
  <c r="C80"/>
  <c r="B81"/>
  <c r="C81"/>
  <c r="B82"/>
  <c r="C82"/>
  <c r="B83"/>
  <c r="C83"/>
  <c r="B84"/>
  <c r="C84"/>
  <c r="B85"/>
  <c r="C85"/>
  <c r="B86"/>
  <c r="C86"/>
  <c r="B87"/>
  <c r="C87"/>
  <c r="B88"/>
  <c r="C88"/>
  <c r="B89"/>
  <c r="C89"/>
  <c r="B90"/>
  <c r="C90"/>
  <c r="B91"/>
  <c r="C91"/>
  <c r="B92"/>
  <c r="C92"/>
  <c r="B93"/>
  <c r="C93"/>
  <c r="B94"/>
  <c r="C94"/>
  <c r="B95"/>
  <c r="C95"/>
  <c r="B96"/>
  <c r="C96"/>
  <c r="B97"/>
  <c r="C97"/>
  <c r="B98"/>
  <c r="C98"/>
  <c r="B99"/>
  <c r="C99"/>
  <c r="B100"/>
  <c r="C100"/>
  <c r="B101"/>
  <c r="C101"/>
  <c r="B102"/>
  <c r="C102"/>
  <c r="B103"/>
  <c r="C103"/>
  <c r="B104"/>
  <c r="C104"/>
  <c r="B105"/>
  <c r="C105"/>
  <c r="B106"/>
  <c r="C106"/>
  <c r="B107"/>
  <c r="C107"/>
  <c r="B108"/>
  <c r="C108"/>
  <c r="B109"/>
  <c r="C109"/>
  <c r="B110"/>
  <c r="C110"/>
  <c r="B111"/>
  <c r="C111"/>
  <c r="B112"/>
  <c r="C112"/>
  <c r="B113"/>
  <c r="C113"/>
  <c r="B114"/>
  <c r="C114"/>
  <c r="B115"/>
  <c r="C115"/>
  <c r="B116"/>
  <c r="C116"/>
  <c r="B117"/>
  <c r="C117"/>
  <c r="B118"/>
  <c r="C118"/>
  <c r="B119"/>
  <c r="C119"/>
  <c r="B120"/>
  <c r="C120"/>
  <c r="B121"/>
  <c r="C121"/>
  <c r="B122"/>
  <c r="C122"/>
  <c r="B123"/>
  <c r="C123"/>
  <c r="B124"/>
  <c r="C124"/>
  <c r="B125"/>
  <c r="C125"/>
  <c r="B126"/>
  <c r="C126"/>
  <c r="B127"/>
  <c r="C127"/>
  <c r="B128"/>
  <c r="C128"/>
  <c r="B129"/>
  <c r="C129"/>
  <c r="B130"/>
  <c r="C130"/>
  <c r="B131"/>
  <c r="C131"/>
  <c r="B132"/>
  <c r="C132"/>
  <c r="B133"/>
  <c r="C133"/>
  <c r="B134"/>
  <c r="C134"/>
  <c r="B140"/>
  <c r="C140"/>
  <c r="B141"/>
  <c r="C141"/>
  <c r="B142"/>
  <c r="C142"/>
  <c r="B143"/>
  <c r="C143"/>
  <c r="B144"/>
  <c r="C144"/>
  <c r="B145"/>
  <c r="C145"/>
  <c r="B146"/>
  <c r="C146"/>
  <c r="B147"/>
  <c r="C147"/>
  <c r="B148"/>
  <c r="C148"/>
  <c r="B149"/>
  <c r="C149"/>
  <c r="B150"/>
  <c r="C150"/>
  <c r="B151"/>
  <c r="C151"/>
  <c r="B152"/>
  <c r="C152"/>
  <c r="B153"/>
  <c r="C153"/>
  <c r="B154"/>
  <c r="C154"/>
  <c r="B155"/>
  <c r="C155"/>
  <c r="B156"/>
  <c r="C156"/>
  <c r="B157"/>
  <c r="C157"/>
  <c r="B158"/>
  <c r="C158"/>
  <c r="B159"/>
  <c r="C159"/>
  <c r="B160"/>
  <c r="C160"/>
  <c r="B161"/>
  <c r="C161"/>
  <c r="B162"/>
  <c r="C162"/>
  <c r="B163"/>
  <c r="C163"/>
  <c r="B164"/>
  <c r="C164"/>
  <c r="B165"/>
  <c r="C165"/>
  <c r="B166"/>
  <c r="C166"/>
  <c r="B167"/>
  <c r="C167"/>
  <c r="B168"/>
  <c r="C168"/>
  <c r="B169"/>
  <c r="C169"/>
  <c r="B170"/>
  <c r="C170"/>
  <c r="B171"/>
  <c r="C171"/>
  <c r="B172"/>
  <c r="C172"/>
  <c r="B173"/>
  <c r="C173"/>
  <c r="B174"/>
  <c r="C174"/>
  <c r="B175"/>
  <c r="C175"/>
  <c r="B178"/>
  <c r="C178"/>
  <c r="B179"/>
  <c r="C179"/>
  <c r="B180"/>
  <c r="C180"/>
  <c r="B8" i="22"/>
  <c r="C8"/>
  <c r="AN8"/>
  <c r="AH8" s="1"/>
  <c r="AO8"/>
  <c r="AI8" s="1"/>
  <c r="L61"/>
  <c r="L96"/>
  <c r="H96" s="1"/>
  <c r="S96"/>
  <c r="K115"/>
  <c r="G115" s="1"/>
  <c r="L115"/>
  <c r="H115" s="1"/>
  <c r="R116"/>
  <c r="S116"/>
  <c r="N44"/>
  <c r="AB44" i="4" s="1"/>
  <c r="Z44" i="8" s="1"/>
  <c r="M44" s="1"/>
  <c r="N45" i="22"/>
  <c r="AB45" i="4" s="1"/>
  <c r="Z45" i="8" s="1"/>
  <c r="M45" s="1"/>
  <c r="R62" i="2" l="1"/>
  <c r="F34" i="60" s="1"/>
  <c r="O34" s="1"/>
  <c r="U34" s="1"/>
  <c r="S62" i="2"/>
  <c r="F27" i="60"/>
  <c r="S49" i="2"/>
  <c r="H118" i="60"/>
  <c r="T74" i="59"/>
  <c r="X53" i="4"/>
  <c r="G45" i="22"/>
  <c r="H44"/>
  <c r="J43" s="1"/>
  <c r="G44"/>
  <c r="S57" i="2"/>
  <c r="F30" i="60"/>
  <c r="S56" i="2"/>
  <c r="F29" i="60"/>
  <c r="Y8" i="47"/>
  <c r="J74" i="59"/>
  <c r="E122" i="47"/>
  <c r="D131"/>
  <c r="D130"/>
  <c r="D129"/>
  <c r="D128"/>
  <c r="D127"/>
  <c r="Q53" i="4"/>
  <c r="R21"/>
  <c r="R21" i="22" s="1"/>
  <c r="F118" i="60"/>
  <c r="F125" s="1"/>
  <c r="I34" i="59"/>
  <c r="R47" i="2"/>
  <c r="R61"/>
  <c r="M15" i="59"/>
  <c r="I15"/>
  <c r="Y49" i="2"/>
  <c r="Y56"/>
  <c r="Y47"/>
  <c r="Y57"/>
  <c r="Y60"/>
  <c r="Y63"/>
  <c r="Y61"/>
  <c r="Y54"/>
  <c r="M15" i="54"/>
  <c r="I17" s="1"/>
  <c r="AG118" i="8" s="1"/>
  <c r="I17" i="56"/>
  <c r="H44" i="57"/>
  <c r="L44"/>
  <c r="I50" s="1"/>
  <c r="M44"/>
  <c r="L50" s="1"/>
  <c r="T74" i="54"/>
  <c r="X60" i="2"/>
  <c r="X67" s="1"/>
  <c r="AI110" i="22"/>
  <c r="AB66"/>
  <c r="AA35"/>
  <c r="B35" s="1"/>
  <c r="D43" i="2"/>
  <c r="F43" s="1"/>
  <c r="Q67"/>
  <c r="U35" i="9"/>
  <c r="H27" s="1"/>
  <c r="H27" i="11"/>
  <c r="W37"/>
  <c r="AJ119" i="22"/>
  <c r="AP75"/>
  <c r="AB161"/>
  <c r="H36" i="11"/>
  <c r="S115" i="8"/>
  <c r="AB116" i="22"/>
  <c r="AI147"/>
  <c r="AA101"/>
  <c r="B101" s="1"/>
  <c r="AC141"/>
  <c r="C141" s="1"/>
  <c r="AB82"/>
  <c r="AB60"/>
  <c r="AC13"/>
  <c r="C13" s="1"/>
  <c r="AJ171"/>
  <c r="AD157"/>
  <c r="AD100"/>
  <c r="AB152"/>
  <c r="AA94"/>
  <c r="B94" s="1"/>
  <c r="AB25"/>
  <c r="AG33"/>
  <c r="AC173"/>
  <c r="C173" s="1"/>
  <c r="AA128"/>
  <c r="B128" s="1"/>
  <c r="AB115"/>
  <c r="AB74"/>
  <c r="AA47"/>
  <c r="B47" s="1"/>
  <c r="AI163"/>
  <c r="AG70"/>
  <c r="AA169"/>
  <c r="B169" s="1"/>
  <c r="AB159"/>
  <c r="AC150"/>
  <c r="C150" s="1"/>
  <c r="AE116"/>
  <c r="AE115"/>
  <c r="AA110"/>
  <c r="B110" s="1"/>
  <c r="AB98"/>
  <c r="AB91"/>
  <c r="AB80"/>
  <c r="AB72"/>
  <c r="AB64"/>
  <c r="AA56"/>
  <c r="B56" s="1"/>
  <c r="AB43"/>
  <c r="AB32"/>
  <c r="AC23"/>
  <c r="C23" s="1"/>
  <c r="AL168"/>
  <c r="AK161"/>
  <c r="AH153"/>
  <c r="AD144"/>
  <c r="AF125"/>
  <c r="AH113"/>
  <c r="AF94"/>
  <c r="AF63"/>
  <c r="AE19"/>
  <c r="AA179"/>
  <c r="B179" s="1"/>
  <c r="AB166"/>
  <c r="AC157"/>
  <c r="C157" s="1"/>
  <c r="AA148"/>
  <c r="B148" s="1"/>
  <c r="C123"/>
  <c r="AB113"/>
  <c r="AB107"/>
  <c r="AL96"/>
  <c r="AA87"/>
  <c r="B87" s="1"/>
  <c r="AB78"/>
  <c r="AB70"/>
  <c r="AB62"/>
  <c r="AA54"/>
  <c r="B54" s="1"/>
  <c r="AC39"/>
  <c r="C39" s="1"/>
  <c r="AC30"/>
  <c r="C30" s="1"/>
  <c r="AC21"/>
  <c r="C21" s="1"/>
  <c r="AF179"/>
  <c r="AE167"/>
  <c r="AJ117"/>
  <c r="AJ107"/>
  <c r="AI88"/>
  <c r="AB175"/>
  <c r="AC164"/>
  <c r="C164" s="1"/>
  <c r="AA155"/>
  <c r="B155" s="1"/>
  <c r="AB145"/>
  <c r="C130"/>
  <c r="AA119"/>
  <c r="B119" s="1"/>
  <c r="AB111"/>
  <c r="AC105"/>
  <c r="C105" s="1"/>
  <c r="AD96"/>
  <c r="AC96"/>
  <c r="C96" s="1"/>
  <c r="AA85"/>
  <c r="B85" s="1"/>
  <c r="AB76"/>
  <c r="AB68"/>
  <c r="AC49"/>
  <c r="C49" s="1"/>
  <c r="AC37"/>
  <c r="C37" s="1"/>
  <c r="AA28"/>
  <c r="B28" s="1"/>
  <c r="AB17"/>
  <c r="AH173"/>
  <c r="AG165"/>
  <c r="AE151"/>
  <c r="AE104"/>
  <c r="AH81"/>
  <c r="AI54"/>
  <c r="AB172"/>
  <c r="AA168"/>
  <c r="B168" s="1"/>
  <c r="AC163"/>
  <c r="C163" s="1"/>
  <c r="AA145"/>
  <c r="B145" s="1"/>
  <c r="AC140"/>
  <c r="C140" s="1"/>
  <c r="AA125"/>
  <c r="B125" s="1"/>
  <c r="C120"/>
  <c r="AA118"/>
  <c r="B118" s="1"/>
  <c r="AJ116"/>
  <c r="AL115"/>
  <c r="AD115"/>
  <c r="AC113"/>
  <c r="C113" s="1"/>
  <c r="AH110"/>
  <c r="AC107"/>
  <c r="C107" s="1"/>
  <c r="AB93"/>
  <c r="AC89"/>
  <c r="C89" s="1"/>
  <c r="AB86"/>
  <c r="AC82"/>
  <c r="C82" s="1"/>
  <c r="AC70"/>
  <c r="C70" s="1"/>
  <c r="AC60"/>
  <c r="C60" s="1"/>
  <c r="AB55"/>
  <c r="AC51"/>
  <c r="C51" s="1"/>
  <c r="AB46"/>
  <c r="AB34"/>
  <c r="AA30"/>
  <c r="B30" s="1"/>
  <c r="AB27"/>
  <c r="AA23"/>
  <c r="B23" s="1"/>
  <c r="AB16"/>
  <c r="AK178"/>
  <c r="AF171"/>
  <c r="AJ166"/>
  <c r="AE163"/>
  <c r="AF150"/>
  <c r="AE143"/>
  <c r="AK106"/>
  <c r="AK98"/>
  <c r="AK86"/>
  <c r="AI68"/>
  <c r="AK29"/>
  <c r="AA177"/>
  <c r="B177" s="1"/>
  <c r="AA178"/>
  <c r="B178" s="1"/>
  <c r="AB174"/>
  <c r="AC172"/>
  <c r="C172" s="1"/>
  <c r="AA170"/>
  <c r="B170" s="1"/>
  <c r="AB167"/>
  <c r="AC165"/>
  <c r="C165" s="1"/>
  <c r="AA163"/>
  <c r="B163" s="1"/>
  <c r="AB160"/>
  <c r="AC156"/>
  <c r="C156" s="1"/>
  <c r="AB153"/>
  <c r="AC149"/>
  <c r="C149" s="1"/>
  <c r="AA147"/>
  <c r="B147" s="1"/>
  <c r="AB144"/>
  <c r="AC142"/>
  <c r="C142" s="1"/>
  <c r="AA140"/>
  <c r="B140" s="1"/>
  <c r="C131"/>
  <c r="AA127"/>
  <c r="B127" s="1"/>
  <c r="C122"/>
  <c r="B120"/>
  <c r="AB117"/>
  <c r="AI116"/>
  <c r="AI115"/>
  <c r="AA115"/>
  <c r="B115" s="1"/>
  <c r="AB112"/>
  <c r="AB110"/>
  <c r="AE110"/>
  <c r="AB108"/>
  <c r="AB106"/>
  <c r="AA102"/>
  <c r="B102" s="1"/>
  <c r="AA100"/>
  <c r="B100" s="1"/>
  <c r="AC97"/>
  <c r="C97" s="1"/>
  <c r="AH96"/>
  <c r="AA95"/>
  <c r="B95" s="1"/>
  <c r="AA93"/>
  <c r="B93" s="1"/>
  <c r="AC88"/>
  <c r="C88" s="1"/>
  <c r="AA86"/>
  <c r="B86" s="1"/>
  <c r="AB83"/>
  <c r="AB81"/>
  <c r="AB79"/>
  <c r="AB77"/>
  <c r="AB75"/>
  <c r="AB73"/>
  <c r="AB71"/>
  <c r="AB69"/>
  <c r="AB67"/>
  <c r="AB65"/>
  <c r="AB63"/>
  <c r="AB61"/>
  <c r="AC57"/>
  <c r="C57" s="1"/>
  <c r="AA55"/>
  <c r="B55" s="1"/>
  <c r="AB52"/>
  <c r="AA48"/>
  <c r="B48" s="1"/>
  <c r="AA45"/>
  <c r="B45" s="1"/>
  <c r="AB40"/>
  <c r="AC38"/>
  <c r="C38" s="1"/>
  <c r="AA36"/>
  <c r="B36" s="1"/>
  <c r="AA34"/>
  <c r="B34" s="1"/>
  <c r="AC31"/>
  <c r="C31" s="1"/>
  <c r="AA29"/>
  <c r="B29" s="1"/>
  <c r="AB26"/>
  <c r="AB24"/>
  <c r="AC22"/>
  <c r="C22" s="1"/>
  <c r="AA20"/>
  <c r="B20" s="1"/>
  <c r="AC15"/>
  <c r="C15" s="1"/>
  <c r="AB10"/>
  <c r="AE180"/>
  <c r="AG178"/>
  <c r="AI172"/>
  <c r="AK170"/>
  <c r="AD168"/>
  <c r="AF166"/>
  <c r="AH164"/>
  <c r="AJ162"/>
  <c r="AK160"/>
  <c r="AK158"/>
  <c r="AF155"/>
  <c r="AL152"/>
  <c r="AG149"/>
  <c r="AK145"/>
  <c r="AF142"/>
  <c r="AH159"/>
  <c r="AL105"/>
  <c r="AG102"/>
  <c r="AI97"/>
  <c r="AL91"/>
  <c r="AD85"/>
  <c r="AL77"/>
  <c r="AK66"/>
  <c r="AK59"/>
  <c r="AH47"/>
  <c r="AF26"/>
  <c r="AL11"/>
  <c r="AG130"/>
  <c r="AJ130"/>
  <c r="AE126"/>
  <c r="AI126"/>
  <c r="AN44"/>
  <c r="AO45"/>
  <c r="AO35"/>
  <c r="AP36"/>
  <c r="AN38"/>
  <c r="AN39"/>
  <c r="AO40"/>
  <c r="AO41"/>
  <c r="AP42"/>
  <c r="AN143"/>
  <c r="AO144"/>
  <c r="AP145"/>
  <c r="AN125"/>
  <c r="AO126"/>
  <c r="AP127"/>
  <c r="AP128"/>
  <c r="AP129"/>
  <c r="AM126"/>
  <c r="AN169"/>
  <c r="AO174"/>
  <c r="AN178"/>
  <c r="AO173"/>
  <c r="AP172"/>
  <c r="AN170"/>
  <c r="AO164"/>
  <c r="AP163"/>
  <c r="AN161"/>
  <c r="AO160"/>
  <c r="AP159"/>
  <c r="AN157"/>
  <c r="AO156"/>
  <c r="AP155"/>
  <c r="AN153"/>
  <c r="AO152"/>
  <c r="AP151"/>
  <c r="AN149"/>
  <c r="AO148"/>
  <c r="AP147"/>
  <c r="AN142"/>
  <c r="AO140"/>
  <c r="AP137"/>
  <c r="AN133"/>
  <c r="AO123"/>
  <c r="AP122"/>
  <c r="AN120"/>
  <c r="AO119"/>
  <c r="AP118"/>
  <c r="AN116"/>
  <c r="AO115"/>
  <c r="AP114"/>
  <c r="AN112"/>
  <c r="AO111"/>
  <c r="AP110"/>
  <c r="AN108"/>
  <c r="AO107"/>
  <c r="AP106"/>
  <c r="AN104"/>
  <c r="AO103"/>
  <c r="AP102"/>
  <c r="AN100"/>
  <c r="AO99"/>
  <c r="AP98"/>
  <c r="AN96"/>
  <c r="AO95"/>
  <c r="AP94"/>
  <c r="AN92"/>
  <c r="AO91"/>
  <c r="AP90"/>
  <c r="AN83"/>
  <c r="AO82"/>
  <c r="AP81"/>
  <c r="AN79"/>
  <c r="AO78"/>
  <c r="AP77"/>
  <c r="AN75"/>
  <c r="AO74"/>
  <c r="AP73"/>
  <c r="AN71"/>
  <c r="AO70"/>
  <c r="AP69"/>
  <c r="AN67"/>
  <c r="AF126"/>
  <c r="AJ126"/>
  <c r="AN34"/>
  <c r="AO44"/>
  <c r="AP45"/>
  <c r="AP35"/>
  <c r="AN37"/>
  <c r="AO38"/>
  <c r="AO39"/>
  <c r="AP40"/>
  <c r="AP41"/>
  <c r="AN141"/>
  <c r="AO143"/>
  <c r="AP144"/>
  <c r="AN124"/>
  <c r="AO125"/>
  <c r="AP126"/>
  <c r="AN131"/>
  <c r="AN132"/>
  <c r="AO169"/>
  <c r="AP174"/>
  <c r="AO178"/>
  <c r="AP173"/>
  <c r="AN171"/>
  <c r="AO170"/>
  <c r="AP164"/>
  <c r="AN162"/>
  <c r="AO161"/>
  <c r="AP160"/>
  <c r="AN158"/>
  <c r="AO157"/>
  <c r="AP156"/>
  <c r="AN154"/>
  <c r="AO153"/>
  <c r="AP152"/>
  <c r="AN150"/>
  <c r="AO149"/>
  <c r="AP148"/>
  <c r="AN146"/>
  <c r="AO142"/>
  <c r="AP140"/>
  <c r="AN134"/>
  <c r="AO133"/>
  <c r="AP123"/>
  <c r="AN121"/>
  <c r="AO120"/>
  <c r="AP119"/>
  <c r="AN117"/>
  <c r="AO116"/>
  <c r="AP115"/>
  <c r="AN113"/>
  <c r="AO112"/>
  <c r="AP111"/>
  <c r="AN109"/>
  <c r="AO108"/>
  <c r="AP107"/>
  <c r="AN105"/>
  <c r="AO104"/>
  <c r="AP103"/>
  <c r="AN101"/>
  <c r="AO100"/>
  <c r="AP99"/>
  <c r="AN97"/>
  <c r="AO96"/>
  <c r="AP95"/>
  <c r="AN93"/>
  <c r="AO92"/>
  <c r="AP91"/>
  <c r="AN85"/>
  <c r="AO83"/>
  <c r="AP82"/>
  <c r="AN80"/>
  <c r="AO79"/>
  <c r="AP78"/>
  <c r="AN76"/>
  <c r="AO75"/>
  <c r="AP74"/>
  <c r="AN72"/>
  <c r="AO71"/>
  <c r="AP70"/>
  <c r="AN68"/>
  <c r="AO67"/>
  <c r="AH126"/>
  <c r="AP34"/>
  <c r="AN35"/>
  <c r="AP37"/>
  <c r="AN40"/>
  <c r="AO42"/>
  <c r="AN144"/>
  <c r="AP124"/>
  <c r="AO127"/>
  <c r="AN130"/>
  <c r="AP131"/>
  <c r="AN174"/>
  <c r="AN173"/>
  <c r="AP171"/>
  <c r="AO163"/>
  <c r="AN160"/>
  <c r="AP158"/>
  <c r="AO155"/>
  <c r="AN152"/>
  <c r="AP150"/>
  <c r="AO147"/>
  <c r="AN140"/>
  <c r="AP134"/>
  <c r="AO122"/>
  <c r="AN119"/>
  <c r="AP117"/>
  <c r="AO114"/>
  <c r="AN111"/>
  <c r="AP109"/>
  <c r="AO106"/>
  <c r="AN103"/>
  <c r="AP101"/>
  <c r="AO98"/>
  <c r="AN95"/>
  <c r="AP93"/>
  <c r="AO90"/>
  <c r="AN82"/>
  <c r="AP80"/>
  <c r="AO77"/>
  <c r="AN74"/>
  <c r="AP72"/>
  <c r="AO69"/>
  <c r="AN66"/>
  <c r="AO65"/>
  <c r="AP64"/>
  <c r="AN62"/>
  <c r="AO61"/>
  <c r="AP60"/>
  <c r="AN58"/>
  <c r="AO57"/>
  <c r="AP56"/>
  <c r="AN54"/>
  <c r="AO53"/>
  <c r="AP52"/>
  <c r="AN50"/>
  <c r="AO49"/>
  <c r="AP48"/>
  <c r="AN33"/>
  <c r="AO32"/>
  <c r="AP31"/>
  <c r="AN29"/>
  <c r="AO28"/>
  <c r="AP27"/>
  <c r="AN25"/>
  <c r="AO24"/>
  <c r="AP23"/>
  <c r="AN21"/>
  <c r="AO20"/>
  <c r="AP19"/>
  <c r="AN17"/>
  <c r="AO16"/>
  <c r="AP15"/>
  <c r="AN13"/>
  <c r="AO12"/>
  <c r="AP11"/>
  <c r="AM9"/>
  <c r="AM13"/>
  <c r="AM17"/>
  <c r="AM21"/>
  <c r="AM25"/>
  <c r="AM29"/>
  <c r="AM33"/>
  <c r="AM37"/>
  <c r="AM41"/>
  <c r="AM45"/>
  <c r="AM49"/>
  <c r="AM53"/>
  <c r="AM57"/>
  <c r="AM61"/>
  <c r="AM65"/>
  <c r="AM69"/>
  <c r="AM73"/>
  <c r="AM77"/>
  <c r="AM81"/>
  <c r="AM85"/>
  <c r="AM89"/>
  <c r="AM93"/>
  <c r="AM97"/>
  <c r="AM101"/>
  <c r="AM105"/>
  <c r="AM109"/>
  <c r="AM113"/>
  <c r="AM117"/>
  <c r="AM125"/>
  <c r="AM130"/>
  <c r="AM134"/>
  <c r="AM142"/>
  <c r="AM146"/>
  <c r="AM150"/>
  <c r="AM154"/>
  <c r="AM158"/>
  <c r="AM162"/>
  <c r="AM166"/>
  <c r="AM170"/>
  <c r="AM174"/>
  <c r="AM178"/>
  <c r="AK177"/>
  <c r="AG177"/>
  <c r="AC177"/>
  <c r="C177" s="1"/>
  <c r="AE169"/>
  <c r="AI169"/>
  <c r="AD174"/>
  <c r="AH174"/>
  <c r="AL174"/>
  <c r="AG175"/>
  <c r="AK175"/>
  <c r="AF176"/>
  <c r="AJ176"/>
  <c r="AG62"/>
  <c r="AK62"/>
  <c r="AF71"/>
  <c r="AJ71"/>
  <c r="AE72"/>
  <c r="AI72"/>
  <c r="AD73"/>
  <c r="AH73"/>
  <c r="AL73"/>
  <c r="AG74"/>
  <c r="AK74"/>
  <c r="AG34"/>
  <c r="AK34"/>
  <c r="AF39"/>
  <c r="AJ39"/>
  <c r="AE40"/>
  <c r="AI40"/>
  <c r="AD41"/>
  <c r="AH41"/>
  <c r="AL41"/>
  <c r="AG42"/>
  <c r="AK42"/>
  <c r="AC42"/>
  <c r="C42" s="1"/>
  <c r="AK126"/>
  <c r="AN36"/>
  <c r="AP38"/>
  <c r="AO141"/>
  <c r="AN145"/>
  <c r="AP125"/>
  <c r="AN129"/>
  <c r="AO130"/>
  <c r="AN172"/>
  <c r="AP170"/>
  <c r="AO162"/>
  <c r="AN159"/>
  <c r="AP157"/>
  <c r="AO154"/>
  <c r="AN151"/>
  <c r="AP149"/>
  <c r="AO146"/>
  <c r="AN137"/>
  <c r="AP133"/>
  <c r="AO121"/>
  <c r="AN118"/>
  <c r="AP116"/>
  <c r="AO113"/>
  <c r="AN110"/>
  <c r="AP108"/>
  <c r="AO105"/>
  <c r="AN102"/>
  <c r="AP100"/>
  <c r="AO97"/>
  <c r="AN94"/>
  <c r="AP92"/>
  <c r="AO85"/>
  <c r="AN81"/>
  <c r="AP79"/>
  <c r="AO76"/>
  <c r="AN73"/>
  <c r="AP71"/>
  <c r="AO68"/>
  <c r="AO66"/>
  <c r="AP65"/>
  <c r="AN63"/>
  <c r="AO62"/>
  <c r="AP61"/>
  <c r="AN59"/>
  <c r="AO58"/>
  <c r="AP57"/>
  <c r="AN55"/>
  <c r="AO54"/>
  <c r="AP53"/>
  <c r="AN51"/>
  <c r="AO50"/>
  <c r="AP49"/>
  <c r="AN47"/>
  <c r="AO33"/>
  <c r="AP32"/>
  <c r="AN30"/>
  <c r="AO29"/>
  <c r="AP28"/>
  <c r="AN26"/>
  <c r="AO25"/>
  <c r="AP24"/>
  <c r="AN22"/>
  <c r="AO21"/>
  <c r="AP20"/>
  <c r="AN18"/>
  <c r="AO17"/>
  <c r="AP16"/>
  <c r="AN14"/>
  <c r="AO13"/>
  <c r="AP12"/>
  <c r="AN10"/>
  <c r="AM10"/>
  <c r="AM14"/>
  <c r="AM18"/>
  <c r="AM22"/>
  <c r="AM26"/>
  <c r="AM30"/>
  <c r="AM34"/>
  <c r="AM38"/>
  <c r="AM42"/>
  <c r="AM46"/>
  <c r="AM50"/>
  <c r="AM54"/>
  <c r="AM58"/>
  <c r="AM62"/>
  <c r="AL126"/>
  <c r="AP39"/>
  <c r="AP141"/>
  <c r="AN126"/>
  <c r="AO128"/>
  <c r="AP132"/>
  <c r="AP169"/>
  <c r="AO172"/>
  <c r="AP162"/>
  <c r="AN156"/>
  <c r="AO151"/>
  <c r="AP146"/>
  <c r="AN123"/>
  <c r="AO118"/>
  <c r="AP113"/>
  <c r="AN107"/>
  <c r="AO102"/>
  <c r="AP97"/>
  <c r="AN91"/>
  <c r="AO81"/>
  <c r="AP76"/>
  <c r="AN70"/>
  <c r="AP66"/>
  <c r="AO63"/>
  <c r="AN60"/>
  <c r="AP58"/>
  <c r="AO55"/>
  <c r="AN52"/>
  <c r="AP50"/>
  <c r="AO47"/>
  <c r="AN31"/>
  <c r="AP29"/>
  <c r="AO26"/>
  <c r="AN23"/>
  <c r="AP21"/>
  <c r="AO18"/>
  <c r="AN15"/>
  <c r="AP13"/>
  <c r="AO10"/>
  <c r="AM15"/>
  <c r="AM23"/>
  <c r="AM31"/>
  <c r="AM39"/>
  <c r="AM47"/>
  <c r="AM55"/>
  <c r="AM63"/>
  <c r="AM68"/>
  <c r="AM74"/>
  <c r="AM79"/>
  <c r="AM84"/>
  <c r="AM90"/>
  <c r="AM95"/>
  <c r="AM100"/>
  <c r="AM106"/>
  <c r="AM111"/>
  <c r="AM116"/>
  <c r="AM128"/>
  <c r="AM133"/>
  <c r="AM143"/>
  <c r="AM148"/>
  <c r="AM153"/>
  <c r="AM159"/>
  <c r="AM164"/>
  <c r="AM169"/>
  <c r="AM175"/>
  <c r="AM180"/>
  <c r="AH177"/>
  <c r="AB177"/>
  <c r="AG169"/>
  <c r="AL169"/>
  <c r="AI174"/>
  <c r="AE175"/>
  <c r="AJ175"/>
  <c r="AG176"/>
  <c r="AL176"/>
  <c r="AE62"/>
  <c r="AJ62"/>
  <c r="AG71"/>
  <c r="AL71"/>
  <c r="AH72"/>
  <c r="AE73"/>
  <c r="AJ73"/>
  <c r="AF74"/>
  <c r="AL74"/>
  <c r="AD126"/>
  <c r="AO37"/>
  <c r="AN41"/>
  <c r="AO145"/>
  <c r="AO129"/>
  <c r="AN164"/>
  <c r="AO159"/>
  <c r="AP154"/>
  <c r="AN148"/>
  <c r="AO137"/>
  <c r="AP121"/>
  <c r="AN115"/>
  <c r="AO110"/>
  <c r="AP105"/>
  <c r="AN99"/>
  <c r="AO94"/>
  <c r="AP85"/>
  <c r="AN78"/>
  <c r="AO73"/>
  <c r="AP68"/>
  <c r="AN64"/>
  <c r="AP62"/>
  <c r="AO59"/>
  <c r="AN56"/>
  <c r="AP54"/>
  <c r="AO51"/>
  <c r="AN48"/>
  <c r="AP33"/>
  <c r="AO30"/>
  <c r="AN27"/>
  <c r="AP25"/>
  <c r="AO22"/>
  <c r="AN19"/>
  <c r="AP17"/>
  <c r="AO14"/>
  <c r="AN11"/>
  <c r="AM11"/>
  <c r="AM19"/>
  <c r="AM27"/>
  <c r="AM35"/>
  <c r="AM43"/>
  <c r="AM51"/>
  <c r="AM59"/>
  <c r="AM66"/>
  <c r="AM71"/>
  <c r="AM76"/>
  <c r="AM82"/>
  <c r="AM87"/>
  <c r="AM92"/>
  <c r="AM98"/>
  <c r="AM103"/>
  <c r="AM108"/>
  <c r="AM114"/>
  <c r="AM119"/>
  <c r="AM124"/>
  <c r="AM131"/>
  <c r="AM140"/>
  <c r="AM145"/>
  <c r="AM151"/>
  <c r="AM156"/>
  <c r="AM161"/>
  <c r="AM167"/>
  <c r="AM172"/>
  <c r="AM177"/>
  <c r="AJ177"/>
  <c r="AE177"/>
  <c r="AD169"/>
  <c r="AJ169"/>
  <c r="AF174"/>
  <c r="AK174"/>
  <c r="AH175"/>
  <c r="AD176"/>
  <c r="AI176"/>
  <c r="AH62"/>
  <c r="AD71"/>
  <c r="AI71"/>
  <c r="AF72"/>
  <c r="AK72"/>
  <c r="AG73"/>
  <c r="AD74"/>
  <c r="AI74"/>
  <c r="AF34"/>
  <c r="AL34"/>
  <c r="AH39"/>
  <c r="AD40"/>
  <c r="AO124"/>
  <c r="AE14"/>
  <c r="AO171"/>
  <c r="AN155"/>
  <c r="AP142"/>
  <c r="AO117"/>
  <c r="AN106"/>
  <c r="AP96"/>
  <c r="AO80"/>
  <c r="AN69"/>
  <c r="AP63"/>
  <c r="AN57"/>
  <c r="AO52"/>
  <c r="AP47"/>
  <c r="AN28"/>
  <c r="AO23"/>
  <c r="AP18"/>
  <c r="AN12"/>
  <c r="AM16"/>
  <c r="AM32"/>
  <c r="AM48"/>
  <c r="AM64"/>
  <c r="AM75"/>
  <c r="AM86"/>
  <c r="AM96"/>
  <c r="AM107"/>
  <c r="AM118"/>
  <c r="AM129"/>
  <c r="AM144"/>
  <c r="AM155"/>
  <c r="AM165"/>
  <c r="AM176"/>
  <c r="AF177"/>
  <c r="AH169"/>
  <c r="AJ174"/>
  <c r="AL175"/>
  <c r="AL62"/>
  <c r="AD72"/>
  <c r="AF73"/>
  <c r="AH74"/>
  <c r="AI34"/>
  <c r="AG39"/>
  <c r="AF40"/>
  <c r="AK40"/>
  <c r="AG41"/>
  <c r="AD42"/>
  <c r="AI42"/>
  <c r="AD118"/>
  <c r="AH118"/>
  <c r="AL118"/>
  <c r="AG119"/>
  <c r="AK119"/>
  <c r="AG123"/>
  <c r="AK123"/>
  <c r="AF133"/>
  <c r="AJ133"/>
  <c r="AE134"/>
  <c r="AI134"/>
  <c r="AE9"/>
  <c r="AI9"/>
  <c r="AD61"/>
  <c r="AH61"/>
  <c r="AL61"/>
  <c r="AG109"/>
  <c r="AK109"/>
  <c r="AP9"/>
  <c r="AG10"/>
  <c r="AK10"/>
  <c r="AF11"/>
  <c r="AJ11"/>
  <c r="AE12"/>
  <c r="AI12"/>
  <c r="AD13"/>
  <c r="AH13"/>
  <c r="AL13"/>
  <c r="AH14"/>
  <c r="AL14"/>
  <c r="AG15"/>
  <c r="AK15"/>
  <c r="AF16"/>
  <c r="AJ16"/>
  <c r="AE17"/>
  <c r="AI17"/>
  <c r="AD18"/>
  <c r="AH18"/>
  <c r="AL18"/>
  <c r="AG19"/>
  <c r="AK19"/>
  <c r="AF20"/>
  <c r="AJ20"/>
  <c r="AE21"/>
  <c r="AI21"/>
  <c r="AD22"/>
  <c r="AH22"/>
  <c r="AL22"/>
  <c r="AG23"/>
  <c r="AK23"/>
  <c r="AF24"/>
  <c r="AJ24"/>
  <c r="AE25"/>
  <c r="AI25"/>
  <c r="AD26"/>
  <c r="AH26"/>
  <c r="AL26"/>
  <c r="AG27"/>
  <c r="AK27"/>
  <c r="AF28"/>
  <c r="AJ28"/>
  <c r="AE29"/>
  <c r="AI29"/>
  <c r="AD30"/>
  <c r="AH30"/>
  <c r="AL30"/>
  <c r="AG31"/>
  <c r="AK31"/>
  <c r="AF32"/>
  <c r="AJ32"/>
  <c r="AE33"/>
  <c r="AI33"/>
  <c r="AD35"/>
  <c r="AH35"/>
  <c r="AL35"/>
  <c r="AG36"/>
  <c r="AK36"/>
  <c r="AF37"/>
  <c r="AJ37"/>
  <c r="AE38"/>
  <c r="AI38"/>
  <c r="AD44"/>
  <c r="AH44"/>
  <c r="AL44"/>
  <c r="AG45"/>
  <c r="AK45"/>
  <c r="AF47"/>
  <c r="AJ47"/>
  <c r="AE48"/>
  <c r="AI48"/>
  <c r="AD49"/>
  <c r="AH49"/>
  <c r="AL49"/>
  <c r="AG50"/>
  <c r="AK50"/>
  <c r="AF51"/>
  <c r="AJ51"/>
  <c r="AE52"/>
  <c r="AI52"/>
  <c r="AD53"/>
  <c r="AH53"/>
  <c r="AL53"/>
  <c r="AG54"/>
  <c r="AK54"/>
  <c r="AF55"/>
  <c r="AJ55"/>
  <c r="AE56"/>
  <c r="AI56"/>
  <c r="AD57"/>
  <c r="AH57"/>
  <c r="AL57"/>
  <c r="AN45"/>
  <c r="AN127"/>
  <c r="AO132"/>
  <c r="AN163"/>
  <c r="AP153"/>
  <c r="AO134"/>
  <c r="AN114"/>
  <c r="AP104"/>
  <c r="AO93"/>
  <c r="AN77"/>
  <c r="AP67"/>
  <c r="AN61"/>
  <c r="AO56"/>
  <c r="AP51"/>
  <c r="AN32"/>
  <c r="AO27"/>
  <c r="AP22"/>
  <c r="AN16"/>
  <c r="AO11"/>
  <c r="AM20"/>
  <c r="AM36"/>
  <c r="AM52"/>
  <c r="AM67"/>
  <c r="AM78"/>
  <c r="AM88"/>
  <c r="AM99"/>
  <c r="AM110"/>
  <c r="AM132"/>
  <c r="AM147"/>
  <c r="AM157"/>
  <c r="AM168"/>
  <c r="AM179"/>
  <c r="AD177"/>
  <c r="AK169"/>
  <c r="AD175"/>
  <c r="AE176"/>
  <c r="AD62"/>
  <c r="AE71"/>
  <c r="AG72"/>
  <c r="AI73"/>
  <c r="AJ74"/>
  <c r="AD34"/>
  <c r="AJ34"/>
  <c r="AI39"/>
  <c r="AG40"/>
  <c r="AL40"/>
  <c r="AI41"/>
  <c r="AE42"/>
  <c r="AJ42"/>
  <c r="AB42"/>
  <c r="AE118"/>
  <c r="AI118"/>
  <c r="AD119"/>
  <c r="AH119"/>
  <c r="AL119"/>
  <c r="AD123"/>
  <c r="AH123"/>
  <c r="AL123"/>
  <c r="AG133"/>
  <c r="AK133"/>
  <c r="AF134"/>
  <c r="AJ134"/>
  <c r="AF9"/>
  <c r="AJ9"/>
  <c r="AE61"/>
  <c r="AI61"/>
  <c r="AD109"/>
  <c r="AH109"/>
  <c r="AL109"/>
  <c r="AD10"/>
  <c r="AH10"/>
  <c r="AL10"/>
  <c r="AG11"/>
  <c r="AK11"/>
  <c r="AF12"/>
  <c r="AJ12"/>
  <c r="AE13"/>
  <c r="AI13"/>
  <c r="AD14"/>
  <c r="AI14"/>
  <c r="AD15"/>
  <c r="AH15"/>
  <c r="AL15"/>
  <c r="AG16"/>
  <c r="AK16"/>
  <c r="AF17"/>
  <c r="AJ17"/>
  <c r="AE18"/>
  <c r="AI18"/>
  <c r="AD19"/>
  <c r="AH19"/>
  <c r="AL19"/>
  <c r="AG20"/>
  <c r="AK20"/>
  <c r="AF21"/>
  <c r="AJ21"/>
  <c r="AE22"/>
  <c r="AI22"/>
  <c r="AD23"/>
  <c r="AH23"/>
  <c r="AL23"/>
  <c r="AG24"/>
  <c r="AK24"/>
  <c r="AF25"/>
  <c r="AJ25"/>
  <c r="AE26"/>
  <c r="AI26"/>
  <c r="AD27"/>
  <c r="AH27"/>
  <c r="AL27"/>
  <c r="AG28"/>
  <c r="AK28"/>
  <c r="AF29"/>
  <c r="AJ29"/>
  <c r="AE30"/>
  <c r="AI30"/>
  <c r="AD31"/>
  <c r="AH31"/>
  <c r="AL31"/>
  <c r="AG32"/>
  <c r="AK32"/>
  <c r="AF33"/>
  <c r="AJ33"/>
  <c r="AE35"/>
  <c r="AI35"/>
  <c r="AD36"/>
  <c r="AH36"/>
  <c r="AL36"/>
  <c r="AG37"/>
  <c r="AK37"/>
  <c r="AF38"/>
  <c r="AJ38"/>
  <c r="AE44"/>
  <c r="AI44"/>
  <c r="AD45"/>
  <c r="AH45"/>
  <c r="AL45"/>
  <c r="AG47"/>
  <c r="AK47"/>
  <c r="AF48"/>
  <c r="AJ48"/>
  <c r="AE49"/>
  <c r="AI49"/>
  <c r="AD50"/>
  <c r="AH50"/>
  <c r="AL50"/>
  <c r="AG51"/>
  <c r="AK51"/>
  <c r="AF52"/>
  <c r="AJ52"/>
  <c r="AE53"/>
  <c r="AI53"/>
  <c r="AD54"/>
  <c r="AH54"/>
  <c r="AL54"/>
  <c r="AG55"/>
  <c r="AK55"/>
  <c r="AF56"/>
  <c r="AJ56"/>
  <c r="AE57"/>
  <c r="AI57"/>
  <c r="AN128"/>
  <c r="AO131"/>
  <c r="AO158"/>
  <c r="AP120"/>
  <c r="AN98"/>
  <c r="AO72"/>
  <c r="AP59"/>
  <c r="AO48"/>
  <c r="AN24"/>
  <c r="AP14"/>
  <c r="AM28"/>
  <c r="AM60"/>
  <c r="AM83"/>
  <c r="AM104"/>
  <c r="AM127"/>
  <c r="AM152"/>
  <c r="AM173"/>
  <c r="AF169"/>
  <c r="AI175"/>
  <c r="AF62"/>
  <c r="AJ72"/>
  <c r="AH34"/>
  <c r="AL39"/>
  <c r="AF41"/>
  <c r="AH42"/>
  <c r="AJ118"/>
  <c r="AI119"/>
  <c r="AE123"/>
  <c r="AD133"/>
  <c r="AL133"/>
  <c r="AK134"/>
  <c r="AD9"/>
  <c r="AL9"/>
  <c r="AK61"/>
  <c r="AJ109"/>
  <c r="AF10"/>
  <c r="AE11"/>
  <c r="AD12"/>
  <c r="AL12"/>
  <c r="AK13"/>
  <c r="AK14"/>
  <c r="AJ15"/>
  <c r="AI16"/>
  <c r="AH17"/>
  <c r="AG18"/>
  <c r="AF19"/>
  <c r="AE20"/>
  <c r="AD21"/>
  <c r="AL21"/>
  <c r="AK22"/>
  <c r="AJ23"/>
  <c r="AI24"/>
  <c r="AH25"/>
  <c r="AG26"/>
  <c r="AF27"/>
  <c r="AE28"/>
  <c r="AD29"/>
  <c r="AL29"/>
  <c r="AK30"/>
  <c r="AJ31"/>
  <c r="AI32"/>
  <c r="AH33"/>
  <c r="AG35"/>
  <c r="AF36"/>
  <c r="AE37"/>
  <c r="AD38"/>
  <c r="AL38"/>
  <c r="AK44"/>
  <c r="AJ45"/>
  <c r="AI47"/>
  <c r="AH48"/>
  <c r="AG49"/>
  <c r="AF50"/>
  <c r="AE51"/>
  <c r="AD52"/>
  <c r="AL52"/>
  <c r="AK53"/>
  <c r="AJ54"/>
  <c r="AI55"/>
  <c r="AH56"/>
  <c r="AG57"/>
  <c r="AE58"/>
  <c r="AI58"/>
  <c r="AD59"/>
  <c r="AH59"/>
  <c r="AL59"/>
  <c r="AG60"/>
  <c r="AK60"/>
  <c r="AE63"/>
  <c r="AI63"/>
  <c r="AD64"/>
  <c r="AH64"/>
  <c r="AL64"/>
  <c r="AG65"/>
  <c r="AK65"/>
  <c r="AF66"/>
  <c r="AJ66"/>
  <c r="AE67"/>
  <c r="AI67"/>
  <c r="AD68"/>
  <c r="AH68"/>
  <c r="AL68"/>
  <c r="AG69"/>
  <c r="AK69"/>
  <c r="AF70"/>
  <c r="AJ70"/>
  <c r="AE75"/>
  <c r="AI75"/>
  <c r="AD76"/>
  <c r="AH76"/>
  <c r="AL76"/>
  <c r="AG77"/>
  <c r="AK77"/>
  <c r="AF78"/>
  <c r="AJ78"/>
  <c r="AE79"/>
  <c r="AI79"/>
  <c r="AD80"/>
  <c r="AH80"/>
  <c r="AL80"/>
  <c r="AG81"/>
  <c r="AK81"/>
  <c r="AF82"/>
  <c r="AJ82"/>
  <c r="AE83"/>
  <c r="AI83"/>
  <c r="AD84"/>
  <c r="AH84"/>
  <c r="AL84"/>
  <c r="AG85"/>
  <c r="AK85"/>
  <c r="AF86"/>
  <c r="AJ86"/>
  <c r="AE87"/>
  <c r="AI87"/>
  <c r="AD88"/>
  <c r="AH88"/>
  <c r="AL88"/>
  <c r="AG89"/>
  <c r="AK89"/>
  <c r="AF90"/>
  <c r="AJ90"/>
  <c r="AE91"/>
  <c r="AG126"/>
  <c r="AO36"/>
  <c r="AP143"/>
  <c r="AP178"/>
  <c r="AN147"/>
  <c r="AO109"/>
  <c r="AP83"/>
  <c r="AO64"/>
  <c r="AN53"/>
  <c r="AP30"/>
  <c r="AO19"/>
  <c r="AM12"/>
  <c r="AM44"/>
  <c r="AM72"/>
  <c r="AM94"/>
  <c r="AM115"/>
  <c r="AM141"/>
  <c r="AM163"/>
  <c r="AI177"/>
  <c r="AG174"/>
  <c r="AK176"/>
  <c r="AH71"/>
  <c r="AK73"/>
  <c r="AE39"/>
  <c r="AJ40"/>
  <c r="AK41"/>
  <c r="AF118"/>
  <c r="AE119"/>
  <c r="AI123"/>
  <c r="AH133"/>
  <c r="AG134"/>
  <c r="AH9"/>
  <c r="AG61"/>
  <c r="AF109"/>
  <c r="AO9"/>
  <c r="AJ10"/>
  <c r="AI11"/>
  <c r="AH12"/>
  <c r="AG13"/>
  <c r="AG14"/>
  <c r="AF15"/>
  <c r="AE16"/>
  <c r="AD17"/>
  <c r="AL17"/>
  <c r="AK18"/>
  <c r="AJ19"/>
  <c r="AI20"/>
  <c r="AH21"/>
  <c r="AG22"/>
  <c r="AF23"/>
  <c r="AE24"/>
  <c r="AD25"/>
  <c r="AL25"/>
  <c r="AK26"/>
  <c r="AJ27"/>
  <c r="AI28"/>
  <c r="AH29"/>
  <c r="AG30"/>
  <c r="AF31"/>
  <c r="AE32"/>
  <c r="AD33"/>
  <c r="AL33"/>
  <c r="AK35"/>
  <c r="AJ36"/>
  <c r="AI37"/>
  <c r="AH38"/>
  <c r="AG44"/>
  <c r="AF45"/>
  <c r="AE47"/>
  <c r="AD48"/>
  <c r="AL48"/>
  <c r="AK49"/>
  <c r="AJ50"/>
  <c r="AI51"/>
  <c r="AH52"/>
  <c r="AG53"/>
  <c r="AF54"/>
  <c r="AE55"/>
  <c r="AD56"/>
  <c r="AL56"/>
  <c r="AK57"/>
  <c r="AG58"/>
  <c r="AK58"/>
  <c r="AF59"/>
  <c r="AJ59"/>
  <c r="AE60"/>
  <c r="AI60"/>
  <c r="AG63"/>
  <c r="AK63"/>
  <c r="AF64"/>
  <c r="AJ64"/>
  <c r="AE65"/>
  <c r="AI65"/>
  <c r="AD66"/>
  <c r="AH66"/>
  <c r="AL66"/>
  <c r="AG67"/>
  <c r="AK67"/>
  <c r="AF68"/>
  <c r="AJ68"/>
  <c r="AE69"/>
  <c r="AI69"/>
  <c r="AD70"/>
  <c r="AH70"/>
  <c r="AL70"/>
  <c r="AG75"/>
  <c r="AK75"/>
  <c r="AF76"/>
  <c r="AJ76"/>
  <c r="AE77"/>
  <c r="AI77"/>
  <c r="AD78"/>
  <c r="AH78"/>
  <c r="AL78"/>
  <c r="AG79"/>
  <c r="AK79"/>
  <c r="AF80"/>
  <c r="AJ80"/>
  <c r="AE81"/>
  <c r="AI81"/>
  <c r="AD82"/>
  <c r="AH82"/>
  <c r="AL82"/>
  <c r="AG83"/>
  <c r="AK83"/>
  <c r="AF84"/>
  <c r="AJ84"/>
  <c r="AE85"/>
  <c r="AI85"/>
  <c r="AD86"/>
  <c r="AH86"/>
  <c r="AL86"/>
  <c r="AG87"/>
  <c r="AK87"/>
  <c r="AF88"/>
  <c r="AJ88"/>
  <c r="AE89"/>
  <c r="AI89"/>
  <c r="AD90"/>
  <c r="AH90"/>
  <c r="AL90"/>
  <c r="AG91"/>
  <c r="AK91"/>
  <c r="AF92"/>
  <c r="AJ92"/>
  <c r="AE93"/>
  <c r="AI93"/>
  <c r="AD94"/>
  <c r="AH94"/>
  <c r="AL94"/>
  <c r="AG95"/>
  <c r="AK95"/>
  <c r="AF97"/>
  <c r="AJ97"/>
  <c r="AE98"/>
  <c r="AI98"/>
  <c r="AD99"/>
  <c r="AH99"/>
  <c r="AL99"/>
  <c r="AG100"/>
  <c r="AK100"/>
  <c r="AF101"/>
  <c r="AJ101"/>
  <c r="AE102"/>
  <c r="AP112"/>
  <c r="AN65"/>
  <c r="AO31"/>
  <c r="AP10"/>
  <c r="AM70"/>
  <c r="AM112"/>
  <c r="AM160"/>
  <c r="AE174"/>
  <c r="AK71"/>
  <c r="AK39"/>
  <c r="AF42"/>
  <c r="AF119"/>
  <c r="AI133"/>
  <c r="AG9"/>
  <c r="AE109"/>
  <c r="AI10"/>
  <c r="AG12"/>
  <c r="AF14"/>
  <c r="AD16"/>
  <c r="AK17"/>
  <c r="AI19"/>
  <c r="AG21"/>
  <c r="AE23"/>
  <c r="AL24"/>
  <c r="AJ26"/>
  <c r="AH28"/>
  <c r="AF30"/>
  <c r="AD32"/>
  <c r="AK33"/>
  <c r="AI36"/>
  <c r="AG38"/>
  <c r="AE45"/>
  <c r="AL47"/>
  <c r="AJ49"/>
  <c r="AH51"/>
  <c r="AF53"/>
  <c r="AD55"/>
  <c r="AK56"/>
  <c r="AF58"/>
  <c r="AE59"/>
  <c r="AD60"/>
  <c r="AL60"/>
  <c r="AH63"/>
  <c r="AG64"/>
  <c r="AF65"/>
  <c r="AE66"/>
  <c r="AD67"/>
  <c r="AL67"/>
  <c r="AK68"/>
  <c r="AJ69"/>
  <c r="AI70"/>
  <c r="AH75"/>
  <c r="AG76"/>
  <c r="AF77"/>
  <c r="AE78"/>
  <c r="AD79"/>
  <c r="AL79"/>
  <c r="AK80"/>
  <c r="AJ81"/>
  <c r="AI82"/>
  <c r="AH83"/>
  <c r="AG84"/>
  <c r="AF85"/>
  <c r="AE86"/>
  <c r="AD87"/>
  <c r="AL87"/>
  <c r="AK88"/>
  <c r="AJ89"/>
  <c r="AI90"/>
  <c r="AH91"/>
  <c r="AD92"/>
  <c r="AI92"/>
  <c r="AF93"/>
  <c r="AK93"/>
  <c r="AG94"/>
  <c r="AD95"/>
  <c r="AI95"/>
  <c r="AE97"/>
  <c r="AK97"/>
  <c r="AG98"/>
  <c r="AL98"/>
  <c r="AI99"/>
  <c r="AE100"/>
  <c r="AJ100"/>
  <c r="AG101"/>
  <c r="AL101"/>
  <c r="AH102"/>
  <c r="AL102"/>
  <c r="AG103"/>
  <c r="AK103"/>
  <c r="AF104"/>
  <c r="AJ104"/>
  <c r="AE105"/>
  <c r="AI105"/>
  <c r="AD106"/>
  <c r="AH106"/>
  <c r="AL106"/>
  <c r="AG107"/>
  <c r="AK107"/>
  <c r="AF108"/>
  <c r="AJ108"/>
  <c r="AF111"/>
  <c r="AJ111"/>
  <c r="AD112"/>
  <c r="AH112"/>
  <c r="AL112"/>
  <c r="AG113"/>
  <c r="AK113"/>
  <c r="AF114"/>
  <c r="AJ114"/>
  <c r="AG117"/>
  <c r="AK117"/>
  <c r="AF140"/>
  <c r="AJ140"/>
  <c r="AE159"/>
  <c r="AI159"/>
  <c r="AD124"/>
  <c r="AH124"/>
  <c r="AL124"/>
  <c r="AG125"/>
  <c r="AK125"/>
  <c r="AF132"/>
  <c r="AJ132"/>
  <c r="AF141"/>
  <c r="AJ141"/>
  <c r="AE142"/>
  <c r="AI142"/>
  <c r="AD143"/>
  <c r="AH143"/>
  <c r="AL143"/>
  <c r="AG144"/>
  <c r="AK144"/>
  <c r="AF145"/>
  <c r="AJ145"/>
  <c r="AE146"/>
  <c r="AI146"/>
  <c r="AD147"/>
  <c r="AH147"/>
  <c r="AL147"/>
  <c r="AG148"/>
  <c r="AK148"/>
  <c r="AF149"/>
  <c r="AJ149"/>
  <c r="AE150"/>
  <c r="AI150"/>
  <c r="AD151"/>
  <c r="AH151"/>
  <c r="AL151"/>
  <c r="AG152"/>
  <c r="AK152"/>
  <c r="AE153"/>
  <c r="AI153"/>
  <c r="AD154"/>
  <c r="AH154"/>
  <c r="AL154"/>
  <c r="AG155"/>
  <c r="AK155"/>
  <c r="AF156"/>
  <c r="AJ156"/>
  <c r="AE157"/>
  <c r="AI157"/>
  <c r="AD158"/>
  <c r="AH158"/>
  <c r="AL158"/>
  <c r="AE160"/>
  <c r="AI160"/>
  <c r="AD161"/>
  <c r="AO34"/>
  <c r="AO150"/>
  <c r="AN90"/>
  <c r="AP55"/>
  <c r="AN20"/>
  <c r="AM40"/>
  <c r="AM91"/>
  <c r="AL177"/>
  <c r="AH176"/>
  <c r="AE74"/>
  <c r="AE34"/>
  <c r="AE41"/>
  <c r="AG118"/>
  <c r="AJ123"/>
  <c r="AH134"/>
  <c r="AF61"/>
  <c r="AN9"/>
  <c r="AH11"/>
  <c r="AF13"/>
  <c r="AE15"/>
  <c r="AL16"/>
  <c r="AJ18"/>
  <c r="AH20"/>
  <c r="AF22"/>
  <c r="AD24"/>
  <c r="AK25"/>
  <c r="AI27"/>
  <c r="AG29"/>
  <c r="AE31"/>
  <c r="AL32"/>
  <c r="AJ35"/>
  <c r="AH37"/>
  <c r="AF44"/>
  <c r="AD47"/>
  <c r="AK48"/>
  <c r="AI50"/>
  <c r="AG52"/>
  <c r="AE54"/>
  <c r="AL55"/>
  <c r="AJ57"/>
  <c r="AJ58"/>
  <c r="AI59"/>
  <c r="AH60"/>
  <c r="AD63"/>
  <c r="AL63"/>
  <c r="AK64"/>
  <c r="AJ65"/>
  <c r="AI66"/>
  <c r="AH67"/>
  <c r="AG68"/>
  <c r="AF69"/>
  <c r="AE70"/>
  <c r="AD75"/>
  <c r="AL75"/>
  <c r="AK76"/>
  <c r="AJ77"/>
  <c r="AI78"/>
  <c r="AH79"/>
  <c r="AG80"/>
  <c r="AF81"/>
  <c r="AE82"/>
  <c r="AD83"/>
  <c r="AL83"/>
  <c r="AK84"/>
  <c r="AJ85"/>
  <c r="AI86"/>
  <c r="AH87"/>
  <c r="AG88"/>
  <c r="AF89"/>
  <c r="AE90"/>
  <c r="AD91"/>
  <c r="AJ91"/>
  <c r="AG92"/>
  <c r="AL92"/>
  <c r="AH93"/>
  <c r="AE94"/>
  <c r="AJ94"/>
  <c r="AF95"/>
  <c r="AL95"/>
  <c r="AH97"/>
  <c r="AD98"/>
  <c r="AJ98"/>
  <c r="AF99"/>
  <c r="AK99"/>
  <c r="AH100"/>
  <c r="AD101"/>
  <c r="AI101"/>
  <c r="AF102"/>
  <c r="AJ102"/>
  <c r="AE103"/>
  <c r="AI103"/>
  <c r="AD104"/>
  <c r="AH104"/>
  <c r="AL104"/>
  <c r="AG105"/>
  <c r="AK105"/>
  <c r="AF106"/>
  <c r="AJ106"/>
  <c r="AE107"/>
  <c r="AI107"/>
  <c r="AD108"/>
  <c r="AH108"/>
  <c r="AL108"/>
  <c r="AD111"/>
  <c r="AH111"/>
  <c r="AL111"/>
  <c r="AF112"/>
  <c r="AJ112"/>
  <c r="AE113"/>
  <c r="AI113"/>
  <c r="AD114"/>
  <c r="AH114"/>
  <c r="AL114"/>
  <c r="AE117"/>
  <c r="AI117"/>
  <c r="AD140"/>
  <c r="AH140"/>
  <c r="AL140"/>
  <c r="AG159"/>
  <c r="AK159"/>
  <c r="AF124"/>
  <c r="AJ124"/>
  <c r="AE125"/>
  <c r="AI125"/>
  <c r="AD132"/>
  <c r="AH132"/>
  <c r="AL132"/>
  <c r="AD141"/>
  <c r="AH141"/>
  <c r="AL141"/>
  <c r="AG142"/>
  <c r="AK142"/>
  <c r="AF143"/>
  <c r="AJ143"/>
  <c r="AE144"/>
  <c r="AI144"/>
  <c r="AD145"/>
  <c r="AH145"/>
  <c r="AL145"/>
  <c r="AG146"/>
  <c r="AK146"/>
  <c r="AF147"/>
  <c r="AJ147"/>
  <c r="AE148"/>
  <c r="AI148"/>
  <c r="AD149"/>
  <c r="AH149"/>
  <c r="AL149"/>
  <c r="AG150"/>
  <c r="AK150"/>
  <c r="AF151"/>
  <c r="AJ151"/>
  <c r="AE152"/>
  <c r="AI152"/>
  <c r="AG153"/>
  <c r="AK153"/>
  <c r="AF154"/>
  <c r="AJ154"/>
  <c r="AE155"/>
  <c r="AI155"/>
  <c r="AD156"/>
  <c r="AH156"/>
  <c r="AL156"/>
  <c r="AG157"/>
  <c r="AK157"/>
  <c r="AF158"/>
  <c r="AJ158"/>
  <c r="AP161"/>
  <c r="AO60"/>
  <c r="AM24"/>
  <c r="AM123"/>
  <c r="AF175"/>
  <c r="AJ41"/>
  <c r="AE133"/>
  <c r="AI109"/>
  <c r="AK12"/>
  <c r="AH16"/>
  <c r="AD20"/>
  <c r="AI23"/>
  <c r="AE27"/>
  <c r="AJ30"/>
  <c r="AF35"/>
  <c r="AK38"/>
  <c r="AG48"/>
  <c r="AL51"/>
  <c r="AH55"/>
  <c r="AH58"/>
  <c r="AF60"/>
  <c r="AJ63"/>
  <c r="AH65"/>
  <c r="AF67"/>
  <c r="AD69"/>
  <c r="AK70"/>
  <c r="AI76"/>
  <c r="AG78"/>
  <c r="AE80"/>
  <c r="AL81"/>
  <c r="AJ83"/>
  <c r="AH85"/>
  <c r="AF87"/>
  <c r="AD89"/>
  <c r="AK90"/>
  <c r="AE92"/>
  <c r="AG93"/>
  <c r="AI94"/>
  <c r="AJ95"/>
  <c r="AL97"/>
  <c r="AE99"/>
  <c r="AF100"/>
  <c r="AH101"/>
  <c r="AI102"/>
  <c r="AH103"/>
  <c r="AG104"/>
  <c r="AF105"/>
  <c r="AE106"/>
  <c r="AD107"/>
  <c r="AL107"/>
  <c r="AK108"/>
  <c r="AE111"/>
  <c r="AK112"/>
  <c r="AJ113"/>
  <c r="AI114"/>
  <c r="AD117"/>
  <c r="AL117"/>
  <c r="AK140"/>
  <c r="AJ159"/>
  <c r="AI124"/>
  <c r="AH125"/>
  <c r="AG132"/>
  <c r="AI141"/>
  <c r="AH142"/>
  <c r="AG143"/>
  <c r="AF144"/>
  <c r="AE145"/>
  <c r="AD146"/>
  <c r="AL146"/>
  <c r="AK147"/>
  <c r="AJ148"/>
  <c r="AI149"/>
  <c r="AH150"/>
  <c r="AG151"/>
  <c r="AF152"/>
  <c r="AJ153"/>
  <c r="AI154"/>
  <c r="AH155"/>
  <c r="AG156"/>
  <c r="AF157"/>
  <c r="AE158"/>
  <c r="AG160"/>
  <c r="AL160"/>
  <c r="AH161"/>
  <c r="AL161"/>
  <c r="AG162"/>
  <c r="AK162"/>
  <c r="AF163"/>
  <c r="AJ163"/>
  <c r="AE164"/>
  <c r="AI164"/>
  <c r="AD165"/>
  <c r="AH165"/>
  <c r="AL165"/>
  <c r="AG166"/>
  <c r="AK166"/>
  <c r="AF167"/>
  <c r="AJ167"/>
  <c r="AE168"/>
  <c r="AI168"/>
  <c r="AD170"/>
  <c r="AH170"/>
  <c r="AL170"/>
  <c r="AG171"/>
  <c r="AK171"/>
  <c r="AF172"/>
  <c r="AJ172"/>
  <c r="AE173"/>
  <c r="AI173"/>
  <c r="AD178"/>
  <c r="AH178"/>
  <c r="AL178"/>
  <c r="AG179"/>
  <c r="AK179"/>
  <c r="AF180"/>
  <c r="AJ180"/>
  <c r="AA9"/>
  <c r="B9" s="1"/>
  <c r="AA10"/>
  <c r="B10" s="1"/>
  <c r="AA11"/>
  <c r="B11" s="1"/>
  <c r="AC12"/>
  <c r="C12" s="1"/>
  <c r="AB15"/>
  <c r="AA17"/>
  <c r="B17" s="1"/>
  <c r="AA18"/>
  <c r="B18" s="1"/>
  <c r="AA19"/>
  <c r="B19" s="1"/>
  <c r="AC20"/>
  <c r="C20" s="1"/>
  <c r="AB23"/>
  <c r="AA25"/>
  <c r="B25" s="1"/>
  <c r="AA26"/>
  <c r="B26" s="1"/>
  <c r="AA27"/>
  <c r="B27" s="1"/>
  <c r="AC29"/>
  <c r="C29" s="1"/>
  <c r="AB30"/>
  <c r="AB31"/>
  <c r="AA33"/>
  <c r="B33" s="1"/>
  <c r="AC36"/>
  <c r="C36" s="1"/>
  <c r="AB37"/>
  <c r="AB38"/>
  <c r="AB39"/>
  <c r="AA41"/>
  <c r="B41" s="1"/>
  <c r="AA44"/>
  <c r="B44" s="1"/>
  <c r="AC45"/>
  <c r="C45" s="1"/>
  <c r="AC47"/>
  <c r="C47" s="1"/>
  <c r="AC48"/>
  <c r="C48" s="1"/>
  <c r="AB49"/>
  <c r="AB50"/>
  <c r="AB51"/>
  <c r="AA53"/>
  <c r="B53" s="1"/>
  <c r="AC54"/>
  <c r="C54" s="1"/>
  <c r="AC55"/>
  <c r="C55" s="1"/>
  <c r="AC56"/>
  <c r="C56" s="1"/>
  <c r="AB57"/>
  <c r="AB58"/>
  <c r="AB59"/>
  <c r="AA61"/>
  <c r="B61" s="1"/>
  <c r="AA62"/>
  <c r="B62" s="1"/>
  <c r="AA63"/>
  <c r="B63" s="1"/>
  <c r="AA64"/>
  <c r="B64" s="1"/>
  <c r="AA65"/>
  <c r="B65" s="1"/>
  <c r="AA66"/>
  <c r="B66" s="1"/>
  <c r="AA67"/>
  <c r="B67" s="1"/>
  <c r="AA68"/>
  <c r="B68" s="1"/>
  <c r="AA69"/>
  <c r="B69" s="1"/>
  <c r="AA70"/>
  <c r="B70" s="1"/>
  <c r="AA71"/>
  <c r="B71" s="1"/>
  <c r="AA72"/>
  <c r="B72" s="1"/>
  <c r="AA73"/>
  <c r="B73" s="1"/>
  <c r="AA74"/>
  <c r="B74" s="1"/>
  <c r="AA75"/>
  <c r="B75" s="1"/>
  <c r="AA76"/>
  <c r="B76" s="1"/>
  <c r="AA77"/>
  <c r="B77" s="1"/>
  <c r="AA78"/>
  <c r="B78" s="1"/>
  <c r="AA79"/>
  <c r="B79" s="1"/>
  <c r="AA80"/>
  <c r="B80" s="1"/>
  <c r="AA81"/>
  <c r="B81" s="1"/>
  <c r="AA82"/>
  <c r="B82" s="1"/>
  <c r="AA83"/>
  <c r="B83" s="1"/>
  <c r="AA84"/>
  <c r="B84" s="1"/>
  <c r="AC85"/>
  <c r="C85" s="1"/>
  <c r="AC86"/>
  <c r="C86" s="1"/>
  <c r="AC87"/>
  <c r="C87" s="1"/>
  <c r="AB88"/>
  <c r="AB89"/>
  <c r="AB90"/>
  <c r="AA92"/>
  <c r="B92" s="1"/>
  <c r="AC93"/>
  <c r="C93" s="1"/>
  <c r="AC94"/>
  <c r="C94" s="1"/>
  <c r="AC95"/>
  <c r="C95" s="1"/>
  <c r="AE96"/>
  <c r="AI96"/>
  <c r="AB96"/>
  <c r="AB97"/>
  <c r="AA99"/>
  <c r="B99" s="1"/>
  <c r="AC102"/>
  <c r="C102" s="1"/>
  <c r="AC103"/>
  <c r="C103" s="1"/>
  <c r="AC104"/>
  <c r="C104" s="1"/>
  <c r="AB105"/>
  <c r="AA107"/>
  <c r="B107" s="1"/>
  <c r="AA108"/>
  <c r="B108" s="1"/>
  <c r="AA109"/>
  <c r="B109" s="1"/>
  <c r="AC110"/>
  <c r="C110" s="1"/>
  <c r="AF110"/>
  <c r="AJ110"/>
  <c r="AA111"/>
  <c r="B111" s="1"/>
  <c r="AA112"/>
  <c r="B112" s="1"/>
  <c r="AA113"/>
  <c r="B113" s="1"/>
  <c r="AA114"/>
  <c r="B114" s="1"/>
  <c r="AF115"/>
  <c r="AJ115"/>
  <c r="AA116"/>
  <c r="B116" s="1"/>
  <c r="AG116"/>
  <c r="AK116"/>
  <c r="C118"/>
  <c r="C119"/>
  <c r="AA123"/>
  <c r="B123" s="1"/>
  <c r="AA124"/>
  <c r="B124" s="1"/>
  <c r="C126"/>
  <c r="C127"/>
  <c r="AA131"/>
  <c r="B131" s="1"/>
  <c r="AA132"/>
  <c r="B132" s="1"/>
  <c r="C133"/>
  <c r="C134"/>
  <c r="AB140"/>
  <c r="AB141"/>
  <c r="AA143"/>
  <c r="B143" s="1"/>
  <c r="AA144"/>
  <c r="B144" s="1"/>
  <c r="AC145"/>
  <c r="C145" s="1"/>
  <c r="AC146"/>
  <c r="C146" s="1"/>
  <c r="AB148"/>
  <c r="AB149"/>
  <c r="AA151"/>
  <c r="B151" s="1"/>
  <c r="AA152"/>
  <c r="B152" s="1"/>
  <c r="AC153"/>
  <c r="C153" s="1"/>
  <c r="AC154"/>
  <c r="C154" s="1"/>
  <c r="AB155"/>
  <c r="AB156"/>
  <c r="AA158"/>
  <c r="B158" s="1"/>
  <c r="AA159"/>
  <c r="B159" s="1"/>
  <c r="AC160"/>
  <c r="C160" s="1"/>
  <c r="AC161"/>
  <c r="C161" s="1"/>
  <c r="AC162"/>
  <c r="C162" s="1"/>
  <c r="AB163"/>
  <c r="AA165"/>
  <c r="B165" s="1"/>
  <c r="AA166"/>
  <c r="B166" s="1"/>
  <c r="AC168"/>
  <c r="C168" s="1"/>
  <c r="AC169"/>
  <c r="C169" s="1"/>
  <c r="AB170"/>
  <c r="AB171"/>
  <c r="AA173"/>
  <c r="B173" s="1"/>
  <c r="AA174"/>
  <c r="B174" s="1"/>
  <c r="AC176"/>
  <c r="C176" s="1"/>
  <c r="AC178"/>
  <c r="C178" s="1"/>
  <c r="AB179"/>
  <c r="AB180"/>
  <c r="AN42"/>
  <c r="AP26"/>
  <c r="AM80"/>
  <c r="AD39"/>
  <c r="AD11"/>
  <c r="AF18"/>
  <c r="AG25"/>
  <c r="AH32"/>
  <c r="AI45"/>
  <c r="AJ53"/>
  <c r="AG59"/>
  <c r="AG66"/>
  <c r="AL69"/>
  <c r="AH77"/>
  <c r="AF79"/>
  <c r="AK82"/>
  <c r="AG86"/>
  <c r="AL89"/>
  <c r="AK92"/>
  <c r="AE95"/>
  <c r="AH98"/>
  <c r="AL100"/>
  <c r="AD103"/>
  <c r="AK104"/>
  <c r="AI106"/>
  <c r="AG108"/>
  <c r="AI111"/>
  <c r="AF113"/>
  <c r="AG140"/>
  <c r="AE124"/>
  <c r="AL125"/>
  <c r="AD142"/>
  <c r="AK143"/>
  <c r="AI145"/>
  <c r="AG147"/>
  <c r="AE149"/>
  <c r="AL150"/>
  <c r="AJ152"/>
  <c r="AE154"/>
  <c r="AL155"/>
  <c r="AJ157"/>
  <c r="AD160"/>
  <c r="AJ160"/>
  <c r="AJ161"/>
  <c r="AI162"/>
  <c r="AH163"/>
  <c r="AG164"/>
  <c r="AF165"/>
  <c r="AE166"/>
  <c r="AD167"/>
  <c r="AL167"/>
  <c r="AK168"/>
  <c r="AJ170"/>
  <c r="AI171"/>
  <c r="AH172"/>
  <c r="AG173"/>
  <c r="AF178"/>
  <c r="AE179"/>
  <c r="AD180"/>
  <c r="AL180"/>
  <c r="AA15"/>
  <c r="B15" s="1"/>
  <c r="AB19"/>
  <c r="AN122"/>
  <c r="AN49"/>
  <c r="AM56"/>
  <c r="AM149"/>
  <c r="AI62"/>
  <c r="AL42"/>
  <c r="AD134"/>
  <c r="AE10"/>
  <c r="AJ13"/>
  <c r="AG17"/>
  <c r="AL20"/>
  <c r="AH24"/>
  <c r="AD28"/>
  <c r="AI31"/>
  <c r="AE36"/>
  <c r="AJ44"/>
  <c r="AF49"/>
  <c r="AK52"/>
  <c r="AG56"/>
  <c r="AL58"/>
  <c r="AJ60"/>
  <c r="AE64"/>
  <c r="AL65"/>
  <c r="AJ67"/>
  <c r="AH69"/>
  <c r="AF75"/>
  <c r="AD77"/>
  <c r="AK78"/>
  <c r="AI80"/>
  <c r="AG82"/>
  <c r="AE84"/>
  <c r="AL85"/>
  <c r="AJ87"/>
  <c r="AH89"/>
  <c r="AF91"/>
  <c r="AH92"/>
  <c r="AJ93"/>
  <c r="AK94"/>
  <c r="AD97"/>
  <c r="AF98"/>
  <c r="AG99"/>
  <c r="AI100"/>
  <c r="AK101"/>
  <c r="AK102"/>
  <c r="AJ103"/>
  <c r="AI104"/>
  <c r="AH105"/>
  <c r="AG106"/>
  <c r="AF107"/>
  <c r="AE108"/>
  <c r="AG111"/>
  <c r="AE112"/>
  <c r="AD113"/>
  <c r="AL113"/>
  <c r="AK114"/>
  <c r="AF117"/>
  <c r="AE140"/>
  <c r="AD159"/>
  <c r="AL159"/>
  <c r="AK124"/>
  <c r="AJ125"/>
  <c r="AI132"/>
  <c r="AK141"/>
  <c r="AJ142"/>
  <c r="AI143"/>
  <c r="AH144"/>
  <c r="AG145"/>
  <c r="AF146"/>
  <c r="AE147"/>
  <c r="AD148"/>
  <c r="AL148"/>
  <c r="AK149"/>
  <c r="AJ150"/>
  <c r="AI151"/>
  <c r="AH152"/>
  <c r="AD153"/>
  <c r="AL153"/>
  <c r="AK154"/>
  <c r="AJ155"/>
  <c r="AI156"/>
  <c r="AH157"/>
  <c r="AG158"/>
  <c r="AH160"/>
  <c r="AE161"/>
  <c r="AI161"/>
  <c r="AD162"/>
  <c r="AH162"/>
  <c r="AL162"/>
  <c r="AG163"/>
  <c r="AK163"/>
  <c r="AF164"/>
  <c r="AJ164"/>
  <c r="AE165"/>
  <c r="AI165"/>
  <c r="AD166"/>
  <c r="AH166"/>
  <c r="AL166"/>
  <c r="AG167"/>
  <c r="AK167"/>
  <c r="AF168"/>
  <c r="AJ168"/>
  <c r="AE170"/>
  <c r="AI170"/>
  <c r="AD171"/>
  <c r="AH171"/>
  <c r="AL171"/>
  <c r="AG172"/>
  <c r="AK172"/>
  <c r="AF173"/>
  <c r="AJ173"/>
  <c r="AE178"/>
  <c r="AI178"/>
  <c r="AD179"/>
  <c r="AH179"/>
  <c r="AL179"/>
  <c r="AG180"/>
  <c r="AK180"/>
  <c r="AC9"/>
  <c r="C9" s="1"/>
  <c r="AC10"/>
  <c r="C10" s="1"/>
  <c r="AC11"/>
  <c r="C11" s="1"/>
  <c r="AB12"/>
  <c r="AB13"/>
  <c r="AB14"/>
  <c r="AA16"/>
  <c r="B16" s="1"/>
  <c r="AC17"/>
  <c r="C17" s="1"/>
  <c r="AC18"/>
  <c r="C18" s="1"/>
  <c r="AC19"/>
  <c r="C19" s="1"/>
  <c r="AB20"/>
  <c r="AB21"/>
  <c r="AB22"/>
  <c r="AA24"/>
  <c r="B24" s="1"/>
  <c r="AC25"/>
  <c r="C25" s="1"/>
  <c r="AC26"/>
  <c r="C26" s="1"/>
  <c r="AC27"/>
  <c r="C27" s="1"/>
  <c r="AC28"/>
  <c r="C28" s="1"/>
  <c r="AB29"/>
  <c r="AA31"/>
  <c r="B31" s="1"/>
  <c r="AA32"/>
  <c r="B32" s="1"/>
  <c r="AC33"/>
  <c r="C33" s="1"/>
  <c r="AC34"/>
  <c r="C34" s="1"/>
  <c r="AC35"/>
  <c r="C35" s="1"/>
  <c r="AB36"/>
  <c r="AA38"/>
  <c r="B38" s="1"/>
  <c r="AA39"/>
  <c r="B39" s="1"/>
  <c r="AA40"/>
  <c r="B40" s="1"/>
  <c r="AC41"/>
  <c r="C41" s="1"/>
  <c r="AC44"/>
  <c r="C44" s="1"/>
  <c r="AB45"/>
  <c r="AB48"/>
  <c r="AA50"/>
  <c r="B50" s="1"/>
  <c r="AA51"/>
  <c r="B51" s="1"/>
  <c r="AA52"/>
  <c r="B52" s="1"/>
  <c r="AC53"/>
  <c r="C53" s="1"/>
  <c r="AB56"/>
  <c r="AA58"/>
  <c r="B58" s="1"/>
  <c r="AA59"/>
  <c r="B59" s="1"/>
  <c r="AA60"/>
  <c r="B60" s="1"/>
  <c r="AC61"/>
  <c r="C61" s="1"/>
  <c r="AC64"/>
  <c r="C64" s="1"/>
  <c r="AC65"/>
  <c r="C65" s="1"/>
  <c r="AC68"/>
  <c r="C68" s="1"/>
  <c r="AC69"/>
  <c r="C69" s="1"/>
  <c r="AC72"/>
  <c r="C72" s="1"/>
  <c r="AC73"/>
  <c r="C73" s="1"/>
  <c r="AC76"/>
  <c r="C76" s="1"/>
  <c r="AC77"/>
  <c r="C77" s="1"/>
  <c r="AC80"/>
  <c r="C80" s="1"/>
  <c r="AC81"/>
  <c r="C81" s="1"/>
  <c r="AC84"/>
  <c r="C84" s="1"/>
  <c r="AB87"/>
  <c r="AA89"/>
  <c r="B89" s="1"/>
  <c r="AA90"/>
  <c r="B90" s="1"/>
  <c r="AA91"/>
  <c r="B91" s="1"/>
  <c r="AC92"/>
  <c r="C92" s="1"/>
  <c r="AB95"/>
  <c r="AF96"/>
  <c r="AJ96"/>
  <c r="AA97"/>
  <c r="B97" s="1"/>
  <c r="AA98"/>
  <c r="B98" s="1"/>
  <c r="AC99"/>
  <c r="C99" s="1"/>
  <c r="AC100"/>
  <c r="C100" s="1"/>
  <c r="AC101"/>
  <c r="C101" s="1"/>
  <c r="AB102"/>
  <c r="AB103"/>
  <c r="AB104"/>
  <c r="AA106"/>
  <c r="B106" s="1"/>
  <c r="AC109"/>
  <c r="C109" s="1"/>
  <c r="AG110"/>
  <c r="AK110"/>
  <c r="AC114"/>
  <c r="C114" s="1"/>
  <c r="AC115"/>
  <c r="C115" s="1"/>
  <c r="AG115"/>
  <c r="AK115"/>
  <c r="AD116"/>
  <c r="AH116"/>
  <c r="AL116"/>
  <c r="AC117"/>
  <c r="C117" s="1"/>
  <c r="B121"/>
  <c r="AA122"/>
  <c r="B122" s="1"/>
  <c r="C124"/>
  <c r="C125"/>
  <c r="AA129"/>
  <c r="B129" s="1"/>
  <c r="AA130"/>
  <c r="B130" s="1"/>
  <c r="C132"/>
  <c r="AA141"/>
  <c r="B141" s="1"/>
  <c r="AA142"/>
  <c r="B142" s="1"/>
  <c r="AC143"/>
  <c r="C143" s="1"/>
  <c r="AC144"/>
  <c r="C144" s="1"/>
  <c r="AB146"/>
  <c r="AB147"/>
  <c r="AA149"/>
  <c r="B149" s="1"/>
  <c r="AA150"/>
  <c r="B150" s="1"/>
  <c r="AC151"/>
  <c r="C151" s="1"/>
  <c r="AC152"/>
  <c r="C152" s="1"/>
  <c r="AB154"/>
  <c r="AA156"/>
  <c r="B156" s="1"/>
  <c r="AA157"/>
  <c r="B157" s="1"/>
  <c r="AC158"/>
  <c r="C158" s="1"/>
  <c r="AC159"/>
  <c r="C159" s="1"/>
  <c r="AB162"/>
  <c r="AA164"/>
  <c r="B164" s="1"/>
  <c r="AC166"/>
  <c r="C166" s="1"/>
  <c r="AC167"/>
  <c r="C167" s="1"/>
  <c r="AB168"/>
  <c r="AB169"/>
  <c r="AA171"/>
  <c r="B171" s="1"/>
  <c r="AA172"/>
  <c r="B172" s="1"/>
  <c r="AC174"/>
  <c r="C174" s="1"/>
  <c r="AC175"/>
  <c r="C175" s="1"/>
  <c r="AB176"/>
  <c r="AB178"/>
  <c r="AA180"/>
  <c r="B180" s="1"/>
  <c r="AO101"/>
  <c r="AM171"/>
  <c r="AL72"/>
  <c r="AK118"/>
  <c r="AL134"/>
  <c r="AK9"/>
  <c r="AJ14"/>
  <c r="AK21"/>
  <c r="AL28"/>
  <c r="AD37"/>
  <c r="AE50"/>
  <c r="AF57"/>
  <c r="AI64"/>
  <c r="AE68"/>
  <c r="AJ75"/>
  <c r="AD81"/>
  <c r="AI84"/>
  <c r="AE88"/>
  <c r="AI91"/>
  <c r="AL93"/>
  <c r="AG97"/>
  <c r="AJ99"/>
  <c r="AD102"/>
  <c r="AL103"/>
  <c r="AJ105"/>
  <c r="AH107"/>
  <c r="AG112"/>
  <c r="AE114"/>
  <c r="AH117"/>
  <c r="AF159"/>
  <c r="AD125"/>
  <c r="AK132"/>
  <c r="AE141"/>
  <c r="AL142"/>
  <c r="AJ144"/>
  <c r="AH146"/>
  <c r="AF148"/>
  <c r="AD150"/>
  <c r="AK151"/>
  <c r="AF153"/>
  <c r="AD155"/>
  <c r="AK156"/>
  <c r="AI158"/>
  <c r="AF161"/>
  <c r="AE162"/>
  <c r="AD163"/>
  <c r="AL163"/>
  <c r="AK164"/>
  <c r="AJ165"/>
  <c r="AI166"/>
  <c r="AH167"/>
  <c r="AG168"/>
  <c r="AF170"/>
  <c r="AE171"/>
  <c r="AD172"/>
  <c r="AL172"/>
  <c r="AK173"/>
  <c r="AJ178"/>
  <c r="AI179"/>
  <c r="AH180"/>
  <c r="AB11"/>
  <c r="AA13"/>
  <c r="B13" s="1"/>
  <c r="AA14"/>
  <c r="B14" s="1"/>
  <c r="AC16"/>
  <c r="C16" s="1"/>
  <c r="AC180"/>
  <c r="C180" s="1"/>
  <c r="AA175"/>
  <c r="B175" s="1"/>
  <c r="AC170"/>
  <c r="C170" s="1"/>
  <c r="AB165"/>
  <c r="AA161"/>
  <c r="B161" s="1"/>
  <c r="AB158"/>
  <c r="AA154"/>
  <c r="B154" s="1"/>
  <c r="AB151"/>
  <c r="AC147"/>
  <c r="C147" s="1"/>
  <c r="AB142"/>
  <c r="B134"/>
  <c r="C129"/>
  <c r="AC111"/>
  <c r="C111" s="1"/>
  <c r="AB109"/>
  <c r="AA105"/>
  <c r="B105" s="1"/>
  <c r="AA103"/>
  <c r="B103" s="1"/>
  <c r="AB100"/>
  <c r="AC98"/>
  <c r="C98" s="1"/>
  <c r="AK96"/>
  <c r="AA96"/>
  <c r="B96" s="1"/>
  <c r="AC91"/>
  <c r="C91" s="1"/>
  <c r="AC78"/>
  <c r="C78" s="1"/>
  <c r="AC74"/>
  <c r="C74" s="1"/>
  <c r="AC66"/>
  <c r="C66" s="1"/>
  <c r="AC62"/>
  <c r="C62" s="1"/>
  <c r="AC58"/>
  <c r="C58" s="1"/>
  <c r="AB53"/>
  <c r="AA49"/>
  <c r="B49" s="1"/>
  <c r="AB41"/>
  <c r="AA37"/>
  <c r="B37" s="1"/>
  <c r="AC32"/>
  <c r="C32" s="1"/>
  <c r="AA21"/>
  <c r="B21" s="1"/>
  <c r="AA12"/>
  <c r="B12" s="1"/>
  <c r="AI180"/>
  <c r="AD173"/>
  <c r="AH168"/>
  <c r="AL164"/>
  <c r="AG161"/>
  <c r="AE156"/>
  <c r="AJ146"/>
  <c r="AG124"/>
  <c r="AI112"/>
  <c r="AF103"/>
  <c r="AD93"/>
  <c r="AJ79"/>
  <c r="AD51"/>
  <c r="AI15"/>
  <c r="AH40"/>
  <c r="AC179"/>
  <c r="C179" s="1"/>
  <c r="AA176"/>
  <c r="B176" s="1"/>
  <c r="AB173"/>
  <c r="AC171"/>
  <c r="C171" s="1"/>
  <c r="AA167"/>
  <c r="B167" s="1"/>
  <c r="AB164"/>
  <c r="AA162"/>
  <c r="B162" s="1"/>
  <c r="AA160"/>
  <c r="B160" s="1"/>
  <c r="AB157"/>
  <c r="AC155"/>
  <c r="C155" s="1"/>
  <c r="AA153"/>
  <c r="B153" s="1"/>
  <c r="AB150"/>
  <c r="AC148"/>
  <c r="C148" s="1"/>
  <c r="AA146"/>
  <c r="B146" s="1"/>
  <c r="AB143"/>
  <c r="AA133"/>
  <c r="B133" s="1"/>
  <c r="C128"/>
  <c r="AA126"/>
  <c r="B126" s="1"/>
  <c r="C121"/>
  <c r="AA117"/>
  <c r="B117" s="1"/>
  <c r="AF116"/>
  <c r="AC116"/>
  <c r="C116" s="1"/>
  <c r="AH115"/>
  <c r="AB114"/>
  <c r="AC112"/>
  <c r="C112" s="1"/>
  <c r="AL110"/>
  <c r="AD110"/>
  <c r="AC108"/>
  <c r="C108" s="1"/>
  <c r="AC106"/>
  <c r="C106" s="1"/>
  <c r="AA104"/>
  <c r="B104" s="1"/>
  <c r="AB101"/>
  <c r="AB99"/>
  <c r="AG96"/>
  <c r="AB94"/>
  <c r="AB92"/>
  <c r="AC90"/>
  <c r="C90" s="1"/>
  <c r="AA88"/>
  <c r="B88" s="1"/>
  <c r="AB85"/>
  <c r="AC83"/>
  <c r="C83" s="1"/>
  <c r="AC79"/>
  <c r="C79" s="1"/>
  <c r="AC75"/>
  <c r="C75" s="1"/>
  <c r="AC71"/>
  <c r="C71" s="1"/>
  <c r="AC67"/>
  <c r="C67" s="1"/>
  <c r="AC63"/>
  <c r="C63" s="1"/>
  <c r="AC59"/>
  <c r="C59" s="1"/>
  <c r="AA57"/>
  <c r="B57" s="1"/>
  <c r="AB54"/>
  <c r="AC52"/>
  <c r="C52" s="1"/>
  <c r="AC50"/>
  <c r="C50" s="1"/>
  <c r="AB47"/>
  <c r="AB44"/>
  <c r="AC40"/>
  <c r="C40" s="1"/>
  <c r="AB35"/>
  <c r="AB33"/>
  <c r="AB28"/>
  <c r="AC24"/>
  <c r="C24" s="1"/>
  <c r="AA22"/>
  <c r="B22" s="1"/>
  <c r="AB18"/>
  <c r="AC14"/>
  <c r="C14" s="1"/>
  <c r="AB9"/>
  <c r="AJ179"/>
  <c r="AL173"/>
  <c r="AE172"/>
  <c r="AG170"/>
  <c r="AI167"/>
  <c r="AK165"/>
  <c r="AD164"/>
  <c r="AF162"/>
  <c r="AF160"/>
  <c r="AL157"/>
  <c r="AG154"/>
  <c r="AD152"/>
  <c r="AH148"/>
  <c r="AL144"/>
  <c r="AG141"/>
  <c r="AE132"/>
  <c r="AI140"/>
  <c r="AG114"/>
  <c r="AK111"/>
  <c r="AI108"/>
  <c r="AD105"/>
  <c r="AE101"/>
  <c r="AH95"/>
  <c r="AG90"/>
  <c r="AF83"/>
  <c r="AE76"/>
  <c r="AD65"/>
  <c r="AD58"/>
  <c r="AL37"/>
  <c r="AJ22"/>
  <c r="AJ61"/>
  <c r="AF123"/>
  <c r="AO15"/>
  <c r="O96" i="8"/>
  <c r="X133" i="4"/>
  <c r="N96" i="8"/>
  <c r="N115"/>
  <c r="AN110"/>
  <c r="T110" s="1"/>
  <c r="Y48" i="10" s="1"/>
  <c r="Z48" s="1"/>
  <c r="L34" i="4"/>
  <c r="Q34" s="1"/>
  <c r="Y90"/>
  <c r="S90" i="22" s="1"/>
  <c r="O33" i="4"/>
  <c r="AL115" i="8"/>
  <c r="Y161" i="4"/>
  <c r="R39"/>
  <c r="R39" i="22" s="1"/>
  <c r="R33" i="4"/>
  <c r="S34"/>
  <c r="X34" s="1"/>
  <c r="S10"/>
  <c r="X10" s="1"/>
  <c r="X112"/>
  <c r="S96" i="8"/>
  <c r="R155" i="4"/>
  <c r="R155" i="22" s="1"/>
  <c r="AN111" i="8"/>
  <c r="T111" s="1"/>
  <c r="AC52" i="11" s="1"/>
  <c r="AD52" s="1"/>
  <c r="R58" i="4"/>
  <c r="R58" i="22" s="1"/>
  <c r="X39" i="4"/>
  <c r="M33"/>
  <c r="X79"/>
  <c r="Y79"/>
  <c r="S79" i="22" s="1"/>
  <c r="Q86" i="4"/>
  <c r="R86"/>
  <c r="R86" i="22" s="1"/>
  <c r="Y155" i="4"/>
  <c r="S155" i="22" s="1"/>
  <c r="Q98" i="4"/>
  <c r="K43" i="2"/>
  <c r="X71" i="4"/>
  <c r="Y71"/>
  <c r="S71" i="22" s="1"/>
  <c r="Y98" i="4"/>
  <c r="S98" i="22" s="1"/>
  <c r="S97" i="4"/>
  <c r="X98"/>
  <c r="W28" i="11"/>
  <c r="V28"/>
  <c r="Y28"/>
  <c r="U33"/>
  <c r="U30"/>
  <c r="W32" i="10"/>
  <c r="W33"/>
  <c r="W31"/>
  <c r="Y178" i="4"/>
  <c r="S178" i="22" s="1"/>
  <c r="R174" i="4"/>
  <c r="R174" i="22" s="1"/>
  <c r="Q174" i="4"/>
  <c r="D65" i="12"/>
  <c r="X63" i="4"/>
  <c r="R14"/>
  <c r="R14" i="22" s="1"/>
  <c r="O115" i="8"/>
  <c r="AI115"/>
  <c r="Q161" i="4"/>
  <c r="R161"/>
  <c r="V28" i="9"/>
  <c r="U30"/>
  <c r="U33"/>
  <c r="X28"/>
  <c r="U31"/>
  <c r="U32"/>
  <c r="W28"/>
  <c r="Y28"/>
  <c r="X146" i="4"/>
  <c r="Y146"/>
  <c r="M32"/>
  <c r="L20"/>
  <c r="O32"/>
  <c r="Q32"/>
  <c r="W32" i="11"/>
  <c r="V30"/>
  <c r="V33"/>
  <c r="V31"/>
  <c r="V32"/>
  <c r="Y32" i="10"/>
  <c r="Y33"/>
  <c r="R32" i="4"/>
  <c r="R170"/>
  <c r="R170" i="22" s="1"/>
  <c r="X141" i="4"/>
  <c r="Y141"/>
  <c r="X86"/>
  <c r="Y86"/>
  <c r="S86" i="22" s="1"/>
  <c r="L97" i="4"/>
  <c r="R102"/>
  <c r="R102" i="22" s="1"/>
  <c r="Q102" i="4"/>
  <c r="Y21"/>
  <c r="S21" i="22" s="1"/>
  <c r="S20" i="4"/>
  <c r="X21"/>
  <c r="AA127" i="8"/>
  <c r="L127" i="47" s="1"/>
  <c r="U32" i="11"/>
  <c r="U31"/>
  <c r="X28"/>
  <c r="X28" i="10"/>
  <c r="U31"/>
  <c r="U32"/>
  <c r="V28"/>
  <c r="U30"/>
  <c r="Q170" i="4"/>
  <c r="L62"/>
  <c r="Q63"/>
  <c r="R63"/>
  <c r="R63" i="22" s="1"/>
  <c r="S47" i="4"/>
  <c r="X48"/>
  <c r="Y48"/>
  <c r="S48" i="22" s="1"/>
  <c r="Y14" i="4"/>
  <c r="S14" i="22" s="1"/>
  <c r="X14" i="4"/>
  <c r="Y170"/>
  <c r="S170" i="22" s="1"/>
  <c r="Q141" i="4"/>
  <c r="R141"/>
  <c r="S75"/>
  <c r="L75"/>
  <c r="Q79"/>
  <c r="R79"/>
  <c r="R79" i="22" s="1"/>
  <c r="L47" i="4"/>
  <c r="Q48"/>
  <c r="L10"/>
  <c r="Y32"/>
  <c r="X32"/>
  <c r="T32"/>
  <c r="R153"/>
  <c r="R90"/>
  <c r="R90" i="22" s="1"/>
  <c r="Y76" i="4"/>
  <c r="S76" i="22" s="1"/>
  <c r="S62" i="4"/>
  <c r="Y58"/>
  <c r="S58" i="22" s="1"/>
  <c r="X121" i="4"/>
  <c r="AB113" i="8"/>
  <c r="L113" i="22" s="1"/>
  <c r="AO111" i="8"/>
  <c r="U111" s="1"/>
  <c r="AA120"/>
  <c r="L120" i="47" s="1"/>
  <c r="AO110" i="8"/>
  <c r="AB125"/>
  <c r="L125" i="22" s="1"/>
  <c r="U35" i="10"/>
  <c r="AP46" i="22"/>
  <c r="AO43"/>
  <c r="AL43"/>
  <c r="AJ43"/>
  <c r="AH43"/>
  <c r="AF43"/>
  <c r="AD43"/>
  <c r="AA43"/>
  <c r="B43" s="1"/>
  <c r="AP44"/>
  <c r="AN43"/>
  <c r="AK43"/>
  <c r="AI43"/>
  <c r="AG43"/>
  <c r="AE43"/>
  <c r="AC43"/>
  <c r="C43" s="1"/>
  <c r="AP43"/>
  <c r="AK46"/>
  <c r="AG46"/>
  <c r="AC46"/>
  <c r="C46" s="1"/>
  <c r="AA42"/>
  <c r="B42" s="1"/>
  <c r="AN46"/>
  <c r="AI46"/>
  <c r="AE46"/>
  <c r="AL46"/>
  <c r="AD46"/>
  <c r="AO46"/>
  <c r="AF46"/>
  <c r="AJ46"/>
  <c r="AI130"/>
  <c r="AH130"/>
  <c r="AL128"/>
  <c r="AK129"/>
  <c r="AG129"/>
  <c r="AF129"/>
  <c r="AE129"/>
  <c r="AD129"/>
  <c r="AH46"/>
  <c r="AI128"/>
  <c r="AH128"/>
  <c r="AL130"/>
  <c r="AK127"/>
  <c r="AK131"/>
  <c r="AG127"/>
  <c r="AG131"/>
  <c r="AF127"/>
  <c r="AF131"/>
  <c r="AE127"/>
  <c r="AE131"/>
  <c r="AD127"/>
  <c r="AD131"/>
  <c r="AI131"/>
  <c r="AH127"/>
  <c r="AL129"/>
  <c r="AK130"/>
  <c r="AF130"/>
  <c r="AD130"/>
  <c r="AH129"/>
  <c r="AL131"/>
  <c r="AG128"/>
  <c r="AE128"/>
  <c r="AJ127"/>
  <c r="AJ131"/>
  <c r="AA46"/>
  <c r="B46" s="1"/>
  <c r="AI127"/>
  <c r="AH131"/>
  <c r="AK128"/>
  <c r="AD128"/>
  <c r="AJ128"/>
  <c r="AI129"/>
  <c r="AL127"/>
  <c r="AE130"/>
  <c r="AJ129"/>
  <c r="AF128"/>
  <c r="V67" i="2"/>
  <c r="W47" s="1"/>
  <c r="O67"/>
  <c r="R124" i="4"/>
  <c r="Z63" i="2" l="1"/>
  <c r="F31" i="55"/>
  <c r="F31" i="58"/>
  <c r="Z56" i="2"/>
  <c r="F29" i="58"/>
  <c r="F29" i="55"/>
  <c r="F10"/>
  <c r="F10" i="58"/>
  <c r="Z60" i="2"/>
  <c r="F32" i="55"/>
  <c r="F32" i="58"/>
  <c r="Z49" i="2"/>
  <c r="F27" i="58"/>
  <c r="F27" i="55"/>
  <c r="Z54" i="2"/>
  <c r="F28" i="55"/>
  <c r="F28" i="58"/>
  <c r="Z57" i="2"/>
  <c r="F30" i="55"/>
  <c r="F30" i="58"/>
  <c r="O27" i="60"/>
  <c r="L27"/>
  <c r="R27"/>
  <c r="U27"/>
  <c r="Z61" i="2"/>
  <c r="F33" i="58"/>
  <c r="F33" i="55"/>
  <c r="Z47" i="2"/>
  <c r="F26" i="55"/>
  <c r="F26" i="58"/>
  <c r="I43" i="22"/>
  <c r="R34" i="4"/>
  <c r="R30" i="60"/>
  <c r="O30"/>
  <c r="U30"/>
  <c r="L30"/>
  <c r="R29"/>
  <c r="L29"/>
  <c r="O29"/>
  <c r="U29"/>
  <c r="S61" i="2"/>
  <c r="F33" i="60"/>
  <c r="S47" i="2"/>
  <c r="F26" i="60"/>
  <c r="D44" i="22"/>
  <c r="AE44" i="4" s="1"/>
  <c r="D45" i="22"/>
  <c r="AE45" i="4" s="1"/>
  <c r="E45" i="22"/>
  <c r="AL45" i="4" s="1"/>
  <c r="E44" i="22"/>
  <c r="AL44" i="4" s="1"/>
  <c r="I17" i="59"/>
  <c r="AF118" i="8" s="1"/>
  <c r="E123" i="47"/>
  <c r="D122"/>
  <c r="D123"/>
  <c r="E130"/>
  <c r="E129"/>
  <c r="E127"/>
  <c r="E131"/>
  <c r="E128"/>
  <c r="Y34" i="4"/>
  <c r="Y10"/>
  <c r="S67" i="2"/>
  <c r="U7" i="47"/>
  <c r="P48" i="2"/>
  <c r="P52"/>
  <c r="P56"/>
  <c r="F13" i="60" s="1"/>
  <c r="P60" i="2"/>
  <c r="F16" i="60" s="1"/>
  <c r="P49" i="2"/>
  <c r="F11" i="60" s="1"/>
  <c r="P53" i="2"/>
  <c r="P57"/>
  <c r="F14" i="60" s="1"/>
  <c r="P61" i="2"/>
  <c r="F17" i="60" s="1"/>
  <c r="P50" i="2"/>
  <c r="P54"/>
  <c r="F12" i="60" s="1"/>
  <c r="P58" i="2"/>
  <c r="P62"/>
  <c r="F18" i="60" s="1"/>
  <c r="P63" i="2"/>
  <c r="F15" i="60" s="1"/>
  <c r="P51" i="2"/>
  <c r="P55"/>
  <c r="P59"/>
  <c r="P47"/>
  <c r="F10" i="60" s="1"/>
  <c r="Z67" i="2"/>
  <c r="AI7" i="22"/>
  <c r="AO7" s="1"/>
  <c r="W62" i="2"/>
  <c r="W58"/>
  <c r="W50"/>
  <c r="W61"/>
  <c r="W57"/>
  <c r="W53"/>
  <c r="W60"/>
  <c r="W56"/>
  <c r="W52"/>
  <c r="W48"/>
  <c r="W63"/>
  <c r="W59"/>
  <c r="W55"/>
  <c r="W51"/>
  <c r="W54"/>
  <c r="W49"/>
  <c r="I51" i="57"/>
  <c r="G74" i="56" s="1"/>
  <c r="H74" s="1"/>
  <c r="N167" i="33"/>
  <c r="R168" s="1"/>
  <c r="N149"/>
  <c r="AK7" i="22"/>
  <c r="V7" i="47"/>
  <c r="AA7"/>
  <c r="AL7" i="22"/>
  <c r="H36" i="9"/>
  <c r="V36"/>
  <c r="Y49" i="10"/>
  <c r="Z49" s="1"/>
  <c r="AC51" i="11"/>
  <c r="AD51" s="1"/>
  <c r="AG7" i="22"/>
  <c r="O7" i="21"/>
  <c r="W33" i="11"/>
  <c r="W31"/>
  <c r="X97" i="4"/>
  <c r="Y97"/>
  <c r="X153"/>
  <c r="Y153"/>
  <c r="Y32" i="11"/>
  <c r="Y33"/>
  <c r="Y33" i="9"/>
  <c r="Y32"/>
  <c r="X31"/>
  <c r="X33"/>
  <c r="X32"/>
  <c r="Y7" i="47"/>
  <c r="S7"/>
  <c r="W7"/>
  <c r="C19" i="2"/>
  <c r="D10" i="61" s="1"/>
  <c r="H27" i="10"/>
  <c r="V36"/>
  <c r="H36"/>
  <c r="P7" i="21"/>
  <c r="R7"/>
  <c r="X7" s="1"/>
  <c r="Z7" i="47"/>
  <c r="AE52" i="11"/>
  <c r="AF52" s="1"/>
  <c r="Y49" i="9"/>
  <c r="Z49" s="1"/>
  <c r="AF7" i="22"/>
  <c r="Q47" i="4"/>
  <c r="R47"/>
  <c r="Q62"/>
  <c r="R62"/>
  <c r="X32" i="10"/>
  <c r="X31"/>
  <c r="X33"/>
  <c r="X20" i="4"/>
  <c r="Y20"/>
  <c r="R97"/>
  <c r="Q97"/>
  <c r="Q169"/>
  <c r="R169"/>
  <c r="W31" i="9"/>
  <c r="W32"/>
  <c r="W33"/>
  <c r="T7" i="21"/>
  <c r="X7" i="47"/>
  <c r="R75" i="4"/>
  <c r="Q75"/>
  <c r="Y47"/>
  <c r="X47"/>
  <c r="V30" i="10"/>
  <c r="V32"/>
  <c r="V31"/>
  <c r="V33"/>
  <c r="X31" i="11"/>
  <c r="X32"/>
  <c r="X33"/>
  <c r="R20" i="4"/>
  <c r="Q20"/>
  <c r="W41" i="11"/>
  <c r="AJ7" i="22"/>
  <c r="Q7" i="21"/>
  <c r="W7" s="1"/>
  <c r="S7"/>
  <c r="Y7" s="1"/>
  <c r="AD7" i="22"/>
  <c r="AH7"/>
  <c r="M7" i="21"/>
  <c r="U7"/>
  <c r="H19" i="2"/>
  <c r="U110" i="8"/>
  <c r="Y62" i="4"/>
  <c r="X62"/>
  <c r="Q10"/>
  <c r="R10"/>
  <c r="Y75"/>
  <c r="X75"/>
  <c r="Y169"/>
  <c r="X169"/>
  <c r="V33" i="9"/>
  <c r="V32"/>
  <c r="V30"/>
  <c r="V31"/>
  <c r="D10" i="63" l="1"/>
  <c r="D10" i="62"/>
  <c r="F18" i="55"/>
  <c r="F18" i="58"/>
  <c r="U28"/>
  <c r="O28"/>
  <c r="R28"/>
  <c r="L28"/>
  <c r="O27"/>
  <c r="U27"/>
  <c r="R27"/>
  <c r="L27"/>
  <c r="O29"/>
  <c r="R29"/>
  <c r="U29"/>
  <c r="L29"/>
  <c r="U33" i="55"/>
  <c r="L33"/>
  <c r="R33"/>
  <c r="O33"/>
  <c r="U30" i="58"/>
  <c r="R30"/>
  <c r="L30"/>
  <c r="O30"/>
  <c r="L28" i="55"/>
  <c r="O28"/>
  <c r="U28"/>
  <c r="R28"/>
  <c r="F12"/>
  <c r="F12" i="58"/>
  <c r="F15"/>
  <c r="F15" i="55"/>
  <c r="F16"/>
  <c r="F16" i="58"/>
  <c r="Z68" i="2"/>
  <c r="H21" s="1"/>
  <c r="U35" i="58"/>
  <c r="R35"/>
  <c r="O26"/>
  <c r="U26" s="1"/>
  <c r="O33"/>
  <c r="U33"/>
  <c r="L33"/>
  <c r="R33"/>
  <c r="U30" i="55"/>
  <c r="O30"/>
  <c r="L30"/>
  <c r="R30"/>
  <c r="U32" i="58"/>
  <c r="L32"/>
  <c r="R32"/>
  <c r="O32"/>
  <c r="F38" i="55"/>
  <c r="F103"/>
  <c r="O31" i="58"/>
  <c r="U31"/>
  <c r="H9" i="21"/>
  <c r="E9" s="1"/>
  <c r="H11"/>
  <c r="H12"/>
  <c r="H10"/>
  <c r="H119"/>
  <c r="H120"/>
  <c r="H137"/>
  <c r="H134"/>
  <c r="H135"/>
  <c r="H139"/>
  <c r="H136"/>
  <c r="H121"/>
  <c r="H138"/>
  <c r="F14" i="55"/>
  <c r="F14" i="58"/>
  <c r="F11"/>
  <c r="F11" i="55"/>
  <c r="F13"/>
  <c r="F13" i="58"/>
  <c r="F17"/>
  <c r="F17" i="55"/>
  <c r="F103" i="58"/>
  <c r="F38"/>
  <c r="U35" i="55"/>
  <c r="O26"/>
  <c r="U26" s="1"/>
  <c r="R35"/>
  <c r="U27"/>
  <c r="R27"/>
  <c r="O27"/>
  <c r="L27"/>
  <c r="L32"/>
  <c r="O32"/>
  <c r="R32"/>
  <c r="U32"/>
  <c r="U29"/>
  <c r="L29"/>
  <c r="O29"/>
  <c r="R29"/>
  <c r="U31"/>
  <c r="O31"/>
  <c r="F86" i="60"/>
  <c r="F111"/>
  <c r="F110"/>
  <c r="F80"/>
  <c r="F109"/>
  <c r="F74"/>
  <c r="F107"/>
  <c r="F62"/>
  <c r="F56"/>
  <c r="F106"/>
  <c r="S68" i="2"/>
  <c r="C21" s="1"/>
  <c r="U33" i="60"/>
  <c r="L33"/>
  <c r="R33"/>
  <c r="O33"/>
  <c r="F50"/>
  <c r="F105"/>
  <c r="U35"/>
  <c r="R35"/>
  <c r="O26"/>
  <c r="U26" s="1"/>
  <c r="E7" i="47"/>
  <c r="D7" s="1"/>
  <c r="F38" i="60"/>
  <c r="F103"/>
  <c r="O24"/>
  <c r="O133" s="1"/>
  <c r="D9" i="15" s="1"/>
  <c r="F108" i="60"/>
  <c r="F68"/>
  <c r="F104"/>
  <c r="F44"/>
  <c r="AM44" i="8"/>
  <c r="S44"/>
  <c r="AM45"/>
  <c r="S45"/>
  <c r="AI45"/>
  <c r="O45"/>
  <c r="O44"/>
  <c r="AI44"/>
  <c r="T7" i="47"/>
  <c r="M10" s="1"/>
  <c r="AB7"/>
  <c r="I33" i="56"/>
  <c r="J51" i="57"/>
  <c r="R151" i="33"/>
  <c r="R152"/>
  <c r="J120" i="60"/>
  <c r="J120" i="55"/>
  <c r="J120" i="58"/>
  <c r="AM7" i="22"/>
  <c r="V7" i="21"/>
  <c r="AE7" i="22"/>
  <c r="X119" s="1"/>
  <c r="N7" i="21"/>
  <c r="G26" s="1"/>
  <c r="R165" i="33"/>
  <c r="R169"/>
  <c r="R159"/>
  <c r="R162"/>
  <c r="R157"/>
  <c r="R160"/>
  <c r="R154"/>
  <c r="R155"/>
  <c r="R158"/>
  <c r="R156"/>
  <c r="R170"/>
  <c r="J125" i="58" s="1"/>
  <c r="L125" s="1"/>
  <c r="R163" i="33"/>
  <c r="R166"/>
  <c r="R161"/>
  <c r="R164"/>
  <c r="R153"/>
  <c r="C3" i="3"/>
  <c r="AB6" i="4"/>
  <c r="AM6" i="8"/>
  <c r="H81" i="21"/>
  <c r="H83"/>
  <c r="H85"/>
  <c r="H79"/>
  <c r="H82"/>
  <c r="H174"/>
  <c r="H75"/>
  <c r="H84"/>
  <c r="H177"/>
  <c r="H169"/>
  <c r="H124"/>
  <c r="H125"/>
  <c r="H179"/>
  <c r="H176"/>
  <c r="H109"/>
  <c r="E109" s="1"/>
  <c r="H107"/>
  <c r="H105"/>
  <c r="H103"/>
  <c r="H101"/>
  <c r="H99"/>
  <c r="H86"/>
  <c r="H72"/>
  <c r="H69"/>
  <c r="H67"/>
  <c r="H65"/>
  <c r="H63"/>
  <c r="H60"/>
  <c r="H58"/>
  <c r="H56"/>
  <c r="H54"/>
  <c r="H52"/>
  <c r="H50"/>
  <c r="H48"/>
  <c r="H20"/>
  <c r="H18"/>
  <c r="H172"/>
  <c r="H170"/>
  <c r="H167"/>
  <c r="H165"/>
  <c r="H163"/>
  <c r="H161"/>
  <c r="H159"/>
  <c r="E159" s="1"/>
  <c r="H157"/>
  <c r="H155"/>
  <c r="H153"/>
  <c r="H151"/>
  <c r="H149"/>
  <c r="H147"/>
  <c r="H145"/>
  <c r="H143"/>
  <c r="H141"/>
  <c r="H133"/>
  <c r="H131"/>
  <c r="H129"/>
  <c r="H127"/>
  <c r="H123"/>
  <c r="H117"/>
  <c r="E117" s="1"/>
  <c r="H115"/>
  <c r="H113"/>
  <c r="H111"/>
  <c r="E111" s="1"/>
  <c r="H96"/>
  <c r="H94"/>
  <c r="H92"/>
  <c r="H90"/>
  <c r="H88"/>
  <c r="H78"/>
  <c r="H76"/>
  <c r="H71"/>
  <c r="H62"/>
  <c r="H47"/>
  <c r="H45"/>
  <c r="H43"/>
  <c r="H41"/>
  <c r="H39"/>
  <c r="H37"/>
  <c r="H35"/>
  <c r="H32"/>
  <c r="H30"/>
  <c r="H28"/>
  <c r="H26"/>
  <c r="H24"/>
  <c r="H22"/>
  <c r="H17"/>
  <c r="H15"/>
  <c r="H13"/>
  <c r="H180"/>
  <c r="H178"/>
  <c r="H175"/>
  <c r="H108"/>
  <c r="H106"/>
  <c r="H104"/>
  <c r="H102"/>
  <c r="H100"/>
  <c r="H98"/>
  <c r="H80"/>
  <c r="H74"/>
  <c r="H70"/>
  <c r="H68"/>
  <c r="H66"/>
  <c r="H64"/>
  <c r="H61"/>
  <c r="E61" s="1"/>
  <c r="H59"/>
  <c r="H57"/>
  <c r="H55"/>
  <c r="H53"/>
  <c r="H51"/>
  <c r="H49"/>
  <c r="H34"/>
  <c r="H19"/>
  <c r="H173"/>
  <c r="H164"/>
  <c r="H156"/>
  <c r="H148"/>
  <c r="H140"/>
  <c r="E140" s="1"/>
  <c r="H128"/>
  <c r="H118"/>
  <c r="E118" s="1"/>
  <c r="H110"/>
  <c r="E110" s="1"/>
  <c r="H93"/>
  <c r="H46"/>
  <c r="H38"/>
  <c r="H27"/>
  <c r="H16"/>
  <c r="H171"/>
  <c r="H162"/>
  <c r="H154"/>
  <c r="H146"/>
  <c r="H126"/>
  <c r="H116"/>
  <c r="H91"/>
  <c r="H44"/>
  <c r="H36"/>
  <c r="H33"/>
  <c r="H25"/>
  <c r="H14"/>
  <c r="H168"/>
  <c r="H160"/>
  <c r="E160" s="1"/>
  <c r="H152"/>
  <c r="H144"/>
  <c r="H132"/>
  <c r="H122"/>
  <c r="H114"/>
  <c r="H97"/>
  <c r="H89"/>
  <c r="H77"/>
  <c r="H73"/>
  <c r="H42"/>
  <c r="H31"/>
  <c r="H23"/>
  <c r="H150"/>
  <c r="H112"/>
  <c r="H21"/>
  <c r="H142"/>
  <c r="H95"/>
  <c r="H166"/>
  <c r="H130"/>
  <c r="H87"/>
  <c r="H40"/>
  <c r="H29"/>
  <c r="H158"/>
  <c r="AC7" i="47"/>
  <c r="AN7" i="22"/>
  <c r="AP7"/>
  <c r="Y48" i="9"/>
  <c r="Z48" s="1"/>
  <c r="AE51" i="11"/>
  <c r="AF51" s="1"/>
  <c r="AD7" i="47"/>
  <c r="D6" i="13"/>
  <c r="E6" s="1"/>
  <c r="J13" i="11"/>
  <c r="D6" i="12"/>
  <c r="E6" s="1"/>
  <c r="E17" i="9"/>
  <c r="D6" i="16"/>
  <c r="E6" s="1"/>
  <c r="E17" i="10"/>
  <c r="D6" i="15"/>
  <c r="E6" s="1"/>
  <c r="E13" i="11"/>
  <c r="AE7" i="47"/>
  <c r="O24" i="58" l="1"/>
  <c r="O133" s="1"/>
  <c r="X121" i="22"/>
  <c r="U121" s="1"/>
  <c r="R121" s="1"/>
  <c r="X134"/>
  <c r="D12" i="9"/>
  <c r="D12" i="63"/>
  <c r="D12" i="62"/>
  <c r="J10" i="11"/>
  <c r="X138" i="22"/>
  <c r="X139"/>
  <c r="X11"/>
  <c r="D10" i="11"/>
  <c r="D12" i="61"/>
  <c r="Y11" i="22"/>
  <c r="V11" s="1"/>
  <c r="S11" s="1"/>
  <c r="Y119"/>
  <c r="Y120"/>
  <c r="Y137"/>
  <c r="Y139"/>
  <c r="Y136"/>
  <c r="Y135"/>
  <c r="Y138"/>
  <c r="Y134"/>
  <c r="Y121"/>
  <c r="F110" i="55"/>
  <c r="F80"/>
  <c r="F104"/>
  <c r="F44"/>
  <c r="E121" i="21"/>
  <c r="E120"/>
  <c r="G137"/>
  <c r="G121"/>
  <c r="G10"/>
  <c r="O24" i="55"/>
  <c r="O133" s="1"/>
  <c r="D9" i="12" s="1"/>
  <c r="F109" i="55"/>
  <c r="F74"/>
  <c r="F105"/>
  <c r="F50"/>
  <c r="F111"/>
  <c r="F86"/>
  <c r="E135" i="21"/>
  <c r="E136"/>
  <c r="E138"/>
  <c r="E139"/>
  <c r="D5" i="12"/>
  <c r="E5" s="1"/>
  <c r="M12" i="47"/>
  <c r="G12" s="1"/>
  <c r="F80" i="58"/>
  <c r="F110"/>
  <c r="F104"/>
  <c r="F44"/>
  <c r="E11" i="21"/>
  <c r="G126"/>
  <c r="G138"/>
  <c r="G139"/>
  <c r="G12"/>
  <c r="F108" i="55"/>
  <c r="F68"/>
  <c r="X137" i="22"/>
  <c r="X136"/>
  <c r="X120"/>
  <c r="U120" s="1"/>
  <c r="E125" i="21"/>
  <c r="E126"/>
  <c r="F42" i="58"/>
  <c r="F40"/>
  <c r="F41"/>
  <c r="F43"/>
  <c r="F39"/>
  <c r="F106"/>
  <c r="F56"/>
  <c r="F107"/>
  <c r="F62"/>
  <c r="G120" i="21"/>
  <c r="G119"/>
  <c r="G134"/>
  <c r="G11"/>
  <c r="F42" i="55"/>
  <c r="F39"/>
  <c r="F40"/>
  <c r="F43"/>
  <c r="F41"/>
  <c r="F68" i="58"/>
  <c r="F108"/>
  <c r="E78" i="13"/>
  <c r="E80"/>
  <c r="D5"/>
  <c r="E5" s="1"/>
  <c r="O35" i="55"/>
  <c r="D8" i="12" s="1"/>
  <c r="F106" i="55"/>
  <c r="F56"/>
  <c r="F62"/>
  <c r="F107"/>
  <c r="G136" i="21"/>
  <c r="G135"/>
  <c r="G9"/>
  <c r="D9" s="1"/>
  <c r="O35" i="58"/>
  <c r="F109"/>
  <c r="F74"/>
  <c r="F105"/>
  <c r="F50"/>
  <c r="X135" i="22"/>
  <c r="F111" i="58"/>
  <c r="F86"/>
  <c r="N11" i="47"/>
  <c r="H11" s="1"/>
  <c r="N13"/>
  <c r="H13" s="1"/>
  <c r="N12"/>
  <c r="H12" s="1"/>
  <c r="M13"/>
  <c r="G13" s="1"/>
  <c r="E78" i="16"/>
  <c r="E80"/>
  <c r="M11" i="47"/>
  <c r="G11" s="1"/>
  <c r="J126" i="55"/>
  <c r="D62" i="12"/>
  <c r="J126" i="60"/>
  <c r="D62" i="15"/>
  <c r="M126" i="47"/>
  <c r="M137"/>
  <c r="M136"/>
  <c r="D5" i="15"/>
  <c r="E5" s="1"/>
  <c r="F49" i="60"/>
  <c r="F48"/>
  <c r="F45"/>
  <c r="F46"/>
  <c r="F47"/>
  <c r="O35"/>
  <c r="D8" i="15" s="1"/>
  <c r="F78" i="60"/>
  <c r="F75"/>
  <c r="F79"/>
  <c r="F76"/>
  <c r="F77"/>
  <c r="M135" i="47"/>
  <c r="M120"/>
  <c r="G120" s="1"/>
  <c r="N119"/>
  <c r="AH119" i="4" s="1"/>
  <c r="AC119" i="8" s="1"/>
  <c r="P119" s="1"/>
  <c r="N135" i="47"/>
  <c r="N137"/>
  <c r="AH137" i="4" s="1"/>
  <c r="N139" i="47"/>
  <c r="N121"/>
  <c r="AH121" i="4" s="1"/>
  <c r="AC121" i="8" s="1"/>
  <c r="P121" s="1"/>
  <c r="N136" i="47"/>
  <c r="N138"/>
  <c r="N120"/>
  <c r="H120" s="1"/>
  <c r="D12" i="10"/>
  <c r="O113" i="60"/>
  <c r="O134" s="1"/>
  <c r="D34" i="15" s="1"/>
  <c r="F52" i="60"/>
  <c r="F51"/>
  <c r="F54"/>
  <c r="F55"/>
  <c r="F53"/>
  <c r="F58"/>
  <c r="F59"/>
  <c r="F57"/>
  <c r="F60"/>
  <c r="F61"/>
  <c r="F91"/>
  <c r="F89"/>
  <c r="F88"/>
  <c r="F87"/>
  <c r="F90"/>
  <c r="M121" i="47"/>
  <c r="M119"/>
  <c r="AA119" i="4" s="1"/>
  <c r="Y119" i="8" s="1"/>
  <c r="D5" i="16"/>
  <c r="E5" s="1"/>
  <c r="F70" i="60"/>
  <c r="F69"/>
  <c r="F73"/>
  <c r="F72"/>
  <c r="F71"/>
  <c r="F43"/>
  <c r="F41"/>
  <c r="F39"/>
  <c r="F40"/>
  <c r="F42"/>
  <c r="L93"/>
  <c r="E14" i="15" s="1"/>
  <c r="O93" i="60"/>
  <c r="D14" i="15" s="1"/>
  <c r="F67" i="60"/>
  <c r="F66"/>
  <c r="F64"/>
  <c r="F63"/>
  <c r="F65"/>
  <c r="F81"/>
  <c r="F83"/>
  <c r="F85"/>
  <c r="F82"/>
  <c r="F84"/>
  <c r="M139" i="47"/>
  <c r="M138"/>
  <c r="I34" i="56"/>
  <c r="W132" i="8"/>
  <c r="K132" i="47" s="1"/>
  <c r="X132" i="8"/>
  <c r="K132" i="22" s="1"/>
  <c r="J126" i="58"/>
  <c r="L93" i="59"/>
  <c r="L93" i="54"/>
  <c r="L93" i="56"/>
  <c r="L85" i="59"/>
  <c r="L85" i="54"/>
  <c r="L85" i="56"/>
  <c r="L84" i="59"/>
  <c r="L84" i="54"/>
  <c r="L84" i="56"/>
  <c r="L92" i="59"/>
  <c r="L92" i="54"/>
  <c r="L92" i="56"/>
  <c r="L79" i="59"/>
  <c r="L79" i="54"/>
  <c r="L79" i="56"/>
  <c r="L80" i="59"/>
  <c r="L80" i="54"/>
  <c r="L80" i="56"/>
  <c r="L90" i="59"/>
  <c r="L90" i="56"/>
  <c r="L90" i="54"/>
  <c r="L82" i="59"/>
  <c r="L82" i="56"/>
  <c r="L82" i="54"/>
  <c r="L89" i="59"/>
  <c r="L89" i="54"/>
  <c r="L89" i="56"/>
  <c r="L78" i="59"/>
  <c r="L78" i="56"/>
  <c r="L78" i="54"/>
  <c r="L94" s="1"/>
  <c r="L91" i="59"/>
  <c r="L91" i="54"/>
  <c r="L91" i="56"/>
  <c r="L81" i="59"/>
  <c r="L81" i="54"/>
  <c r="L81" i="56"/>
  <c r="L86" i="59"/>
  <c r="L86" i="56"/>
  <c r="L86" i="54"/>
  <c r="L88" i="59"/>
  <c r="L88" i="54"/>
  <c r="L88" i="56"/>
  <c r="L83" i="59"/>
  <c r="L83" i="54"/>
  <c r="L83" i="56"/>
  <c r="L87" i="59"/>
  <c r="L87" i="54"/>
  <c r="L87" i="56"/>
  <c r="J121" i="60"/>
  <c r="J127" s="1"/>
  <c r="J121" i="58"/>
  <c r="J127" s="1"/>
  <c r="J121" i="55"/>
  <c r="J127" s="1"/>
  <c r="L123" i="58"/>
  <c r="M31" i="47"/>
  <c r="AA31" i="4" s="1"/>
  <c r="Y31" i="8" s="1"/>
  <c r="M90" i="47"/>
  <c r="AA90" i="4" s="1"/>
  <c r="Y90" i="8" s="1"/>
  <c r="M77" i="47"/>
  <c r="G77" s="1"/>
  <c r="M114"/>
  <c r="M128"/>
  <c r="M131"/>
  <c r="M106"/>
  <c r="M69"/>
  <c r="G69" s="1"/>
  <c r="M88"/>
  <c r="M45"/>
  <c r="M22"/>
  <c r="M180"/>
  <c r="G180" s="1"/>
  <c r="M164"/>
  <c r="AA164" i="4" s="1"/>
  <c r="Y164" i="8" s="1"/>
  <c r="M129" i="47"/>
  <c r="M42"/>
  <c r="G42" s="1"/>
  <c r="M171"/>
  <c r="M55"/>
  <c r="G55" s="1"/>
  <c r="M39"/>
  <c r="AA39" i="4" s="1"/>
  <c r="Y39" i="8" s="1"/>
  <c r="M9" i="47"/>
  <c r="AA9" i="4" s="1"/>
  <c r="Y9" i="8" s="1"/>
  <c r="M161" i="47"/>
  <c r="AA161" i="4" s="1"/>
  <c r="Y161" i="8" s="1"/>
  <c r="M38" i="47"/>
  <c r="M163"/>
  <c r="M173"/>
  <c r="M107"/>
  <c r="M20"/>
  <c r="AA20" i="4" s="1"/>
  <c r="Y20" i="8" s="1"/>
  <c r="M53" i="47"/>
  <c r="AA53" i="4" s="1"/>
  <c r="Y53" i="8" s="1"/>
  <c r="M75" i="47"/>
  <c r="AA75" i="4" s="1"/>
  <c r="Y75" i="8" s="1"/>
  <c r="M127" i="47"/>
  <c r="M178"/>
  <c r="AA178" i="4" s="1"/>
  <c r="Y178" i="8" s="1"/>
  <c r="M37" i="47"/>
  <c r="G37" s="1"/>
  <c r="M72"/>
  <c r="M104"/>
  <c r="M162"/>
  <c r="M113"/>
  <c r="G113" s="1"/>
  <c r="M29"/>
  <c r="G29" s="1"/>
  <c r="M65"/>
  <c r="M124"/>
  <c r="AA124" i="4" s="1"/>
  <c r="Y124" i="8" s="1"/>
  <c r="M179" i="47"/>
  <c r="M83"/>
  <c r="M36"/>
  <c r="G36" s="1"/>
  <c r="M95"/>
  <c r="G95" s="1"/>
  <c r="M105"/>
  <c r="G105" s="1"/>
  <c r="M49"/>
  <c r="M175"/>
  <c r="M28"/>
  <c r="M61"/>
  <c r="AA61" i="4" s="1"/>
  <c r="Y61" i="8" s="1"/>
  <c r="M110" i="47"/>
  <c r="M147"/>
  <c r="M14"/>
  <c r="AA14" i="4" s="1"/>
  <c r="Y14" i="8" s="1"/>
  <c r="M48" i="47"/>
  <c r="AA48" i="4" s="1"/>
  <c r="Y48" i="8" s="1"/>
  <c r="M96" i="47"/>
  <c r="M141"/>
  <c r="AA141" i="4" s="1"/>
  <c r="Y141" i="8" s="1"/>
  <c r="M170" i="47"/>
  <c r="AA170" i="4" s="1"/>
  <c r="Y170" i="8" s="1"/>
  <c r="M21" i="47"/>
  <c r="AA21" i="4" s="1"/>
  <c r="Y21" i="8" s="1"/>
  <c r="M56" i="47"/>
  <c r="G56" s="1"/>
  <c r="M78"/>
  <c r="G78" s="1"/>
  <c r="M148"/>
  <c r="M87"/>
  <c r="G87" s="1"/>
  <c r="M133"/>
  <c r="AA126" i="4"/>
  <c r="Y126" i="8" s="1"/>
  <c r="L126" s="1"/>
  <c r="M101" i="47"/>
  <c r="G101" s="1"/>
  <c r="M103"/>
  <c r="G103" s="1"/>
  <c r="M140"/>
  <c r="AA140" i="4" s="1"/>
  <c r="Y140" i="8" s="1"/>
  <c r="M70" i="47"/>
  <c r="G70" s="1"/>
  <c r="AA10" i="4"/>
  <c r="Y10" i="8" s="1"/>
  <c r="M30" i="47"/>
  <c r="G30" s="1"/>
  <c r="M63"/>
  <c r="AA63" i="4" s="1"/>
  <c r="Y63" i="8" s="1"/>
  <c r="M112" i="47"/>
  <c r="AA112" i="4" s="1"/>
  <c r="Y112" i="8" s="1"/>
  <c r="M149" i="47"/>
  <c r="G149" s="1"/>
  <c r="M17"/>
  <c r="G17" s="1"/>
  <c r="M50"/>
  <c r="M98"/>
  <c r="AA98" i="4" s="1"/>
  <c r="Y98" i="8" s="1"/>
  <c r="M156" i="47"/>
  <c r="G156" s="1"/>
  <c r="M172"/>
  <c r="M23"/>
  <c r="G23" s="1"/>
  <c r="M58"/>
  <c r="AA58" i="4" s="1"/>
  <c r="Y58" i="8" s="1"/>
  <c r="M111" i="47"/>
  <c r="M150"/>
  <c r="M43"/>
  <c r="G43" s="1"/>
  <c r="M40"/>
  <c r="M134"/>
  <c r="M122"/>
  <c r="G122" s="1"/>
  <c r="N125"/>
  <c r="H125" s="1"/>
  <c r="N128"/>
  <c r="H128" s="1"/>
  <c r="N130"/>
  <c r="H130" s="1"/>
  <c r="N129"/>
  <c r="H129" s="1"/>
  <c r="N41"/>
  <c r="H41" s="1"/>
  <c r="N127"/>
  <c r="H127" s="1"/>
  <c r="N40"/>
  <c r="H40" s="1"/>
  <c r="N126"/>
  <c r="AH126" i="4" s="1"/>
  <c r="AC126" i="8" s="1"/>
  <c r="P126" s="1"/>
  <c r="N42" i="47"/>
  <c r="H42" s="1"/>
  <c r="N131"/>
  <c r="H131" s="1"/>
  <c r="N87"/>
  <c r="H87" s="1"/>
  <c r="N124"/>
  <c r="AH124" i="4" s="1"/>
  <c r="AC124" i="8" s="1"/>
  <c r="P124" s="1"/>
  <c r="N88" i="47"/>
  <c r="H88" s="1"/>
  <c r="N89"/>
  <c r="H89" s="1"/>
  <c r="N43"/>
  <c r="H43" s="1"/>
  <c r="N154"/>
  <c r="H154" s="1"/>
  <c r="N180"/>
  <c r="H180" s="1"/>
  <c r="N178"/>
  <c r="AH178" i="4" s="1"/>
  <c r="AC178" i="8" s="1"/>
  <c r="P178" s="1"/>
  <c r="N176" i="47"/>
  <c r="H176" s="1"/>
  <c r="N174"/>
  <c r="AH174" i="4" s="1"/>
  <c r="AC174" i="8" s="1"/>
  <c r="P174" s="1"/>
  <c r="N172" i="47"/>
  <c r="H172" s="1"/>
  <c r="N170"/>
  <c r="AH170" i="4" s="1"/>
  <c r="AC170" i="8" s="1"/>
  <c r="P170" s="1"/>
  <c r="N168" i="47"/>
  <c r="H168" s="1"/>
  <c r="N166"/>
  <c r="H166" s="1"/>
  <c r="N164"/>
  <c r="AH164" i="4" s="1"/>
  <c r="AC164" i="8" s="1"/>
  <c r="P164" s="1"/>
  <c r="N162" i="47"/>
  <c r="H162" s="1"/>
  <c r="N160"/>
  <c r="H160" s="1"/>
  <c r="N158"/>
  <c r="H158" s="1"/>
  <c r="N156"/>
  <c r="H156" s="1"/>
  <c r="N141"/>
  <c r="AH141" i="4" s="1"/>
  <c r="AC141" i="8" s="1"/>
  <c r="P141" s="1"/>
  <c r="N132" i="47"/>
  <c r="H132" s="1"/>
  <c r="N111"/>
  <c r="H111" s="1"/>
  <c r="N109"/>
  <c r="H109" s="1"/>
  <c r="N107"/>
  <c r="H107" s="1"/>
  <c r="N105"/>
  <c r="H105" s="1"/>
  <c r="N103"/>
  <c r="H103" s="1"/>
  <c r="N101"/>
  <c r="H101" s="1"/>
  <c r="N99"/>
  <c r="H99" s="1"/>
  <c r="N94"/>
  <c r="H94" s="1"/>
  <c r="N92"/>
  <c r="H92" s="1"/>
  <c r="N90"/>
  <c r="AH90" i="4" s="1"/>
  <c r="AC90" i="8" s="1"/>
  <c r="P90" s="1"/>
  <c r="N74" i="47"/>
  <c r="H74" s="1"/>
  <c r="N72"/>
  <c r="H72" s="1"/>
  <c r="N70"/>
  <c r="H70" s="1"/>
  <c r="N68"/>
  <c r="H68" s="1"/>
  <c r="N66"/>
  <c r="H66" s="1"/>
  <c r="N64"/>
  <c r="H64" s="1"/>
  <c r="N45"/>
  <c r="H45" s="1"/>
  <c r="N32"/>
  <c r="H32" s="1"/>
  <c r="N30"/>
  <c r="H30" s="1"/>
  <c r="N28"/>
  <c r="H28" s="1"/>
  <c r="N26"/>
  <c r="H26" s="1"/>
  <c r="N24"/>
  <c r="H24" s="1"/>
  <c r="N22"/>
  <c r="H22" s="1"/>
  <c r="N19"/>
  <c r="H19" s="1"/>
  <c r="N15"/>
  <c r="H15" s="1"/>
  <c r="AH11" i="4"/>
  <c r="AC11" i="8" s="1"/>
  <c r="P11" s="1"/>
  <c r="N134" i="47"/>
  <c r="AH134" i="4" s="1"/>
  <c r="N122" i="47"/>
  <c r="H122" s="1"/>
  <c r="N114"/>
  <c r="H114" s="1"/>
  <c r="N153"/>
  <c r="AH153" i="4" s="1"/>
  <c r="AC153" i="8" s="1"/>
  <c r="P153" s="1"/>
  <c r="N151" i="47"/>
  <c r="H151" s="1"/>
  <c r="N149"/>
  <c r="H149" s="1"/>
  <c r="N147"/>
  <c r="H147" s="1"/>
  <c r="N145"/>
  <c r="H145" s="1"/>
  <c r="N143"/>
  <c r="AH143" i="4" s="1"/>
  <c r="AC143" i="8" s="1"/>
  <c r="P143" s="1"/>
  <c r="N118" i="47"/>
  <c r="H118" s="1"/>
  <c r="N116"/>
  <c r="H116" s="1"/>
  <c r="N86"/>
  <c r="AH86" i="4" s="1"/>
  <c r="AC86" i="8" s="1"/>
  <c r="P86" s="1"/>
  <c r="N84" i="47"/>
  <c r="H84" s="1"/>
  <c r="N82"/>
  <c r="H82" s="1"/>
  <c r="N80"/>
  <c r="H80" s="1"/>
  <c r="N78"/>
  <c r="H78" s="1"/>
  <c r="N76"/>
  <c r="AH76" i="4" s="1"/>
  <c r="AC76" i="8" s="1"/>
  <c r="P76" s="1"/>
  <c r="N61" i="47"/>
  <c r="H61" s="1"/>
  <c r="N59"/>
  <c r="H59" s="1"/>
  <c r="N57"/>
  <c r="H57" s="1"/>
  <c r="N55"/>
  <c r="H55" s="1"/>
  <c r="N53"/>
  <c r="AH53" i="4" s="1"/>
  <c r="AC53" i="8" s="1"/>
  <c r="N51" i="47"/>
  <c r="H51" s="1"/>
  <c r="N49"/>
  <c r="H49" s="1"/>
  <c r="N38"/>
  <c r="H38" s="1"/>
  <c r="N36"/>
  <c r="H36" s="1"/>
  <c r="N18"/>
  <c r="H18" s="1"/>
  <c r="N14"/>
  <c r="AH14" i="4" s="1"/>
  <c r="AC14" i="8" s="1"/>
  <c r="N142" i="47"/>
  <c r="H142" s="1"/>
  <c r="N179"/>
  <c r="H179" s="1"/>
  <c r="N177"/>
  <c r="H177" s="1"/>
  <c r="N175"/>
  <c r="H175" s="1"/>
  <c r="N173"/>
  <c r="H173" s="1"/>
  <c r="N171"/>
  <c r="H171" s="1"/>
  <c r="N169"/>
  <c r="AH169" i="4" s="1"/>
  <c r="AC169" i="8" s="1"/>
  <c r="P169" s="1"/>
  <c r="N167" i="47"/>
  <c r="H167" s="1"/>
  <c r="N165"/>
  <c r="H165" s="1"/>
  <c r="N163"/>
  <c r="H163" s="1"/>
  <c r="N161"/>
  <c r="AH161" i="4" s="1"/>
  <c r="AC161" i="8" s="1"/>
  <c r="P161" s="1"/>
  <c r="N159" i="47"/>
  <c r="H159" s="1"/>
  <c r="N157"/>
  <c r="H157" s="1"/>
  <c r="N155"/>
  <c r="AH155" i="4" s="1"/>
  <c r="AC155" i="8" s="1"/>
  <c r="P155" s="1"/>
  <c r="N140" i="47"/>
  <c r="H140" s="1"/>
  <c r="N133"/>
  <c r="N112"/>
  <c r="AH112" i="4" s="1"/>
  <c r="AC112" i="8" s="1"/>
  <c r="P112" s="1"/>
  <c r="N110" i="47"/>
  <c r="H110" s="1"/>
  <c r="N108"/>
  <c r="H108" s="1"/>
  <c r="N106"/>
  <c r="H106" s="1"/>
  <c r="N104"/>
  <c r="H104" s="1"/>
  <c r="N102"/>
  <c r="AH102" i="4" s="1"/>
  <c r="AC102" i="8" s="1"/>
  <c r="P102" s="1"/>
  <c r="N100" i="47"/>
  <c r="H100" s="1"/>
  <c r="N98"/>
  <c r="AH98" i="4" s="1"/>
  <c r="AC98" i="8" s="1"/>
  <c r="N95" i="47"/>
  <c r="H95" s="1"/>
  <c r="N93"/>
  <c r="H93" s="1"/>
  <c r="N91"/>
  <c r="H91" s="1"/>
  <c r="N73"/>
  <c r="H73" s="1"/>
  <c r="N71"/>
  <c r="AH71" i="4" s="1"/>
  <c r="AC71" i="8" s="1"/>
  <c r="P71" s="1"/>
  <c r="N69" i="47"/>
  <c r="H69" s="1"/>
  <c r="N67"/>
  <c r="AH67" i="4" s="1"/>
  <c r="AC67" i="8" s="1"/>
  <c r="N65" i="47"/>
  <c r="H65" s="1"/>
  <c r="N63"/>
  <c r="AH63" i="4" s="1"/>
  <c r="AC63" i="8" s="1"/>
  <c r="N46" i="47"/>
  <c r="H46" s="1"/>
  <c r="N44"/>
  <c r="H44" s="1"/>
  <c r="J43" s="1"/>
  <c r="N33"/>
  <c r="H33" s="1"/>
  <c r="N31"/>
  <c r="AH31" i="4" s="1"/>
  <c r="AC31" i="8" s="1"/>
  <c r="P31" s="1"/>
  <c r="N29" i="47"/>
  <c r="H29" s="1"/>
  <c r="N27"/>
  <c r="H27" s="1"/>
  <c r="N25"/>
  <c r="H25" s="1"/>
  <c r="N23"/>
  <c r="H23" s="1"/>
  <c r="N21"/>
  <c r="AH21" i="4" s="1"/>
  <c r="AC21" i="8" s="1"/>
  <c r="N17" i="47"/>
  <c r="H17" s="1"/>
  <c r="N150"/>
  <c r="H150" s="1"/>
  <c r="N81"/>
  <c r="H81" s="1"/>
  <c r="N58"/>
  <c r="AH58" i="4" s="1"/>
  <c r="AC58" i="8" s="1"/>
  <c r="P58" s="1"/>
  <c r="N50" i="47"/>
  <c r="H50" s="1"/>
  <c r="N148"/>
  <c r="H148" s="1"/>
  <c r="N79"/>
  <c r="AH79" i="4" s="1"/>
  <c r="AC79" i="8" s="1"/>
  <c r="P79" s="1"/>
  <c r="N56" i="47"/>
  <c r="H56" s="1"/>
  <c r="N48"/>
  <c r="AH48" i="4" s="1"/>
  <c r="AC48" i="8" s="1"/>
  <c r="N39" i="47"/>
  <c r="AH39" i="4" s="1"/>
  <c r="AC39" i="8" s="1"/>
  <c r="N9" i="47"/>
  <c r="AH9" i="4" s="1"/>
  <c r="AC9" i="8" s="1"/>
  <c r="N146" i="47"/>
  <c r="AH146" i="4" s="1"/>
  <c r="AC146" i="8" s="1"/>
  <c r="P146" s="1"/>
  <c r="N117" i="47"/>
  <c r="H117" s="1"/>
  <c r="N85"/>
  <c r="H85" s="1"/>
  <c r="N77"/>
  <c r="H77" s="1"/>
  <c r="J76" s="1"/>
  <c r="N54"/>
  <c r="H54" s="1"/>
  <c r="N37"/>
  <c r="H37" s="1"/>
  <c r="N16"/>
  <c r="H16" s="1"/>
  <c r="N52"/>
  <c r="H52" s="1"/>
  <c r="N113"/>
  <c r="H113" s="1"/>
  <c r="N152"/>
  <c r="H152" s="1"/>
  <c r="N144"/>
  <c r="H144" s="1"/>
  <c r="J143" s="1"/>
  <c r="N60"/>
  <c r="H60" s="1"/>
  <c r="N83"/>
  <c r="H83" s="1"/>
  <c r="N123"/>
  <c r="H123" s="1"/>
  <c r="N35"/>
  <c r="AH35" i="4" s="1"/>
  <c r="AC35" i="8" s="1"/>
  <c r="E18" i="21"/>
  <c r="E15"/>
  <c r="E19"/>
  <c r="E16"/>
  <c r="E17"/>
  <c r="E23"/>
  <c r="E25"/>
  <c r="E29"/>
  <c r="E26"/>
  <c r="E30"/>
  <c r="E22"/>
  <c r="E27"/>
  <c r="E32"/>
  <c r="E33"/>
  <c r="E24"/>
  <c r="E28"/>
  <c r="E177"/>
  <c r="E172"/>
  <c r="E179"/>
  <c r="E173"/>
  <c r="E180"/>
  <c r="E175"/>
  <c r="E171"/>
  <c r="E176"/>
  <c r="AA6" i="4"/>
  <c r="AI6" i="8"/>
  <c r="E113" i="21"/>
  <c r="E114"/>
  <c r="E52"/>
  <c r="E57"/>
  <c r="E49"/>
  <c r="E54"/>
  <c r="E59"/>
  <c r="E50"/>
  <c r="E55"/>
  <c r="E60"/>
  <c r="E51"/>
  <c r="E56"/>
  <c r="E156"/>
  <c r="E157"/>
  <c r="E158"/>
  <c r="E154"/>
  <c r="E162"/>
  <c r="E163"/>
  <c r="M118" i="47"/>
  <c r="AA118" i="4" s="1"/>
  <c r="Y118" i="8" s="1"/>
  <c r="L118" s="1"/>
  <c r="M93" i="47"/>
  <c r="G93" s="1"/>
  <c r="M123"/>
  <c r="G123" s="1"/>
  <c r="M66"/>
  <c r="G66" s="1"/>
  <c r="M132"/>
  <c r="M47"/>
  <c r="AA47" i="4" s="1"/>
  <c r="Y47" i="8" s="1"/>
  <c r="M157" i="47"/>
  <c r="G157" s="1"/>
  <c r="M15"/>
  <c r="G15" s="1"/>
  <c r="M91"/>
  <c r="G91" s="1"/>
  <c r="M159"/>
  <c r="AA159" i="4" s="1"/>
  <c r="Y159" i="8" s="1"/>
  <c r="M24" i="47"/>
  <c r="G24" s="1"/>
  <c r="M33"/>
  <c r="G33" s="1"/>
  <c r="M57"/>
  <c r="G57" s="1"/>
  <c r="M67"/>
  <c r="AA67" i="4" s="1"/>
  <c r="Y67" i="8" s="1"/>
  <c r="M79" i="47"/>
  <c r="AA79" i="4" s="1"/>
  <c r="Y79" i="8" s="1"/>
  <c r="M115" i="47"/>
  <c r="G115" s="1"/>
  <c r="M143"/>
  <c r="AA143" i="4" s="1"/>
  <c r="Y143" i="8" s="1"/>
  <c r="M151" i="47"/>
  <c r="G151" s="1"/>
  <c r="M154"/>
  <c r="G154" s="1"/>
  <c r="M32"/>
  <c r="G32" s="1"/>
  <c r="I31" s="1"/>
  <c r="M44"/>
  <c r="G44" s="1"/>
  <c r="M64"/>
  <c r="G64" s="1"/>
  <c r="M92"/>
  <c r="G92" s="1"/>
  <c r="M100"/>
  <c r="G100" s="1"/>
  <c r="M108"/>
  <c r="G108" s="1"/>
  <c r="M158"/>
  <c r="G158" s="1"/>
  <c r="M166"/>
  <c r="G166" s="1"/>
  <c r="M174"/>
  <c r="AA174" i="4" s="1"/>
  <c r="Y174" i="8" s="1"/>
  <c r="AA11" i="4"/>
  <c r="Y11" i="8" s="1"/>
  <c r="M25" i="47"/>
  <c r="G25" s="1"/>
  <c r="M52"/>
  <c r="G52" s="1"/>
  <c r="M60"/>
  <c r="G60" s="1"/>
  <c r="M73"/>
  <c r="G73" s="1"/>
  <c r="M116"/>
  <c r="AA116" i="4" s="1"/>
  <c r="Y116" i="8" s="1"/>
  <c r="M144" i="47"/>
  <c r="G144" s="1"/>
  <c r="M152"/>
  <c r="G152" s="1"/>
  <c r="M142"/>
  <c r="G142" s="1"/>
  <c r="M89"/>
  <c r="G89" s="1"/>
  <c r="M84"/>
  <c r="G84" s="1"/>
  <c r="M85"/>
  <c r="G85" s="1"/>
  <c r="M109"/>
  <c r="AA109" i="4" s="1"/>
  <c r="Y109" i="8" s="1"/>
  <c r="E103" i="21"/>
  <c r="E107"/>
  <c r="E99"/>
  <c r="E104"/>
  <c r="E108"/>
  <c r="E100"/>
  <c r="E105"/>
  <c r="E101"/>
  <c r="E106"/>
  <c r="E42"/>
  <c r="E40"/>
  <c r="E46"/>
  <c r="E36"/>
  <c r="E41"/>
  <c r="E37"/>
  <c r="E44"/>
  <c r="E38"/>
  <c r="E45"/>
  <c r="E65"/>
  <c r="E70"/>
  <c r="E74"/>
  <c r="E66"/>
  <c r="E73"/>
  <c r="E68"/>
  <c r="E72"/>
  <c r="E69"/>
  <c r="E64"/>
  <c r="E168"/>
  <c r="E165"/>
  <c r="E166"/>
  <c r="E167"/>
  <c r="Y43" i="22"/>
  <c r="Y109"/>
  <c r="V109" s="1"/>
  <c r="S109" s="1"/>
  <c r="Y177"/>
  <c r="Y173"/>
  <c r="Y169"/>
  <c r="Y165"/>
  <c r="Y161"/>
  <c r="Y157"/>
  <c r="Y153"/>
  <c r="Y149"/>
  <c r="Y145"/>
  <c r="Y141"/>
  <c r="Y133"/>
  <c r="Y129"/>
  <c r="Y125"/>
  <c r="Y117"/>
  <c r="V117" s="1"/>
  <c r="S117" s="1"/>
  <c r="Y113"/>
  <c r="Y44"/>
  <c r="Y54"/>
  <c r="Y56"/>
  <c r="Y58"/>
  <c r="Y12"/>
  <c r="Y14"/>
  <c r="Y23"/>
  <c r="Y25"/>
  <c r="Y27"/>
  <c r="Y29"/>
  <c r="Y31"/>
  <c r="Y178"/>
  <c r="Y172"/>
  <c r="Y167"/>
  <c r="Y162"/>
  <c r="Y156"/>
  <c r="Y151"/>
  <c r="Y146"/>
  <c r="Y140"/>
  <c r="V140" s="1"/>
  <c r="S140" s="1"/>
  <c r="Y131"/>
  <c r="Y126"/>
  <c r="Y115"/>
  <c r="Y110"/>
  <c r="V110" s="1"/>
  <c r="S110" s="1"/>
  <c r="Y37"/>
  <c r="Y39"/>
  <c r="Y45"/>
  <c r="Y53"/>
  <c r="Y15"/>
  <c r="Y26"/>
  <c r="Y32"/>
  <c r="Y9"/>
  <c r="V9" s="1"/>
  <c r="S9" s="1"/>
  <c r="Y46"/>
  <c r="V46" s="1"/>
  <c r="S46" s="1"/>
  <c r="Y180"/>
  <c r="Y175"/>
  <c r="Y170"/>
  <c r="Y164"/>
  <c r="Y159"/>
  <c r="V159" s="1"/>
  <c r="S159" s="1"/>
  <c r="Y154"/>
  <c r="Y148"/>
  <c r="Y143"/>
  <c r="Y128"/>
  <c r="Y123"/>
  <c r="Y118"/>
  <c r="V118" s="1"/>
  <c r="S118" s="1"/>
  <c r="Y112"/>
  <c r="Y36"/>
  <c r="Y38"/>
  <c r="Y49"/>
  <c r="Y52"/>
  <c r="Y55"/>
  <c r="Y13"/>
  <c r="Y16"/>
  <c r="Y19"/>
  <c r="V19" s="1"/>
  <c r="S19" s="1"/>
  <c r="Y22"/>
  <c r="Y30"/>
  <c r="V30" s="1"/>
  <c r="S30" s="1"/>
  <c r="Y33"/>
  <c r="Y171"/>
  <c r="Y160"/>
  <c r="V160" s="1"/>
  <c r="S160" s="1"/>
  <c r="Y150"/>
  <c r="Y124"/>
  <c r="Y114"/>
  <c r="Y50"/>
  <c r="Y17"/>
  <c r="Y28"/>
  <c r="Y174"/>
  <c r="Y163"/>
  <c r="Y152"/>
  <c r="Y142"/>
  <c r="Y127"/>
  <c r="Y116"/>
  <c r="Y42"/>
  <c r="Y48"/>
  <c r="Y60"/>
  <c r="Y21"/>
  <c r="Y168"/>
  <c r="Y147"/>
  <c r="Y122"/>
  <c r="Y176"/>
  <c r="Y155"/>
  <c r="Y130"/>
  <c r="Y35"/>
  <c r="Y41"/>
  <c r="Y51"/>
  <c r="Y24"/>
  <c r="Y158"/>
  <c r="Y111"/>
  <c r="V111" s="1"/>
  <c r="S111" s="1"/>
  <c r="Q111" s="1"/>
  <c r="Y144"/>
  <c r="Y57"/>
  <c r="Y179"/>
  <c r="Y132"/>
  <c r="Y40"/>
  <c r="Y59"/>
  <c r="Y166"/>
  <c r="Y18"/>
  <c r="Y96"/>
  <c r="Y95"/>
  <c r="Y94"/>
  <c r="Y93"/>
  <c r="Y92"/>
  <c r="Y91"/>
  <c r="Y90"/>
  <c r="Y86"/>
  <c r="Y85"/>
  <c r="Y74"/>
  <c r="Y73"/>
  <c r="Y72"/>
  <c r="Y71"/>
  <c r="Y70"/>
  <c r="Y69"/>
  <c r="Y68"/>
  <c r="Y67"/>
  <c r="Y66"/>
  <c r="Y65"/>
  <c r="Y64"/>
  <c r="Y63"/>
  <c r="Y108"/>
  <c r="Y107"/>
  <c r="Y106"/>
  <c r="Y105"/>
  <c r="Y104"/>
  <c r="Y103"/>
  <c r="Y102"/>
  <c r="Y101"/>
  <c r="V101" s="1"/>
  <c r="S101" s="1"/>
  <c r="Y100"/>
  <c r="Y99"/>
  <c r="Y98"/>
  <c r="Y89"/>
  <c r="Y84"/>
  <c r="Y83"/>
  <c r="Y82"/>
  <c r="Y81"/>
  <c r="Y80"/>
  <c r="Y79"/>
  <c r="Y78"/>
  <c r="Y77"/>
  <c r="Y76"/>
  <c r="Y88"/>
  <c r="Y87"/>
  <c r="Y61"/>
  <c r="V61" s="1"/>
  <c r="S61" s="1"/>
  <c r="M125" i="47"/>
  <c r="AA125" i="4" s="1"/>
  <c r="Y125" i="8" s="1"/>
  <c r="L125" s="1"/>
  <c r="M169" i="47"/>
  <c r="AA169" i="4" s="1"/>
  <c r="Y169" i="8" s="1"/>
  <c r="M19" i="47"/>
  <c r="G19" s="1"/>
  <c r="M74"/>
  <c r="G74" s="1"/>
  <c r="M155"/>
  <c r="AA155" i="4" s="1"/>
  <c r="Y155" i="8" s="1"/>
  <c r="M97" i="47"/>
  <c r="AA97" i="4" s="1"/>
  <c r="Y97" i="8" s="1"/>
  <c r="M165" i="47"/>
  <c r="G165" s="1"/>
  <c r="M34"/>
  <c r="AA34" i="4" s="1"/>
  <c r="Y34" i="8" s="1"/>
  <c r="M99" i="47"/>
  <c r="G99" s="1"/>
  <c r="I98" s="1"/>
  <c r="M167"/>
  <c r="G167" s="1"/>
  <c r="M16"/>
  <c r="G16" s="1"/>
  <c r="M26"/>
  <c r="G26" s="1"/>
  <c r="M51"/>
  <c r="G51" s="1"/>
  <c r="M59"/>
  <c r="G59" s="1"/>
  <c r="I58" s="1"/>
  <c r="M71"/>
  <c r="AA71" i="4" s="1"/>
  <c r="Y71" i="8" s="1"/>
  <c r="M86" i="47"/>
  <c r="AA86" i="4" s="1"/>
  <c r="Y86" i="8" s="1"/>
  <c r="M117" i="47"/>
  <c r="AA117" i="4" s="1"/>
  <c r="Y117" i="8" s="1"/>
  <c r="M145" i="47"/>
  <c r="G145" s="1"/>
  <c r="M153"/>
  <c r="AA153" i="4" s="1"/>
  <c r="Y153" i="8" s="1"/>
  <c r="AA121" i="4"/>
  <c r="Y121" i="8" s="1"/>
  <c r="L121" s="1"/>
  <c r="M35" i="47"/>
  <c r="AA35" i="4" s="1"/>
  <c r="Y35" i="8" s="1"/>
  <c r="M46" i="47"/>
  <c r="G46" s="1"/>
  <c r="M68"/>
  <c r="G68" s="1"/>
  <c r="M94"/>
  <c r="G94" s="1"/>
  <c r="M102"/>
  <c r="AA102" i="4" s="1"/>
  <c r="Y102" i="8" s="1"/>
  <c r="M130" i="47"/>
  <c r="G130" s="1"/>
  <c r="M160"/>
  <c r="AA160" i="4" s="1"/>
  <c r="Y160" i="8" s="1"/>
  <c r="M168" i="47"/>
  <c r="G168" s="1"/>
  <c r="M177"/>
  <c r="G177" s="1"/>
  <c r="M18"/>
  <c r="G18" s="1"/>
  <c r="M27"/>
  <c r="G27" s="1"/>
  <c r="M54"/>
  <c r="G54" s="1"/>
  <c r="M62"/>
  <c r="AA62" i="4" s="1"/>
  <c r="Y62" i="8" s="1"/>
  <c r="M76" i="47"/>
  <c r="AA76" i="4" s="1"/>
  <c r="Y76" i="8" s="1"/>
  <c r="M146" i="47"/>
  <c r="AA146" i="4" s="1"/>
  <c r="Y146" i="8" s="1"/>
  <c r="M176" i="47"/>
  <c r="G176" s="1"/>
  <c r="M82"/>
  <c r="G82" s="1"/>
  <c r="M80"/>
  <c r="G80" s="1"/>
  <c r="M81"/>
  <c r="G81" s="1"/>
  <c r="M41"/>
  <c r="G41" s="1"/>
  <c r="AL6" i="8"/>
  <c r="AH6"/>
  <c r="E148" i="21"/>
  <c r="S148" i="22" s="1"/>
  <c r="E150" i="21"/>
  <c r="E151"/>
  <c r="E147"/>
  <c r="E152"/>
  <c r="E149"/>
  <c r="E123"/>
  <c r="E122"/>
  <c r="E145"/>
  <c r="E142"/>
  <c r="E144"/>
  <c r="E82"/>
  <c r="E85"/>
  <c r="E83"/>
  <c r="E81"/>
  <c r="E84"/>
  <c r="E78"/>
  <c r="E89"/>
  <c r="E94"/>
  <c r="E80"/>
  <c r="E91"/>
  <c r="E95"/>
  <c r="E87"/>
  <c r="E92"/>
  <c r="E88"/>
  <c r="E93"/>
  <c r="E77"/>
  <c r="L93" i="55" l="1"/>
  <c r="E14" i="12" s="1"/>
  <c r="L93" i="58"/>
  <c r="O93" i="55"/>
  <c r="D14" i="12" s="1"/>
  <c r="E124" i="21"/>
  <c r="O113" i="58"/>
  <c r="O134" s="1"/>
  <c r="E133" i="21"/>
  <c r="O113" i="55"/>
  <c r="O134" s="1"/>
  <c r="D34" i="12" s="1"/>
  <c r="E79" i="16"/>
  <c r="U119" i="22"/>
  <c r="R120"/>
  <c r="P119" s="1"/>
  <c r="F79" i="58"/>
  <c r="F76"/>
  <c r="F77"/>
  <c r="F75"/>
  <c r="F78"/>
  <c r="F59"/>
  <c r="F57"/>
  <c r="F58"/>
  <c r="F61"/>
  <c r="F60"/>
  <c r="F89" i="55"/>
  <c r="F87"/>
  <c r="F90"/>
  <c r="F91"/>
  <c r="F88"/>
  <c r="F79"/>
  <c r="F76"/>
  <c r="F77"/>
  <c r="F75"/>
  <c r="F78"/>
  <c r="F46"/>
  <c r="F49"/>
  <c r="F47"/>
  <c r="F48"/>
  <c r="F45"/>
  <c r="V121" i="22"/>
  <c r="S121" s="1"/>
  <c r="V120"/>
  <c r="E79" i="13"/>
  <c r="E10" i="21"/>
  <c r="F83" i="58"/>
  <c r="F81"/>
  <c r="F82"/>
  <c r="F85"/>
  <c r="F84"/>
  <c r="V139" i="22"/>
  <c r="S139" s="1"/>
  <c r="V135"/>
  <c r="V138"/>
  <c r="S138" s="1"/>
  <c r="V136"/>
  <c r="S136" s="1"/>
  <c r="F87" i="58"/>
  <c r="F90"/>
  <c r="F91"/>
  <c r="F88"/>
  <c r="F89"/>
  <c r="F63" i="55"/>
  <c r="F64"/>
  <c r="F66"/>
  <c r="F67"/>
  <c r="F65"/>
  <c r="D11" i="21"/>
  <c r="V125" i="22"/>
  <c r="V126"/>
  <c r="S126" s="1"/>
  <c r="F57" i="55"/>
  <c r="F58"/>
  <c r="F61"/>
  <c r="F60"/>
  <c r="F59"/>
  <c r="D121" i="21"/>
  <c r="D120"/>
  <c r="F52" i="58"/>
  <c r="F51"/>
  <c r="F53"/>
  <c r="F54"/>
  <c r="F55"/>
  <c r="F69"/>
  <c r="F70"/>
  <c r="F73"/>
  <c r="F72"/>
  <c r="F71"/>
  <c r="F67"/>
  <c r="F64"/>
  <c r="F65"/>
  <c r="F63"/>
  <c r="F66"/>
  <c r="O93"/>
  <c r="F72" i="55"/>
  <c r="F70"/>
  <c r="F73"/>
  <c r="F71"/>
  <c r="F69"/>
  <c r="F46" i="58"/>
  <c r="F45"/>
  <c r="F47"/>
  <c r="F48"/>
  <c r="F49"/>
  <c r="F52" i="55"/>
  <c r="F53"/>
  <c r="F55"/>
  <c r="F51"/>
  <c r="F54"/>
  <c r="E119" i="21"/>
  <c r="F84" i="55"/>
  <c r="F83"/>
  <c r="F85"/>
  <c r="F82"/>
  <c r="F81"/>
  <c r="J178" i="47"/>
  <c r="E179" s="1"/>
  <c r="J39"/>
  <c r="E42" s="1"/>
  <c r="G132"/>
  <c r="J98"/>
  <c r="E100" s="1"/>
  <c r="J112"/>
  <c r="E113" s="1"/>
  <c r="J53"/>
  <c r="E57" s="1"/>
  <c r="J170"/>
  <c r="E172" s="1"/>
  <c r="J35"/>
  <c r="E37" s="1"/>
  <c r="J63"/>
  <c r="E64" s="1"/>
  <c r="J71"/>
  <c r="E73" s="1"/>
  <c r="J86"/>
  <c r="D100"/>
  <c r="D99"/>
  <c r="E180"/>
  <c r="AA134" i="4"/>
  <c r="Y134" i="8" s="1"/>
  <c r="I155" i="47"/>
  <c r="AA148" i="4"/>
  <c r="Y148" i="8" s="1"/>
  <c r="L148" s="1"/>
  <c r="G148" i="47"/>
  <c r="AA162" i="4"/>
  <c r="Y162" i="8" s="1"/>
  <c r="L162" s="1"/>
  <c r="G162" i="47"/>
  <c r="AA88" i="4"/>
  <c r="Y88" i="8" s="1"/>
  <c r="L88" s="1"/>
  <c r="G88" i="47"/>
  <c r="AA12" i="4"/>
  <c r="Y12" i="8" s="1"/>
  <c r="L12" s="1"/>
  <c r="E77" i="47"/>
  <c r="E78"/>
  <c r="J21"/>
  <c r="J164"/>
  <c r="AA40" i="4"/>
  <c r="Y40" i="8" s="1"/>
  <c r="L40" s="1"/>
  <c r="G40" i="47"/>
  <c r="I39" s="1"/>
  <c r="AA175" i="4"/>
  <c r="Y175" i="8" s="1"/>
  <c r="L175" s="1"/>
  <c r="G175" i="47"/>
  <c r="I174" s="1"/>
  <c r="AA65" i="4"/>
  <c r="Y65" i="8" s="1"/>
  <c r="L65" s="1"/>
  <c r="G65" i="47"/>
  <c r="I63" s="1"/>
  <c r="AA127" i="4"/>
  <c r="Y127" i="8" s="1"/>
  <c r="L127" s="1"/>
  <c r="G127" i="47"/>
  <c r="O96" i="60"/>
  <c r="D17" i="15" s="1"/>
  <c r="L96" i="60"/>
  <c r="E17" i="15" s="1"/>
  <c r="H138" i="47"/>
  <c r="AH138" i="4"/>
  <c r="AC138" i="8" s="1"/>
  <c r="P138" s="1"/>
  <c r="I67" i="47"/>
  <c r="I164"/>
  <c r="D33"/>
  <c r="D32"/>
  <c r="I90"/>
  <c r="E144"/>
  <c r="E145"/>
  <c r="AH133" i="4"/>
  <c r="AC133" i="8" s="1"/>
  <c r="P133" s="1"/>
  <c r="J174" i="47"/>
  <c r="J48"/>
  <c r="J31"/>
  <c r="J67"/>
  <c r="J155"/>
  <c r="AA50" i="4"/>
  <c r="Y50" i="8" s="1"/>
  <c r="L50" s="1"/>
  <c r="G50" i="47"/>
  <c r="AA133" i="4"/>
  <c r="Y133" i="8" s="1"/>
  <c r="AA96" i="4"/>
  <c r="Y96" i="8" s="1"/>
  <c r="L96" s="1"/>
  <c r="G96" i="47"/>
  <c r="AA110" i="4"/>
  <c r="Y110" i="8" s="1"/>
  <c r="L110" s="1"/>
  <c r="H54" i="61" s="1"/>
  <c r="G110" i="47"/>
  <c r="AA49" i="4"/>
  <c r="Y49" i="8" s="1"/>
  <c r="L49" s="1"/>
  <c r="G49" i="47"/>
  <c r="AA83" i="4"/>
  <c r="Y83" i="8" s="1"/>
  <c r="L83" s="1"/>
  <c r="G83" i="47"/>
  <c r="I79" s="1"/>
  <c r="AA72" i="4"/>
  <c r="Y72" i="8" s="1"/>
  <c r="L72" s="1"/>
  <c r="G72" i="47"/>
  <c r="I71" s="1"/>
  <c r="AA173" i="4"/>
  <c r="Y173" i="8" s="1"/>
  <c r="L173" s="1"/>
  <c r="G173" i="47"/>
  <c r="AA22" i="4"/>
  <c r="Y22" i="8" s="1"/>
  <c r="L22" s="1"/>
  <c r="G22" i="47"/>
  <c r="AA106" i="4"/>
  <c r="Y106" i="8" s="1"/>
  <c r="L106" s="1"/>
  <c r="H33" i="61" s="1"/>
  <c r="G33" i="63" s="1"/>
  <c r="G106" i="47"/>
  <c r="I76"/>
  <c r="O97" i="60"/>
  <c r="D18" i="15" s="1"/>
  <c r="L97" i="60"/>
  <c r="E18" i="15" s="1"/>
  <c r="O98" i="60"/>
  <c r="D19" i="15" s="1"/>
  <c r="L98" i="60"/>
  <c r="E19" i="15" s="1"/>
  <c r="H136" i="47"/>
  <c r="AH136" i="4"/>
  <c r="AC136" i="8" s="1"/>
  <c r="P136" s="1"/>
  <c r="H135" i="47"/>
  <c r="AH135" i="4"/>
  <c r="AC135" i="8" s="1"/>
  <c r="P135" s="1"/>
  <c r="G136" i="47"/>
  <c r="AA136" i="4"/>
  <c r="Y136" i="8" s="1"/>
  <c r="L136" s="1"/>
  <c r="E36" i="47"/>
  <c r="E74"/>
  <c r="E40"/>
  <c r="E41"/>
  <c r="AA111" i="4"/>
  <c r="Y111" i="8" s="1"/>
  <c r="L111" s="1"/>
  <c r="G111" i="47"/>
  <c r="AA28" i="4"/>
  <c r="Y28" i="8" s="1"/>
  <c r="L28" s="1"/>
  <c r="G28" i="47"/>
  <c r="AA38" i="4"/>
  <c r="Y38" i="8" s="1"/>
  <c r="L38" s="1"/>
  <c r="G38" i="47"/>
  <c r="I35" s="1"/>
  <c r="AA128" i="4"/>
  <c r="Y128" i="8" s="1"/>
  <c r="L128" s="1"/>
  <c r="G128" i="47"/>
  <c r="G138"/>
  <c r="AA138" i="4"/>
  <c r="Y138" i="8" s="1"/>
  <c r="L138" s="1"/>
  <c r="O94" i="60"/>
  <c r="D15" i="15" s="1"/>
  <c r="L94" i="60"/>
  <c r="E15" i="15" s="1"/>
  <c r="H139" i="47"/>
  <c r="AH139" i="4"/>
  <c r="AC139" i="8" s="1"/>
  <c r="P139" s="1"/>
  <c r="I53" i="47"/>
  <c r="AA147" i="4"/>
  <c r="Y147" i="8" s="1"/>
  <c r="L147" s="1"/>
  <c r="N39" i="61" s="1"/>
  <c r="G147" i="47"/>
  <c r="AA104" i="4"/>
  <c r="Y104" i="8" s="1"/>
  <c r="L104" s="1"/>
  <c r="H31" i="61" s="1"/>
  <c r="G31" i="63" s="1"/>
  <c r="G104" i="47"/>
  <c r="AA107" i="4"/>
  <c r="Y107" i="8" s="1"/>
  <c r="L107" s="1"/>
  <c r="H34" i="61" s="1"/>
  <c r="G34" i="63" s="1"/>
  <c r="G107" i="47"/>
  <c r="AA171" i="4"/>
  <c r="Y171" i="8" s="1"/>
  <c r="L171" s="1"/>
  <c r="G171" i="47"/>
  <c r="AA114" i="4"/>
  <c r="Y114" i="8" s="1"/>
  <c r="L114" s="1"/>
  <c r="H55" i="61" s="1"/>
  <c r="G114" i="47"/>
  <c r="I112" s="1"/>
  <c r="G139"/>
  <c r="AA139" i="4"/>
  <c r="Y139" i="8" s="1"/>
  <c r="L139" s="1"/>
  <c r="G135" i="47"/>
  <c r="I134" s="1"/>
  <c r="AA135" i="4"/>
  <c r="Y135" i="8" s="1"/>
  <c r="L135" s="1"/>
  <c r="D59" i="47"/>
  <c r="D60"/>
  <c r="I143"/>
  <c r="I14"/>
  <c r="E45"/>
  <c r="E44"/>
  <c r="J90"/>
  <c r="J116"/>
  <c r="J58"/>
  <c r="J79"/>
  <c r="J146"/>
  <c r="J14"/>
  <c r="J102"/>
  <c r="AA150" i="4"/>
  <c r="Y150" i="8" s="1"/>
  <c r="L150" s="1"/>
  <c r="N41" i="61" s="1"/>
  <c r="G150" i="47"/>
  <c r="AA172" i="4"/>
  <c r="Y172" i="8" s="1"/>
  <c r="L172" s="1"/>
  <c r="G172" i="47"/>
  <c r="I86"/>
  <c r="AA179" i="4"/>
  <c r="Y179" i="8" s="1"/>
  <c r="L179" s="1"/>
  <c r="G179" i="47"/>
  <c r="I178" s="1"/>
  <c r="AA163" i="4"/>
  <c r="Y163" i="8" s="1"/>
  <c r="L163" s="1"/>
  <c r="N54" i="61" s="1"/>
  <c r="G163" i="47"/>
  <c r="AA129" i="4"/>
  <c r="Y129" i="8" s="1"/>
  <c r="L129" s="1"/>
  <c r="G129" i="47"/>
  <c r="AA45" i="4"/>
  <c r="Y45" i="8" s="1"/>
  <c r="L45" s="1"/>
  <c r="G45" i="47"/>
  <c r="I43" s="1"/>
  <c r="AA131" i="4"/>
  <c r="Y131" i="8" s="1"/>
  <c r="L131" s="1"/>
  <c r="G131" i="47"/>
  <c r="L95" i="60"/>
  <c r="E16" i="15" s="1"/>
  <c r="O95" i="60"/>
  <c r="D16" i="15" s="1"/>
  <c r="AG124" i="8"/>
  <c r="AF124"/>
  <c r="L124" s="1"/>
  <c r="AA120" i="4"/>
  <c r="Y120" i="8" s="1"/>
  <c r="L120" s="1"/>
  <c r="AA137" i="4"/>
  <c r="Y137" i="8" s="1"/>
  <c r="L135" i="58"/>
  <c r="J118" i="55"/>
  <c r="L94" i="56"/>
  <c r="J118" i="58" s="1"/>
  <c r="L94" i="59"/>
  <c r="J118" i="60" s="1"/>
  <c r="D61" i="15" s="1"/>
  <c r="S39" i="10"/>
  <c r="G71" i="21"/>
  <c r="G72"/>
  <c r="G177"/>
  <c r="G125"/>
  <c r="G168"/>
  <c r="G160"/>
  <c r="D160" s="1"/>
  <c r="G152"/>
  <c r="G144"/>
  <c r="G132"/>
  <c r="G122"/>
  <c r="G114"/>
  <c r="G93"/>
  <c r="G79"/>
  <c r="G42"/>
  <c r="G33"/>
  <c r="G25"/>
  <c r="G14"/>
  <c r="G176"/>
  <c r="G103"/>
  <c r="G81"/>
  <c r="G63"/>
  <c r="G54"/>
  <c r="G20"/>
  <c r="G165"/>
  <c r="G157"/>
  <c r="G149"/>
  <c r="G141"/>
  <c r="G129"/>
  <c r="G111"/>
  <c r="D111" s="1"/>
  <c r="G90"/>
  <c r="G76"/>
  <c r="G41"/>
  <c r="G32"/>
  <c r="G24"/>
  <c r="G13"/>
  <c r="G68"/>
  <c r="G100"/>
  <c r="G180"/>
  <c r="G61"/>
  <c r="D61" s="1"/>
  <c r="G59"/>
  <c r="G86"/>
  <c r="G74"/>
  <c r="G87"/>
  <c r="G110"/>
  <c r="D110" s="1"/>
  <c r="G166"/>
  <c r="G158"/>
  <c r="G150"/>
  <c r="G142"/>
  <c r="G130"/>
  <c r="G112"/>
  <c r="G91"/>
  <c r="G77"/>
  <c r="G40"/>
  <c r="G31"/>
  <c r="G23"/>
  <c r="G109"/>
  <c r="D109" s="1"/>
  <c r="G101"/>
  <c r="G69"/>
  <c r="G60"/>
  <c r="G52"/>
  <c r="G172"/>
  <c r="G163"/>
  <c r="G155"/>
  <c r="G147"/>
  <c r="G127"/>
  <c r="G117"/>
  <c r="D117" s="1"/>
  <c r="G96"/>
  <c r="G88"/>
  <c r="G47"/>
  <c r="G39"/>
  <c r="G30"/>
  <c r="G22"/>
  <c r="G57"/>
  <c r="G80"/>
  <c r="G106"/>
  <c r="G53"/>
  <c r="G178"/>
  <c r="G124"/>
  <c r="G169"/>
  <c r="G73"/>
  <c r="G162"/>
  <c r="G146"/>
  <c r="G95"/>
  <c r="G44"/>
  <c r="G27"/>
  <c r="G179"/>
  <c r="G85"/>
  <c r="G56"/>
  <c r="G167"/>
  <c r="G151"/>
  <c r="G131"/>
  <c r="G113"/>
  <c r="G78"/>
  <c r="G35"/>
  <c r="G15"/>
  <c r="G108"/>
  <c r="G64"/>
  <c r="G70"/>
  <c r="G175"/>
  <c r="G173"/>
  <c r="G156"/>
  <c r="G140"/>
  <c r="D140" s="1"/>
  <c r="G118"/>
  <c r="D118" s="1"/>
  <c r="G89"/>
  <c r="G38"/>
  <c r="G21"/>
  <c r="G107"/>
  <c r="G67"/>
  <c r="G50"/>
  <c r="G161"/>
  <c r="G145"/>
  <c r="G123"/>
  <c r="G94"/>
  <c r="G45"/>
  <c r="G28"/>
  <c r="G102"/>
  <c r="G66"/>
  <c r="G34"/>
  <c r="G75"/>
  <c r="G171"/>
  <c r="G154"/>
  <c r="G116"/>
  <c r="G82"/>
  <c r="G36"/>
  <c r="G16"/>
  <c r="G105"/>
  <c r="G65"/>
  <c r="G48"/>
  <c r="G159"/>
  <c r="D159" s="1"/>
  <c r="G143"/>
  <c r="G92"/>
  <c r="G43"/>
  <c r="G83"/>
  <c r="G55"/>
  <c r="G19"/>
  <c r="D19" s="1"/>
  <c r="G51"/>
  <c r="G174"/>
  <c r="G62"/>
  <c r="G164"/>
  <c r="G148"/>
  <c r="G128"/>
  <c r="G97"/>
  <c r="G46"/>
  <c r="G29"/>
  <c r="G18"/>
  <c r="G99"/>
  <c r="G58"/>
  <c r="G170"/>
  <c r="G153"/>
  <c r="G133"/>
  <c r="G115"/>
  <c r="G84"/>
  <c r="G37"/>
  <c r="G17"/>
  <c r="G49"/>
  <c r="G98"/>
  <c r="G104"/>
  <c r="X41" i="22"/>
  <c r="X39"/>
  <c r="X112"/>
  <c r="X122"/>
  <c r="X133"/>
  <c r="U136" s="1"/>
  <c r="R136" s="1"/>
  <c r="X132"/>
  <c r="X127"/>
  <c r="X164"/>
  <c r="X166"/>
  <c r="X12"/>
  <c r="X27"/>
  <c r="X48"/>
  <c r="X65"/>
  <c r="X76"/>
  <c r="X104"/>
  <c r="X144"/>
  <c r="X81"/>
  <c r="X178"/>
  <c r="X37"/>
  <c r="X53"/>
  <c r="X70"/>
  <c r="X97"/>
  <c r="X148"/>
  <c r="X156"/>
  <c r="X82"/>
  <c r="X167"/>
  <c r="X179"/>
  <c r="X21"/>
  <c r="X38"/>
  <c r="X58"/>
  <c r="X78"/>
  <c r="X103"/>
  <c r="X146"/>
  <c r="X168"/>
  <c r="X99"/>
  <c r="X20"/>
  <c r="X140"/>
  <c r="U140" s="1"/>
  <c r="R140" s="1"/>
  <c r="X40"/>
  <c r="X109"/>
  <c r="U109" s="1"/>
  <c r="R109" s="1"/>
  <c r="X46"/>
  <c r="X15"/>
  <c r="X114"/>
  <c r="X113"/>
  <c r="X123"/>
  <c r="X118"/>
  <c r="U118" s="1"/>
  <c r="R118" s="1"/>
  <c r="X129"/>
  <c r="X80"/>
  <c r="X171"/>
  <c r="X16"/>
  <c r="X31"/>
  <c r="X55"/>
  <c r="X67"/>
  <c r="X87"/>
  <c r="X106"/>
  <c r="X155"/>
  <c r="X85"/>
  <c r="X24"/>
  <c r="X44"/>
  <c r="X60"/>
  <c r="X77"/>
  <c r="X100"/>
  <c r="X150"/>
  <c r="X158"/>
  <c r="X75"/>
  <c r="X169"/>
  <c r="X13"/>
  <c r="X25"/>
  <c r="X45"/>
  <c r="X64"/>
  <c r="X89"/>
  <c r="X105"/>
  <c r="X154"/>
  <c r="X175"/>
  <c r="X143"/>
  <c r="X50"/>
  <c r="X177"/>
  <c r="X69"/>
  <c r="X30"/>
  <c r="X34"/>
  <c r="X43"/>
  <c r="X126"/>
  <c r="X84"/>
  <c r="X18"/>
  <c r="X57"/>
  <c r="X91"/>
  <c r="X117"/>
  <c r="U117" s="1"/>
  <c r="R117" s="1"/>
  <c r="X28"/>
  <c r="X63"/>
  <c r="X102"/>
  <c r="X9"/>
  <c r="U9" s="1"/>
  <c r="R9" s="1"/>
  <c r="X172"/>
  <c r="X29"/>
  <c r="X66"/>
  <c r="X107"/>
  <c r="X35"/>
  <c r="X94"/>
  <c r="X86"/>
  <c r="X170"/>
  <c r="X90"/>
  <c r="X157"/>
  <c r="X10"/>
  <c r="X111"/>
  <c r="U111" s="1"/>
  <c r="R111" s="1"/>
  <c r="P111" s="1"/>
  <c r="X125"/>
  <c r="X124"/>
  <c r="X163"/>
  <c r="X23"/>
  <c r="X62"/>
  <c r="X95"/>
  <c r="X61"/>
  <c r="U61" s="1"/>
  <c r="R61" s="1"/>
  <c r="X32"/>
  <c r="X68"/>
  <c r="X142"/>
  <c r="X161"/>
  <c r="X174"/>
  <c r="X33"/>
  <c r="X73"/>
  <c r="X145"/>
  <c r="X52"/>
  <c r="X149"/>
  <c r="X14"/>
  <c r="X128"/>
  <c r="X131"/>
  <c r="X173"/>
  <c r="X36"/>
  <c r="X72"/>
  <c r="X108"/>
  <c r="X49"/>
  <c r="X88"/>
  <c r="X152"/>
  <c r="X162"/>
  <c r="X17"/>
  <c r="X54"/>
  <c r="X93"/>
  <c r="X159"/>
  <c r="U159" s="1"/>
  <c r="R159" s="1"/>
  <c r="X151"/>
  <c r="X79"/>
  <c r="X47"/>
  <c r="X83"/>
  <c r="X110"/>
  <c r="U110" s="1"/>
  <c r="R110" s="1"/>
  <c r="P110" s="1"/>
  <c r="X130"/>
  <c r="X180"/>
  <c r="X42"/>
  <c r="X74"/>
  <c r="X141"/>
  <c r="X176"/>
  <c r="X51"/>
  <c r="X92"/>
  <c r="X153"/>
  <c r="X165"/>
  <c r="X19"/>
  <c r="X56"/>
  <c r="X98"/>
  <c r="X115"/>
  <c r="X116"/>
  <c r="X22"/>
  <c r="X71"/>
  <c r="X101"/>
  <c r="X147"/>
  <c r="X160"/>
  <c r="U160" s="1"/>
  <c r="R160" s="1"/>
  <c r="X59"/>
  <c r="X26"/>
  <c r="X96"/>
  <c r="AA77" i="4"/>
  <c r="Y77" i="8" s="1"/>
  <c r="L77" s="1"/>
  <c r="AA69" i="4"/>
  <c r="Y69" i="8" s="1"/>
  <c r="L69" s="1"/>
  <c r="AA17" i="4"/>
  <c r="Y17" i="8" s="1"/>
  <c r="L17" s="1"/>
  <c r="AA180" i="4"/>
  <c r="Y180" i="8" s="1"/>
  <c r="L180" s="1"/>
  <c r="N55" i="61" s="1"/>
  <c r="AA30" i="4"/>
  <c r="Y30" i="8" s="1"/>
  <c r="L30" s="1"/>
  <c r="AA29" i="4"/>
  <c r="Y29" i="8" s="1"/>
  <c r="L29" s="1"/>
  <c r="AA103" i="4"/>
  <c r="Y103" i="8" s="1"/>
  <c r="L103" s="1"/>
  <c r="H30" i="61" s="1"/>
  <c r="AA56" i="4"/>
  <c r="Y56" i="8" s="1"/>
  <c r="L56" s="1"/>
  <c r="AA78" i="4"/>
  <c r="Y78" i="8" s="1"/>
  <c r="L78" s="1"/>
  <c r="AA23" i="4"/>
  <c r="Y23" i="8" s="1"/>
  <c r="L23" s="1"/>
  <c r="AA87" i="4"/>
  <c r="Y87" i="8" s="1"/>
  <c r="L87" s="1"/>
  <c r="AA149" i="4"/>
  <c r="Y149" i="8" s="1"/>
  <c r="L149" s="1"/>
  <c r="N40" i="61" s="1"/>
  <c r="AA101" i="4"/>
  <c r="Y101" i="8" s="1"/>
  <c r="L101" s="1"/>
  <c r="AA105" i="4"/>
  <c r="Y105" i="8" s="1"/>
  <c r="L105" s="1"/>
  <c r="H32" i="61" s="1"/>
  <c r="G32" i="63" s="1"/>
  <c r="AA37" i="4"/>
  <c r="Y37" i="8" s="1"/>
  <c r="L37" s="1"/>
  <c r="AA36" i="4"/>
  <c r="Y36" i="8" s="1"/>
  <c r="L36" s="1"/>
  <c r="AA156" i="4"/>
  <c r="Y156" i="8" s="1"/>
  <c r="L156" s="1"/>
  <c r="AA55" i="4"/>
  <c r="Y55" i="8" s="1"/>
  <c r="L55" s="1"/>
  <c r="AA42" i="4"/>
  <c r="Y42" i="8" s="1"/>
  <c r="L42" s="1"/>
  <c r="AA113" i="4"/>
  <c r="Y113" i="8" s="1"/>
  <c r="L113" s="1"/>
  <c r="AA43" i="4"/>
  <c r="Y43" i="8" s="1"/>
  <c r="L43" s="1"/>
  <c r="AA95" i="4"/>
  <c r="Y95" i="8" s="1"/>
  <c r="L95" s="1"/>
  <c r="AA70" i="4"/>
  <c r="Y70" i="8" s="1"/>
  <c r="L70" s="1"/>
  <c r="E62" i="21"/>
  <c r="AA99" i="4"/>
  <c r="Y99" i="8" s="1"/>
  <c r="L99" s="1"/>
  <c r="E97" i="21"/>
  <c r="AA66" i="4"/>
  <c r="Y66" i="8" s="1"/>
  <c r="L66" s="1"/>
  <c r="N34" i="61" s="1"/>
  <c r="AH60" i="4"/>
  <c r="AC60" i="8" s="1"/>
  <c r="P60" s="1"/>
  <c r="AH29" i="4"/>
  <c r="AC29" i="8" s="1"/>
  <c r="P29" s="1"/>
  <c r="AH118" i="4"/>
  <c r="AC118" i="8" s="1"/>
  <c r="P118" s="1"/>
  <c r="AH15" i="4"/>
  <c r="AC15" i="8" s="1"/>
  <c r="P15" s="1"/>
  <c r="AH45" i="4"/>
  <c r="AC45" i="8" s="1"/>
  <c r="P45" s="1"/>
  <c r="AH103" i="4"/>
  <c r="AC103" i="8" s="1"/>
  <c r="P103" s="1"/>
  <c r="AH158" i="4"/>
  <c r="AC158" i="8" s="1"/>
  <c r="P158" s="1"/>
  <c r="AH129" i="4"/>
  <c r="AC129" i="8" s="1"/>
  <c r="P129" s="1"/>
  <c r="AA54" i="4"/>
  <c r="Y54" i="8" s="1"/>
  <c r="L54" s="1"/>
  <c r="AA74" i="4"/>
  <c r="Y74" i="8" s="1"/>
  <c r="L74" s="1"/>
  <c r="V66" i="22"/>
  <c r="S66" s="1"/>
  <c r="V64"/>
  <c r="V65"/>
  <c r="S65" s="1"/>
  <c r="V68"/>
  <c r="S68" s="1"/>
  <c r="V70"/>
  <c r="S70" s="1"/>
  <c r="V69"/>
  <c r="S69" s="1"/>
  <c r="V73"/>
  <c r="S73" s="1"/>
  <c r="V72"/>
  <c r="S72" s="1"/>
  <c r="V74"/>
  <c r="S74" s="1"/>
  <c r="V49"/>
  <c r="V51"/>
  <c r="S51" s="1"/>
  <c r="V50"/>
  <c r="S50" s="1"/>
  <c r="V52"/>
  <c r="S52" s="1"/>
  <c r="S127"/>
  <c r="S129"/>
  <c r="S131"/>
  <c r="S128"/>
  <c r="S130"/>
  <c r="S132"/>
  <c r="V113"/>
  <c r="V114"/>
  <c r="S114" s="1"/>
  <c r="V33"/>
  <c r="S33" s="1"/>
  <c r="V32"/>
  <c r="S32" s="1"/>
  <c r="Q116"/>
  <c r="V158"/>
  <c r="S158" s="1"/>
  <c r="V157"/>
  <c r="S157" s="1"/>
  <c r="V154"/>
  <c r="V156"/>
  <c r="S156" s="1"/>
  <c r="V175"/>
  <c r="S175" s="1"/>
  <c r="V173"/>
  <c r="S173" s="1"/>
  <c r="V177"/>
  <c r="S177" s="1"/>
  <c r="V180"/>
  <c r="S180" s="1"/>
  <c r="V172"/>
  <c r="S172" s="1"/>
  <c r="V179"/>
  <c r="S179" s="1"/>
  <c r="V176"/>
  <c r="S176" s="1"/>
  <c r="V171"/>
  <c r="V43"/>
  <c r="S43" s="1"/>
  <c r="V45"/>
  <c r="S45" s="1"/>
  <c r="V44"/>
  <c r="S44" s="1"/>
  <c r="AA89" i="4"/>
  <c r="Y89" i="8" s="1"/>
  <c r="L89" s="1"/>
  <c r="AA25" i="4"/>
  <c r="Y25" i="8" s="1"/>
  <c r="L25" s="1"/>
  <c r="AA158" i="4"/>
  <c r="Y158" i="8" s="1"/>
  <c r="L158" s="1"/>
  <c r="AA64" i="4"/>
  <c r="Y64" i="8" s="1"/>
  <c r="L64" s="1"/>
  <c r="AA151" i="4"/>
  <c r="Y151" i="8" s="1"/>
  <c r="L151" s="1"/>
  <c r="N71" i="61" s="1"/>
  <c r="AA13" i="4"/>
  <c r="Y13" i="8" s="1"/>
  <c r="L13" s="1"/>
  <c r="AA157" i="4"/>
  <c r="Y157" i="8" s="1"/>
  <c r="L157" s="1"/>
  <c r="AA123" i="4"/>
  <c r="Y123" i="8" s="1"/>
  <c r="L123" s="1"/>
  <c r="E161" i="21"/>
  <c r="AH144" i="4"/>
  <c r="AC144" i="8" s="1"/>
  <c r="P144" s="1"/>
  <c r="AH16" i="4"/>
  <c r="AC16" i="8" s="1"/>
  <c r="P16" s="1"/>
  <c r="AH85" i="4"/>
  <c r="AC85" i="8" s="1"/>
  <c r="P85" s="1"/>
  <c r="AH12" i="4"/>
  <c r="AC12" i="8" s="1"/>
  <c r="P12" s="1"/>
  <c r="AH150" i="4"/>
  <c r="AC150" i="8" s="1"/>
  <c r="P150" s="1"/>
  <c r="AH23" i="4"/>
  <c r="AC23" i="8" s="1"/>
  <c r="P23" s="1"/>
  <c r="AH95" i="4"/>
  <c r="AC95" i="8" s="1"/>
  <c r="P95" s="1"/>
  <c r="AH104" i="4"/>
  <c r="AC104" i="8" s="1"/>
  <c r="P104" s="1"/>
  <c r="AH157" i="4"/>
  <c r="AC157" i="8" s="1"/>
  <c r="P157" s="1"/>
  <c r="AH165" i="4"/>
  <c r="AC165" i="8" s="1"/>
  <c r="P165" s="1"/>
  <c r="AH173" i="4"/>
  <c r="AC173" i="8" s="1"/>
  <c r="P173" s="1"/>
  <c r="AH142" i="4"/>
  <c r="AC142" i="8" s="1"/>
  <c r="P142" s="1"/>
  <c r="AH38" i="4"/>
  <c r="AC38" i="8" s="1"/>
  <c r="P38" s="1"/>
  <c r="H76" i="61" s="1"/>
  <c r="AH55" i="4"/>
  <c r="AC55" i="8" s="1"/>
  <c r="P55" s="1"/>
  <c r="H78" i="61" s="1"/>
  <c r="AH84" i="4"/>
  <c r="AC84" i="8" s="1"/>
  <c r="P84" s="1"/>
  <c r="AH151" i="4"/>
  <c r="AC151" i="8" s="1"/>
  <c r="P151" s="1"/>
  <c r="AH122" i="4"/>
  <c r="AC122" i="8" s="1"/>
  <c r="P122" s="1"/>
  <c r="AH19" i="4"/>
  <c r="AC19" i="8" s="1"/>
  <c r="P19" s="1"/>
  <c r="AH28" i="4"/>
  <c r="AC28" i="8" s="1"/>
  <c r="P28" s="1"/>
  <c r="AH64" i="4"/>
  <c r="AC64" i="8" s="1"/>
  <c r="P64" s="1"/>
  <c r="AH72" i="4"/>
  <c r="AC72" i="8" s="1"/>
  <c r="P72" s="1"/>
  <c r="AH94" i="4"/>
  <c r="AC94" i="8" s="1"/>
  <c r="P94" s="1"/>
  <c r="AH105" i="4"/>
  <c r="AC105" i="8" s="1"/>
  <c r="P105" s="1"/>
  <c r="AH132" i="4"/>
  <c r="AC132" i="8" s="1"/>
  <c r="P132" s="1"/>
  <c r="AH160" i="4"/>
  <c r="AC160" i="8" s="1"/>
  <c r="P160" s="1"/>
  <c r="AH168" i="4"/>
  <c r="AC168" i="8" s="1"/>
  <c r="P168" s="1"/>
  <c r="AH176" i="4"/>
  <c r="AC176" i="8" s="1"/>
  <c r="P176" s="1"/>
  <c r="AH43" i="4"/>
  <c r="AC43" i="8" s="1"/>
  <c r="P43" s="1"/>
  <c r="AH87" i="4"/>
  <c r="AC87" i="8" s="1"/>
  <c r="P87" s="1"/>
  <c r="AH40" i="4"/>
  <c r="AC40" i="8" s="1"/>
  <c r="P40" s="1"/>
  <c r="AH130" i="4"/>
  <c r="AC130" i="8" s="1"/>
  <c r="P130" s="1"/>
  <c r="AA177" i="4"/>
  <c r="Y177" i="8" s="1"/>
  <c r="L177" s="1"/>
  <c r="Q110" i="22"/>
  <c r="AA84" i="4"/>
  <c r="Y84" i="8" s="1"/>
  <c r="L84" s="1"/>
  <c r="AA52" i="4"/>
  <c r="Y52" i="8" s="1"/>
  <c r="L52" s="1"/>
  <c r="AA154" i="4"/>
  <c r="Y154" i="8" s="1"/>
  <c r="L154" s="1"/>
  <c r="AA24" i="4"/>
  <c r="Y24" i="8" s="1"/>
  <c r="L24" s="1"/>
  <c r="AH77" i="4"/>
  <c r="AC77" i="8" s="1"/>
  <c r="P77" s="1"/>
  <c r="AH46" i="4"/>
  <c r="AC46" i="8" s="1"/>
  <c r="P46" s="1"/>
  <c r="AH93" i="4"/>
  <c r="AC93" i="8" s="1"/>
  <c r="P93" s="1"/>
  <c r="AH110" i="4"/>
  <c r="AC110" i="8" s="1"/>
  <c r="P110" s="1"/>
  <c r="AH163" i="4"/>
  <c r="AC163" i="8" s="1"/>
  <c r="P163" s="1"/>
  <c r="AH179" i="4"/>
  <c r="AC179" i="8" s="1"/>
  <c r="P179" s="1"/>
  <c r="AH61" i="4"/>
  <c r="AC61" i="8" s="1"/>
  <c r="AH149" i="4"/>
  <c r="AC149" i="8" s="1"/>
  <c r="P149" s="1"/>
  <c r="AH26" i="4"/>
  <c r="AC26" i="8" s="1"/>
  <c r="P26" s="1"/>
  <c r="AH92" i="4"/>
  <c r="AC92" i="8" s="1"/>
  <c r="P92" s="1"/>
  <c r="AH111" i="4"/>
  <c r="AC111" i="8" s="1"/>
  <c r="P111" s="1"/>
  <c r="AH166" i="4"/>
  <c r="AC166" i="8" s="1"/>
  <c r="P166" s="1"/>
  <c r="AA122" i="4"/>
  <c r="Y122" i="8" s="1"/>
  <c r="L122" s="1"/>
  <c r="E75" i="21"/>
  <c r="E141"/>
  <c r="AA80" i="4"/>
  <c r="Y80" i="8" s="1"/>
  <c r="L80" s="1"/>
  <c r="AA27" i="4"/>
  <c r="Y27" i="8" s="1"/>
  <c r="L27" s="1"/>
  <c r="AA68" i="4"/>
  <c r="Y68" i="8" s="1"/>
  <c r="L68" s="1"/>
  <c r="AA16" i="4"/>
  <c r="Y16" i="8" s="1"/>
  <c r="L16" s="1"/>
  <c r="AA165" i="4"/>
  <c r="Y165" i="8" s="1"/>
  <c r="L165" s="1"/>
  <c r="AA19" i="4"/>
  <c r="Y19" i="8" s="1"/>
  <c r="L19" s="1"/>
  <c r="V100" i="22"/>
  <c r="S100" s="1"/>
  <c r="V99"/>
  <c r="V104"/>
  <c r="S104" s="1"/>
  <c r="V108"/>
  <c r="S108" s="1"/>
  <c r="V106"/>
  <c r="S106" s="1"/>
  <c r="V107"/>
  <c r="S107" s="1"/>
  <c r="V105"/>
  <c r="S105" s="1"/>
  <c r="V103"/>
  <c r="S103" s="1"/>
  <c r="V88"/>
  <c r="S88" s="1"/>
  <c r="V87"/>
  <c r="S87" s="1"/>
  <c r="V89"/>
  <c r="S89" s="1"/>
  <c r="V40"/>
  <c r="S40" s="1"/>
  <c r="V41"/>
  <c r="S41" s="1"/>
  <c r="V42"/>
  <c r="S42" s="1"/>
  <c r="V147"/>
  <c r="V151"/>
  <c r="S151" s="1"/>
  <c r="V150"/>
  <c r="S150" s="1"/>
  <c r="V149"/>
  <c r="S149" s="1"/>
  <c r="V152"/>
  <c r="S152" s="1"/>
  <c r="V148"/>
  <c r="V16"/>
  <c r="S16" s="1"/>
  <c r="V18"/>
  <c r="S18" s="1"/>
  <c r="V17"/>
  <c r="S17" s="1"/>
  <c r="V15"/>
  <c r="S15" s="1"/>
  <c r="V144"/>
  <c r="S144" s="1"/>
  <c r="V145"/>
  <c r="S145" s="1"/>
  <c r="V142"/>
  <c r="E34" i="21"/>
  <c r="AA142" i="4"/>
  <c r="Y142" i="8" s="1"/>
  <c r="L142" s="1"/>
  <c r="AA73" i="4"/>
  <c r="Y73" i="8" s="1"/>
  <c r="L73" s="1"/>
  <c r="AA108" i="4"/>
  <c r="Y108" i="8" s="1"/>
  <c r="L108" s="1"/>
  <c r="AA44" i="4"/>
  <c r="Y44" i="8" s="1"/>
  <c r="L44" s="1"/>
  <c r="AA57" i="4"/>
  <c r="Y57" i="8" s="1"/>
  <c r="L57" s="1"/>
  <c r="AA93" i="4"/>
  <c r="Y93" i="8" s="1"/>
  <c r="L93" s="1"/>
  <c r="E153" i="21"/>
  <c r="AH123" i="4"/>
  <c r="AC123" i="8" s="1"/>
  <c r="P123" s="1"/>
  <c r="AH152" i="4"/>
  <c r="AC152" i="8" s="1"/>
  <c r="P152" s="1"/>
  <c r="AH37" i="4"/>
  <c r="AC37" i="8" s="1"/>
  <c r="P37" s="1"/>
  <c r="AH117" i="4"/>
  <c r="AC117" i="8" s="1"/>
  <c r="AH50" i="4"/>
  <c r="AC50" i="8" s="1"/>
  <c r="P50" s="1"/>
  <c r="AH13" i="4"/>
  <c r="AC13" i="8" s="1"/>
  <c r="P13" s="1"/>
  <c r="AH25" i="4"/>
  <c r="AC25" i="8" s="1"/>
  <c r="P25" s="1"/>
  <c r="AH33" i="4"/>
  <c r="AC33" i="8" s="1"/>
  <c r="P33" s="1"/>
  <c r="AH65" i="4"/>
  <c r="AC65" i="8" s="1"/>
  <c r="P65" s="1"/>
  <c r="AH73" i="4"/>
  <c r="AC73" i="8" s="1"/>
  <c r="P73" s="1"/>
  <c r="AH106" i="4"/>
  <c r="AC106" i="8" s="1"/>
  <c r="P106" s="1"/>
  <c r="AH159" i="4"/>
  <c r="AC159" i="8" s="1"/>
  <c r="AH167" i="4"/>
  <c r="AC167" i="8" s="1"/>
  <c r="P167" s="1"/>
  <c r="AH175" i="4"/>
  <c r="AC175" i="8" s="1"/>
  <c r="P175" s="1"/>
  <c r="AH49" i="4"/>
  <c r="AC49" i="8" s="1"/>
  <c r="P49" s="1"/>
  <c r="AH57" i="4"/>
  <c r="AC57" i="8" s="1"/>
  <c r="P57" s="1"/>
  <c r="AH78" i="4"/>
  <c r="AC78" i="8" s="1"/>
  <c r="P78" s="1"/>
  <c r="AH145" i="4"/>
  <c r="AC145" i="8" s="1"/>
  <c r="P145" s="1"/>
  <c r="AC134"/>
  <c r="P134" s="1"/>
  <c r="AH22" i="4"/>
  <c r="AC22" i="8" s="1"/>
  <c r="P22" s="1"/>
  <c r="AH30" i="4"/>
  <c r="AC30" i="8" s="1"/>
  <c r="P30" s="1"/>
  <c r="AH66" i="4"/>
  <c r="AC66" i="8" s="1"/>
  <c r="P66" s="1"/>
  <c r="AH74" i="4"/>
  <c r="AC74" i="8" s="1"/>
  <c r="P74" s="1"/>
  <c r="AH99" i="4"/>
  <c r="AC99" i="8" s="1"/>
  <c r="P99" s="1"/>
  <c r="AH107" i="4"/>
  <c r="AC107" i="8" s="1"/>
  <c r="P107" s="1"/>
  <c r="AH162" i="4"/>
  <c r="AC162" i="8" s="1"/>
  <c r="P162" s="1"/>
  <c r="AH89" i="4"/>
  <c r="AC89" i="8" s="1"/>
  <c r="P89" s="1"/>
  <c r="AH131" i="4"/>
  <c r="AC131" i="8" s="1"/>
  <c r="P131" s="1"/>
  <c r="AH127" i="4"/>
  <c r="AC127" i="8" s="1"/>
  <c r="P127" s="1"/>
  <c r="AH128" i="4"/>
  <c r="AC128" i="8" s="1"/>
  <c r="P128" s="1"/>
  <c r="AA41" i="4"/>
  <c r="Y41" i="8" s="1"/>
  <c r="L41" s="1"/>
  <c r="AA176" i="4"/>
  <c r="Y176" i="8" s="1"/>
  <c r="L176" s="1"/>
  <c r="AA51" i="4"/>
  <c r="Y51" i="8" s="1"/>
  <c r="L51" s="1"/>
  <c r="V78" i="22"/>
  <c r="S78" s="1"/>
  <c r="V77"/>
  <c r="V36"/>
  <c r="V37"/>
  <c r="S37" s="1"/>
  <c r="V38"/>
  <c r="S38" s="1"/>
  <c r="V56"/>
  <c r="S56" s="1"/>
  <c r="V57"/>
  <c r="S57" s="1"/>
  <c r="V55"/>
  <c r="S55" s="1"/>
  <c r="V54"/>
  <c r="S54" s="1"/>
  <c r="V60"/>
  <c r="S60" s="1"/>
  <c r="V59"/>
  <c r="S59" s="1"/>
  <c r="AA144" i="4"/>
  <c r="Y144" i="8" s="1"/>
  <c r="L144" s="1"/>
  <c r="N76" i="61" s="1"/>
  <c r="AA166" i="4"/>
  <c r="Y166" i="8" s="1"/>
  <c r="L166" s="1"/>
  <c r="AA92" i="4"/>
  <c r="Y92" i="8" s="1"/>
  <c r="L92" s="1"/>
  <c r="AA15" i="4"/>
  <c r="Y15" i="8" s="1"/>
  <c r="L15" s="1"/>
  <c r="AH52" i="4"/>
  <c r="AC52" i="8" s="1"/>
  <c r="P52" s="1"/>
  <c r="AC137"/>
  <c r="P137" s="1"/>
  <c r="AH56" i="4"/>
  <c r="AC56" i="8" s="1"/>
  <c r="P56" s="1"/>
  <c r="AH81" i="4"/>
  <c r="AC81" i="8" s="1"/>
  <c r="P81" s="1"/>
  <c r="AH69" i="4"/>
  <c r="AC69" i="8" s="1"/>
  <c r="P69" s="1"/>
  <c r="AH171" i="4"/>
  <c r="AC171" i="8" s="1"/>
  <c r="P171" s="1"/>
  <c r="AH36" i="4"/>
  <c r="AC36" i="8" s="1"/>
  <c r="P36" s="1"/>
  <c r="H75" i="61" s="1"/>
  <c r="AH82" i="4"/>
  <c r="AC82" i="8" s="1"/>
  <c r="P82" s="1"/>
  <c r="AH120" i="4"/>
  <c r="AC120" i="8" s="1"/>
  <c r="P120" s="1"/>
  <c r="AH70" i="4"/>
  <c r="AC70" i="8" s="1"/>
  <c r="P70" s="1"/>
  <c r="AH154" i="4"/>
  <c r="AC154" i="8" s="1"/>
  <c r="P154" s="1"/>
  <c r="E146" i="21"/>
  <c r="AA81" i="4"/>
  <c r="Y81" i="8" s="1"/>
  <c r="L81" s="1"/>
  <c r="AA168" i="4"/>
  <c r="Y168" i="8" s="1"/>
  <c r="L168" s="1"/>
  <c r="AA94" i="4"/>
  <c r="Y94" i="8" s="1"/>
  <c r="L94" s="1"/>
  <c r="AA26" i="4"/>
  <c r="Y26" i="8" s="1"/>
  <c r="L26" s="1"/>
  <c r="AA82" i="4"/>
  <c r="Y82" i="8" s="1"/>
  <c r="L82" s="1"/>
  <c r="T39" i="10"/>
  <c r="AA18" i="4"/>
  <c r="Y18" i="8" s="1"/>
  <c r="L18" s="1"/>
  <c r="AA130" i="4"/>
  <c r="Y130" i="8" s="1"/>
  <c r="L130" s="1"/>
  <c r="AA46" i="4"/>
  <c r="Y46" i="8" s="1"/>
  <c r="L46" s="1"/>
  <c r="AA145" i="4"/>
  <c r="Y145" i="8" s="1"/>
  <c r="L145" s="1"/>
  <c r="AA59" i="4"/>
  <c r="Y59" i="8" s="1"/>
  <c r="L59" s="1"/>
  <c r="AA167" i="4"/>
  <c r="Y167" i="8" s="1"/>
  <c r="L167" s="1"/>
  <c r="V82" i="22"/>
  <c r="S82" s="1"/>
  <c r="V85"/>
  <c r="S85" s="1"/>
  <c r="V80"/>
  <c r="S80" s="1"/>
  <c r="V83"/>
  <c r="S83" s="1"/>
  <c r="V91"/>
  <c r="S91" s="1"/>
  <c r="V95"/>
  <c r="S95" s="1"/>
  <c r="V93"/>
  <c r="S93" s="1"/>
  <c r="V92"/>
  <c r="S92" s="1"/>
  <c r="V94"/>
  <c r="S94" s="1"/>
  <c r="S123"/>
  <c r="V23"/>
  <c r="S23" s="1"/>
  <c r="V28"/>
  <c r="S28" s="1"/>
  <c r="V24"/>
  <c r="S24" s="1"/>
  <c r="V27"/>
  <c r="S27" s="1"/>
  <c r="V22"/>
  <c r="V26"/>
  <c r="S26" s="1"/>
  <c r="V25"/>
  <c r="S25" s="1"/>
  <c r="V29"/>
  <c r="S29" s="1"/>
  <c r="V167"/>
  <c r="S167" s="1"/>
  <c r="V166"/>
  <c r="S166" s="1"/>
  <c r="V168"/>
  <c r="S168" s="1"/>
  <c r="V165"/>
  <c r="S165" s="1"/>
  <c r="Q8"/>
  <c r="S13"/>
  <c r="V163"/>
  <c r="S163" s="1"/>
  <c r="V162"/>
  <c r="AA85" i="4"/>
  <c r="Y85" i="8" s="1"/>
  <c r="L85" s="1"/>
  <c r="AA152" i="4"/>
  <c r="Y152" i="8" s="1"/>
  <c r="L152" s="1"/>
  <c r="N42" i="61" s="1"/>
  <c r="AA60" i="4"/>
  <c r="Y60" i="8" s="1"/>
  <c r="L60" s="1"/>
  <c r="AA100" i="4"/>
  <c r="Y100" i="8" s="1"/>
  <c r="L100" s="1"/>
  <c r="AA32" i="4"/>
  <c r="Y32" i="8" s="1"/>
  <c r="L32" s="1"/>
  <c r="AA115" i="4"/>
  <c r="Y115" i="8" s="1"/>
  <c r="L115" s="1"/>
  <c r="AA33" i="4"/>
  <c r="Y33" i="8" s="1"/>
  <c r="L33" s="1"/>
  <c r="AA91" i="4"/>
  <c r="Y91" i="8" s="1"/>
  <c r="L91" s="1"/>
  <c r="AA132" i="4"/>
  <c r="Y132" i="8" s="1"/>
  <c r="L132" s="1"/>
  <c r="E57" i="16"/>
  <c r="E47" i="21"/>
  <c r="E112"/>
  <c r="E169"/>
  <c r="E20"/>
  <c r="AH83" i="4"/>
  <c r="AC83" i="8" s="1"/>
  <c r="P83" s="1"/>
  <c r="AH113" i="4"/>
  <c r="AC113" i="8" s="1"/>
  <c r="P113" s="1"/>
  <c r="AH54" i="4"/>
  <c r="AC54" i="8" s="1"/>
  <c r="P54" s="1"/>
  <c r="AH148" i="4"/>
  <c r="AC148" i="8" s="1"/>
  <c r="P148" s="1"/>
  <c r="AH17" i="4"/>
  <c r="AC17" i="8" s="1"/>
  <c r="P17" s="1"/>
  <c r="AH27" i="4"/>
  <c r="AC27" i="8" s="1"/>
  <c r="P27" s="1"/>
  <c r="AH44" i="4"/>
  <c r="AC44" i="8" s="1"/>
  <c r="P44" s="1"/>
  <c r="AH91" i="4"/>
  <c r="AC91" i="8" s="1"/>
  <c r="P91" s="1"/>
  <c r="AH100" i="4"/>
  <c r="AC100" i="8" s="1"/>
  <c r="P100" s="1"/>
  <c r="N35" i="61" s="1"/>
  <c r="AH108" i="4"/>
  <c r="AC108" i="8" s="1"/>
  <c r="P108" s="1"/>
  <c r="AH140" i="4"/>
  <c r="AC140" i="8" s="1"/>
  <c r="AH177" i="4"/>
  <c r="AC177" i="8" s="1"/>
  <c r="P177" s="1"/>
  <c r="AH18" i="4"/>
  <c r="AC18" i="8" s="1"/>
  <c r="P18" s="1"/>
  <c r="AH51" i="4"/>
  <c r="AC51" i="8" s="1"/>
  <c r="P51" s="1"/>
  <c r="AH59" i="4"/>
  <c r="AC59" i="8" s="1"/>
  <c r="P59" s="1"/>
  <c r="AH80" i="4"/>
  <c r="AC80" i="8" s="1"/>
  <c r="P80" s="1"/>
  <c r="AH116" i="4"/>
  <c r="AC116" i="8" s="1"/>
  <c r="AH147" i="4"/>
  <c r="AC147" i="8" s="1"/>
  <c r="P147" s="1"/>
  <c r="AH114" i="4"/>
  <c r="AC114" i="8" s="1"/>
  <c r="P114" s="1"/>
  <c r="AH24" i="4"/>
  <c r="AC24" i="8" s="1"/>
  <c r="P24" s="1"/>
  <c r="AH32" i="4"/>
  <c r="AC32" i="8" s="1"/>
  <c r="P32" s="1"/>
  <c r="AH68" i="4"/>
  <c r="AC68" i="8" s="1"/>
  <c r="P68" s="1"/>
  <c r="H53" i="61" s="1"/>
  <c r="AH101" i="4"/>
  <c r="AC101" i="8" s="1"/>
  <c r="P101" s="1"/>
  <c r="AH109" i="4"/>
  <c r="AC109" i="8" s="1"/>
  <c r="AH156" i="4"/>
  <c r="AC156" i="8" s="1"/>
  <c r="P156" s="1"/>
  <c r="AH172" i="4"/>
  <c r="AC172" i="8" s="1"/>
  <c r="P172" s="1"/>
  <c r="AH180" i="4"/>
  <c r="AC180" i="8" s="1"/>
  <c r="P180" s="1"/>
  <c r="AH88" i="4"/>
  <c r="AC88" i="8" s="1"/>
  <c r="P88" s="1"/>
  <c r="AH42" i="4"/>
  <c r="AC42" i="8" s="1"/>
  <c r="P42" s="1"/>
  <c r="AH41" i="4"/>
  <c r="AC41" i="8" s="1"/>
  <c r="P41" s="1"/>
  <c r="H77" i="61" s="1"/>
  <c r="AH125" i="4"/>
  <c r="AC125" i="8" s="1"/>
  <c r="P125" s="1"/>
  <c r="L97" i="58" l="1"/>
  <c r="L94"/>
  <c r="D18" i="21"/>
  <c r="L96" i="55"/>
  <c r="E17" i="12" s="1"/>
  <c r="O98" i="58"/>
  <c r="O96"/>
  <c r="O95"/>
  <c r="O94"/>
  <c r="L97" i="55"/>
  <c r="E18" i="12" s="1"/>
  <c r="O96" i="55"/>
  <c r="D17" i="12" s="1"/>
  <c r="O94" i="55"/>
  <c r="D15" i="12" s="1"/>
  <c r="O95" i="55"/>
  <c r="D16" i="12" s="1"/>
  <c r="O97" i="55"/>
  <c r="D18" i="12" s="1"/>
  <c r="L94" i="55"/>
  <c r="E15" i="12" s="1"/>
  <c r="L98" i="58"/>
  <c r="L95"/>
  <c r="L95" i="55"/>
  <c r="E16" i="12" s="1"/>
  <c r="L98" i="55"/>
  <c r="E19" i="12" s="1"/>
  <c r="G81" i="63"/>
  <c r="Q79" s="1"/>
  <c r="Q76" i="61"/>
  <c r="G54" i="63"/>
  <c r="Q51" i="61"/>
  <c r="G51"/>
  <c r="M43" i="63"/>
  <c r="Q43" s="1"/>
  <c r="Q42" i="61"/>
  <c r="N69"/>
  <c r="N60"/>
  <c r="K10" i="60"/>
  <c r="N30" i="61"/>
  <c r="G80" i="63"/>
  <c r="Q78" s="1"/>
  <c r="Q75" i="61"/>
  <c r="N53"/>
  <c r="N70"/>
  <c r="N61"/>
  <c r="M41" i="63"/>
  <c r="Q41" s="1"/>
  <c r="Q40" i="61"/>
  <c r="M56" i="63"/>
  <c r="Q57" s="1"/>
  <c r="Q56" i="61"/>
  <c r="M42" i="63"/>
  <c r="Q42" s="1"/>
  <c r="Q41" i="61"/>
  <c r="M35" i="63"/>
  <c r="Q35" s="1"/>
  <c r="Q35" i="61"/>
  <c r="G79" i="63"/>
  <c r="Q74" i="61"/>
  <c r="M80" i="63"/>
  <c r="Q82" s="1"/>
  <c r="Q79" i="61"/>
  <c r="G82" i="63"/>
  <c r="Q80" s="1"/>
  <c r="Q77" i="61"/>
  <c r="M74" i="63"/>
  <c r="Q74" s="1"/>
  <c r="Q71" i="61"/>
  <c r="M34" i="63"/>
  <c r="Q34" s="1"/>
  <c r="Q34" i="61"/>
  <c r="G30" i="63"/>
  <c r="Q30" i="61"/>
  <c r="Q29"/>
  <c r="M28" s="1"/>
  <c r="M55" i="63"/>
  <c r="Q56" s="1"/>
  <c r="Q55" i="61"/>
  <c r="G56" i="63"/>
  <c r="Q54" s="1"/>
  <c r="Q53" i="61"/>
  <c r="M40" i="63"/>
  <c r="Q39" i="61"/>
  <c r="M38"/>
  <c r="G55" i="63"/>
  <c r="Q53" s="1"/>
  <c r="Q52" i="61"/>
  <c r="O97" i="58"/>
  <c r="U19" i="22"/>
  <c r="U11"/>
  <c r="U15"/>
  <c r="R15" s="1"/>
  <c r="U138"/>
  <c r="R138" s="1"/>
  <c r="U139"/>
  <c r="R139" s="1"/>
  <c r="D138" i="21"/>
  <c r="D135"/>
  <c r="D139"/>
  <c r="D136"/>
  <c r="D125"/>
  <c r="D126"/>
  <c r="E171" i="47"/>
  <c r="E99"/>
  <c r="L96" i="58"/>
  <c r="O98" i="55"/>
  <c r="D19" i="12" s="1"/>
  <c r="Q137" i="22"/>
  <c r="U135"/>
  <c r="E38" i="47"/>
  <c r="U126" i="22"/>
  <c r="R126" s="1"/>
  <c r="U125"/>
  <c r="D119" i="21"/>
  <c r="V133" i="22"/>
  <c r="S133" s="1"/>
  <c r="S135"/>
  <c r="V119"/>
  <c r="S120"/>
  <c r="Q119" s="1"/>
  <c r="N121"/>
  <c r="N120"/>
  <c r="G120" s="1"/>
  <c r="E72" i="47"/>
  <c r="J125" i="55"/>
  <c r="D61" i="12"/>
  <c r="E54" i="47"/>
  <c r="E56"/>
  <c r="AJ56" i="4" s="1"/>
  <c r="E55" i="47"/>
  <c r="E66"/>
  <c r="E114"/>
  <c r="E173"/>
  <c r="I48"/>
  <c r="D49" s="1"/>
  <c r="E65"/>
  <c r="I102"/>
  <c r="D103" s="1"/>
  <c r="I170"/>
  <c r="D173" s="1"/>
  <c r="J134"/>
  <c r="E136" s="1"/>
  <c r="AJ136" i="4" s="1"/>
  <c r="I21" i="47"/>
  <c r="D25" s="1"/>
  <c r="D36"/>
  <c r="AC36" i="4" s="1"/>
  <c r="D38" i="47"/>
  <c r="AC38" i="4" s="1"/>
  <c r="D37" i="47"/>
  <c r="AC37" i="4" s="1"/>
  <c r="D44" i="47"/>
  <c r="D45"/>
  <c r="D66"/>
  <c r="D65"/>
  <c r="D64"/>
  <c r="E92"/>
  <c r="E93"/>
  <c r="E95"/>
  <c r="E94"/>
  <c r="E91"/>
  <c r="I146"/>
  <c r="E135"/>
  <c r="AJ135" i="4" s="1"/>
  <c r="D73" i="47"/>
  <c r="AC73" i="4" s="1"/>
  <c r="D72" i="47"/>
  <c r="D74"/>
  <c r="E69"/>
  <c r="E70"/>
  <c r="E68"/>
  <c r="D93"/>
  <c r="D94"/>
  <c r="D95"/>
  <c r="D92"/>
  <c r="D91"/>
  <c r="D68"/>
  <c r="AC68" i="4" s="1"/>
  <c r="D70" i="47"/>
  <c r="AC70" i="4" s="1"/>
  <c r="D69" i="47"/>
  <c r="AC69" i="4" s="1"/>
  <c r="D42" i="47"/>
  <c r="D41"/>
  <c r="AC41" i="4" s="1"/>
  <c r="D40" i="47"/>
  <c r="D158"/>
  <c r="AC158" i="4" s="1"/>
  <c r="D157" i="47"/>
  <c r="AC157" i="4" s="1"/>
  <c r="D156" i="47"/>
  <c r="AC156" i="4" s="1"/>
  <c r="D171" i="47"/>
  <c r="D172"/>
  <c r="AC172" i="4" s="1"/>
  <c r="D78" i="47"/>
  <c r="D77"/>
  <c r="AC77" i="4" s="1"/>
  <c r="N77" i="8" s="1"/>
  <c r="E27" i="47"/>
  <c r="E23"/>
  <c r="E25"/>
  <c r="E24"/>
  <c r="E26"/>
  <c r="E22"/>
  <c r="E29"/>
  <c r="E28"/>
  <c r="D179"/>
  <c r="D180"/>
  <c r="AC180" i="4" s="1"/>
  <c r="E108" i="47"/>
  <c r="E104"/>
  <c r="E107"/>
  <c r="E105"/>
  <c r="E103"/>
  <c r="E106"/>
  <c r="E59"/>
  <c r="E60"/>
  <c r="I137"/>
  <c r="E49"/>
  <c r="E50"/>
  <c r="E52"/>
  <c r="E51"/>
  <c r="D176"/>
  <c r="D175"/>
  <c r="AC175" i="4" s="1"/>
  <c r="D177" i="47"/>
  <c r="E148"/>
  <c r="E150"/>
  <c r="E149"/>
  <c r="E151"/>
  <c r="E152"/>
  <c r="E147"/>
  <c r="D145"/>
  <c r="D144"/>
  <c r="D136"/>
  <c r="AC136" i="4" s="1"/>
  <c r="D135" i="47"/>
  <c r="AC135" i="4" s="1"/>
  <c r="E165" i="47"/>
  <c r="E167"/>
  <c r="E168"/>
  <c r="E166"/>
  <c r="D114"/>
  <c r="D113"/>
  <c r="AC113" i="4" s="1"/>
  <c r="E80" i="47"/>
  <c r="E82"/>
  <c r="E83"/>
  <c r="E85"/>
  <c r="E87"/>
  <c r="E84"/>
  <c r="E81"/>
  <c r="E89"/>
  <c r="E88"/>
  <c r="E32"/>
  <c r="AJ32" i="4" s="1"/>
  <c r="E33" i="47"/>
  <c r="D80"/>
  <c r="D84"/>
  <c r="D85"/>
  <c r="D87"/>
  <c r="D89"/>
  <c r="D83"/>
  <c r="D88"/>
  <c r="AC88" i="4" s="1"/>
  <c r="D82" i="47"/>
  <c r="D81"/>
  <c r="E16"/>
  <c r="AJ16" i="4" s="1"/>
  <c r="E17" i="47"/>
  <c r="E15"/>
  <c r="E18"/>
  <c r="E140"/>
  <c r="E159"/>
  <c r="E117"/>
  <c r="D17"/>
  <c r="D18"/>
  <c r="D15"/>
  <c r="D16"/>
  <c r="D57"/>
  <c r="D56"/>
  <c r="D54"/>
  <c r="D55"/>
  <c r="E157"/>
  <c r="E158"/>
  <c r="AJ158" i="4" s="1"/>
  <c r="E156" i="47"/>
  <c r="E177"/>
  <c r="E175"/>
  <c r="E176"/>
  <c r="D165"/>
  <c r="D168"/>
  <c r="D167"/>
  <c r="D166"/>
  <c r="J137"/>
  <c r="S119" i="22"/>
  <c r="S122"/>
  <c r="K103" i="60"/>
  <c r="O118" i="55"/>
  <c r="O116" s="1"/>
  <c r="O135" s="1"/>
  <c r="O136" s="1"/>
  <c r="J125" i="60"/>
  <c r="O118"/>
  <c r="O116" s="1"/>
  <c r="O135" s="1"/>
  <c r="O136" s="1"/>
  <c r="L119" i="58"/>
  <c r="L116" s="1"/>
  <c r="U166" i="22"/>
  <c r="R166" s="1"/>
  <c r="U165"/>
  <c r="R165" s="1"/>
  <c r="U168"/>
  <c r="R168" s="1"/>
  <c r="U162"/>
  <c r="U163"/>
  <c r="R163" s="1"/>
  <c r="U167"/>
  <c r="R167" s="1"/>
  <c r="R13"/>
  <c r="U16"/>
  <c r="R16" s="1"/>
  <c r="U17"/>
  <c r="R17" s="1"/>
  <c r="U18"/>
  <c r="R18" s="1"/>
  <c r="R19"/>
  <c r="U113"/>
  <c r="U114"/>
  <c r="R114" s="1"/>
  <c r="D156" i="21"/>
  <c r="D157"/>
  <c r="D158"/>
  <c r="D154"/>
  <c r="D147"/>
  <c r="D151"/>
  <c r="D152"/>
  <c r="D149"/>
  <c r="D148"/>
  <c r="R148" i="22" s="1"/>
  <c r="D150" i="21"/>
  <c r="U157" i="22"/>
  <c r="R157" s="1"/>
  <c r="U156"/>
  <c r="R156" s="1"/>
  <c r="U158"/>
  <c r="R158" s="1"/>
  <c r="U154"/>
  <c r="U144"/>
  <c r="R144" s="1"/>
  <c r="U142"/>
  <c r="U145"/>
  <c r="R145" s="1"/>
  <c r="R127"/>
  <c r="R128"/>
  <c r="R129"/>
  <c r="R130"/>
  <c r="R131"/>
  <c r="R132"/>
  <c r="U177"/>
  <c r="R177" s="1"/>
  <c r="U176"/>
  <c r="R176" s="1"/>
  <c r="U171"/>
  <c r="U172"/>
  <c r="R172" s="1"/>
  <c r="U173"/>
  <c r="R173" s="1"/>
  <c r="U179"/>
  <c r="R179" s="1"/>
  <c r="U175"/>
  <c r="R175" s="1"/>
  <c r="U180"/>
  <c r="R180" s="1"/>
  <c r="U106"/>
  <c r="R106" s="1"/>
  <c r="U105"/>
  <c r="R105" s="1"/>
  <c r="U99"/>
  <c r="U108"/>
  <c r="R108" s="1"/>
  <c r="U103"/>
  <c r="R103" s="1"/>
  <c r="U101"/>
  <c r="R101" s="1"/>
  <c r="U100"/>
  <c r="R100" s="1"/>
  <c r="U104"/>
  <c r="R104" s="1"/>
  <c r="U107"/>
  <c r="R107" s="1"/>
  <c r="D91" i="21"/>
  <c r="D81"/>
  <c r="D93"/>
  <c r="D89"/>
  <c r="D87"/>
  <c r="D95"/>
  <c r="D77"/>
  <c r="D94"/>
  <c r="D80"/>
  <c r="D85"/>
  <c r="D82"/>
  <c r="D78"/>
  <c r="D84"/>
  <c r="D92"/>
  <c r="D88"/>
  <c r="D83"/>
  <c r="D142"/>
  <c r="D144"/>
  <c r="D145"/>
  <c r="D28"/>
  <c r="D26"/>
  <c r="D27"/>
  <c r="D33"/>
  <c r="D30"/>
  <c r="D22"/>
  <c r="D25"/>
  <c r="D32"/>
  <c r="D24"/>
  <c r="D29"/>
  <c r="D23"/>
  <c r="U50" i="22"/>
  <c r="R50" s="1"/>
  <c r="U57"/>
  <c r="U54"/>
  <c r="R54" s="1"/>
  <c r="U52"/>
  <c r="U49"/>
  <c r="U56"/>
  <c r="R56" s="1"/>
  <c r="U59"/>
  <c r="R59" s="1"/>
  <c r="U51"/>
  <c r="U55"/>
  <c r="R55" s="1"/>
  <c r="U60"/>
  <c r="R60" s="1"/>
  <c r="U65"/>
  <c r="R65" s="1"/>
  <c r="U70"/>
  <c r="R70" s="1"/>
  <c r="U72"/>
  <c r="R72" s="1"/>
  <c r="U66"/>
  <c r="R66" s="1"/>
  <c r="U74"/>
  <c r="R74" s="1"/>
  <c r="U64"/>
  <c r="U69"/>
  <c r="R69" s="1"/>
  <c r="U68"/>
  <c r="R68" s="1"/>
  <c r="U73"/>
  <c r="R73" s="1"/>
  <c r="U80"/>
  <c r="R80" s="1"/>
  <c r="U77"/>
  <c r="U78"/>
  <c r="R78" s="1"/>
  <c r="U92"/>
  <c r="R92" s="1"/>
  <c r="U81"/>
  <c r="R81" s="1"/>
  <c r="U88"/>
  <c r="R88" s="1"/>
  <c r="U89"/>
  <c r="R89" s="1"/>
  <c r="U91"/>
  <c r="R91" s="1"/>
  <c r="U83"/>
  <c r="R83" s="1"/>
  <c r="U93"/>
  <c r="R93" s="1"/>
  <c r="U94"/>
  <c r="R94" s="1"/>
  <c r="U95"/>
  <c r="R95" s="1"/>
  <c r="U85"/>
  <c r="R85" s="1"/>
  <c r="U82"/>
  <c r="R82" s="1"/>
  <c r="U84"/>
  <c r="R84" s="1"/>
  <c r="U87"/>
  <c r="R87" s="1"/>
  <c r="U149"/>
  <c r="R149" s="1"/>
  <c r="U152"/>
  <c r="R152" s="1"/>
  <c r="U151"/>
  <c r="R151" s="1"/>
  <c r="U148"/>
  <c r="U147"/>
  <c r="U150"/>
  <c r="R150" s="1"/>
  <c r="D44" i="21"/>
  <c r="D41"/>
  <c r="D40"/>
  <c r="D46"/>
  <c r="D38"/>
  <c r="D42"/>
  <c r="D45"/>
  <c r="D37"/>
  <c r="D36"/>
  <c r="D57"/>
  <c r="D60"/>
  <c r="D51"/>
  <c r="D49"/>
  <c r="D50"/>
  <c r="D56"/>
  <c r="D54"/>
  <c r="D55"/>
  <c r="D52"/>
  <c r="D59"/>
  <c r="R123" i="22"/>
  <c r="P8"/>
  <c r="P116"/>
  <c r="U43"/>
  <c r="R43" s="1"/>
  <c r="U40"/>
  <c r="U44"/>
  <c r="R44" s="1"/>
  <c r="U41"/>
  <c r="R41" s="1"/>
  <c r="U36"/>
  <c r="U38"/>
  <c r="R38" s="1"/>
  <c r="U42"/>
  <c r="R42" s="1"/>
  <c r="U46"/>
  <c r="R46" s="1"/>
  <c r="U45"/>
  <c r="R45" s="1"/>
  <c r="U37"/>
  <c r="R37" s="1"/>
  <c r="U25"/>
  <c r="R25" s="1"/>
  <c r="U30"/>
  <c r="R30" s="1"/>
  <c r="U24"/>
  <c r="R24" s="1"/>
  <c r="U29"/>
  <c r="R29" s="1"/>
  <c r="U23"/>
  <c r="R23" s="1"/>
  <c r="U33"/>
  <c r="R33" s="1"/>
  <c r="U26"/>
  <c r="U27"/>
  <c r="R27" s="1"/>
  <c r="U28"/>
  <c r="R28" s="1"/>
  <c r="U22"/>
  <c r="U32"/>
  <c r="R32" s="1"/>
  <c r="T39" i="9"/>
  <c r="S39"/>
  <c r="D105" i="21"/>
  <c r="D107"/>
  <c r="D101"/>
  <c r="D108"/>
  <c r="D103"/>
  <c r="D106"/>
  <c r="D104"/>
  <c r="D100"/>
  <c r="D99"/>
  <c r="D74"/>
  <c r="D69"/>
  <c r="D68"/>
  <c r="D73"/>
  <c r="D65"/>
  <c r="D64"/>
  <c r="D72"/>
  <c r="D70"/>
  <c r="D66"/>
  <c r="D16"/>
  <c r="D15"/>
  <c r="D17"/>
  <c r="D163"/>
  <c r="D168"/>
  <c r="D165"/>
  <c r="D167"/>
  <c r="D162"/>
  <c r="D166"/>
  <c r="D179"/>
  <c r="D176"/>
  <c r="D175"/>
  <c r="D172"/>
  <c r="D177"/>
  <c r="D180"/>
  <c r="D171"/>
  <c r="D173"/>
  <c r="D114"/>
  <c r="D113"/>
  <c r="D123"/>
  <c r="D122"/>
  <c r="AC78" i="4"/>
  <c r="AH78" i="8" s="1"/>
  <c r="AC12" i="4"/>
  <c r="AC123"/>
  <c r="AC129"/>
  <c r="N129" i="8" s="1"/>
  <c r="AC44" i="4"/>
  <c r="AJ77"/>
  <c r="AJ59"/>
  <c r="AJ37"/>
  <c r="AJ152"/>
  <c r="AJ95"/>
  <c r="Q31" i="22"/>
  <c r="O32" s="1"/>
  <c r="H32" s="1"/>
  <c r="AJ44" i="4"/>
  <c r="AJ113"/>
  <c r="AC60"/>
  <c r="AJ173"/>
  <c r="AC18"/>
  <c r="Q178" i="22"/>
  <c r="O179" s="1"/>
  <c r="H179" s="1"/>
  <c r="Q164"/>
  <c r="O167" s="1"/>
  <c r="H167" s="1"/>
  <c r="AC66" i="4"/>
  <c r="V112" i="22"/>
  <c r="S112" s="1"/>
  <c r="Q109" s="1"/>
  <c r="S113"/>
  <c r="Q112" s="1"/>
  <c r="AH77" i="8"/>
  <c r="V10" i="22"/>
  <c r="S10" s="1"/>
  <c r="S12"/>
  <c r="Q79"/>
  <c r="Q58"/>
  <c r="V34"/>
  <c r="S34" s="1"/>
  <c r="S36"/>
  <c r="Q143"/>
  <c r="Q86"/>
  <c r="S99"/>
  <c r="V97"/>
  <c r="S97" s="1"/>
  <c r="Q174"/>
  <c r="Q71"/>
  <c r="Q67"/>
  <c r="O117"/>
  <c r="H117" s="1"/>
  <c r="O140"/>
  <c r="H140" s="1"/>
  <c r="O159"/>
  <c r="H159" s="1"/>
  <c r="V124"/>
  <c r="S124" s="1"/>
  <c r="S125"/>
  <c r="Q124" s="1"/>
  <c r="O125" s="1"/>
  <c r="V75"/>
  <c r="S75" s="1"/>
  <c r="S77"/>
  <c r="Q14"/>
  <c r="Q39"/>
  <c r="AC179" i="4"/>
  <c r="S171" i="22"/>
  <c r="V169"/>
  <c r="S169" s="1"/>
  <c r="Q155"/>
  <c r="AC114" i="4"/>
  <c r="V161" i="22"/>
  <c r="S161" s="1"/>
  <c r="S162"/>
  <c r="Q161" s="1"/>
  <c r="O9"/>
  <c r="AI9" i="4" s="1"/>
  <c r="AD9" i="8" s="1"/>
  <c r="O109" i="22"/>
  <c r="H109" s="1"/>
  <c r="O61"/>
  <c r="H61" s="1"/>
  <c r="V20"/>
  <c r="S20" s="1"/>
  <c r="S22"/>
  <c r="Q90"/>
  <c r="Q53"/>
  <c r="V141"/>
  <c r="S141" s="1"/>
  <c r="S142"/>
  <c r="Q141" s="1"/>
  <c r="V146"/>
  <c r="S146" s="1"/>
  <c r="S147"/>
  <c r="Q146" s="1"/>
  <c r="Q102"/>
  <c r="V153"/>
  <c r="S153" s="1"/>
  <c r="S154"/>
  <c r="Q153" s="1"/>
  <c r="S134"/>
  <c r="V47"/>
  <c r="S47" s="1"/>
  <c r="S49"/>
  <c r="V62"/>
  <c r="S62" s="1"/>
  <c r="S64"/>
  <c r="D10" i="21" l="1"/>
  <c r="U141" i="22"/>
  <c r="R141" s="1"/>
  <c r="P137"/>
  <c r="R57"/>
  <c r="P53" s="1"/>
  <c r="J116"/>
  <c r="E117" s="1"/>
  <c r="R40"/>
  <c r="P39" s="1"/>
  <c r="Q30" i="63"/>
  <c r="Q29"/>
  <c r="M73"/>
  <c r="Q73" s="1"/>
  <c r="Q70" i="61"/>
  <c r="M30" i="63"/>
  <c r="Q32" s="1"/>
  <c r="Q32" i="61"/>
  <c r="M61" i="63"/>
  <c r="Q60" i="61"/>
  <c r="M58"/>
  <c r="E52" i="63"/>
  <c r="Q52"/>
  <c r="F52" s="1"/>
  <c r="M27" i="61"/>
  <c r="Q16" s="1"/>
  <c r="J38" i="63"/>
  <c r="Q40"/>
  <c r="Q77"/>
  <c r="M62"/>
  <c r="Q62" s="1"/>
  <c r="Q61" i="61"/>
  <c r="M54" i="63"/>
  <c r="Q54" i="61"/>
  <c r="N51" s="1"/>
  <c r="M51"/>
  <c r="M50" s="1"/>
  <c r="Q19" s="1"/>
  <c r="M72" i="63"/>
  <c r="Q69" i="61"/>
  <c r="M68"/>
  <c r="N28"/>
  <c r="N38"/>
  <c r="H51"/>
  <c r="J95" i="62"/>
  <c r="J102" i="63" s="1"/>
  <c r="J95" i="61"/>
  <c r="I102" i="63" s="1"/>
  <c r="Q134" i="22"/>
  <c r="Q133"/>
  <c r="O134" s="1"/>
  <c r="D133" i="21"/>
  <c r="R26" i="22"/>
  <c r="R51"/>
  <c r="R52"/>
  <c r="O121"/>
  <c r="O120"/>
  <c r="H120" s="1"/>
  <c r="U133"/>
  <c r="R135"/>
  <c r="D124" i="21"/>
  <c r="D132"/>
  <c r="U10" i="22"/>
  <c r="R11"/>
  <c r="E159"/>
  <c r="E140"/>
  <c r="N138"/>
  <c r="N139"/>
  <c r="U124"/>
  <c r="R124" s="1"/>
  <c r="R125"/>
  <c r="O138"/>
  <c r="O139"/>
  <c r="D106" i="47"/>
  <c r="AC106" i="4" s="1"/>
  <c r="D107" i="47"/>
  <c r="D104"/>
  <c r="AC104" i="4" s="1"/>
  <c r="AH104" i="8" s="1"/>
  <c r="D28" i="47"/>
  <c r="AC28" i="4" s="1"/>
  <c r="AH28" i="8" s="1"/>
  <c r="D27" i="47"/>
  <c r="AC27" i="4" s="1"/>
  <c r="N27" i="8" s="1"/>
  <c r="D24" i="47"/>
  <c r="D23"/>
  <c r="AC23" i="4" s="1"/>
  <c r="AH23" i="8" s="1"/>
  <c r="D22" i="47"/>
  <c r="AC22" i="4" s="1"/>
  <c r="N22" i="8" s="1"/>
  <c r="D29" i="47"/>
  <c r="D26"/>
  <c r="AC26" i="4" s="1"/>
  <c r="N26" i="8" s="1"/>
  <c r="D52" i="47"/>
  <c r="AC52" i="4" s="1"/>
  <c r="N52" i="8" s="1"/>
  <c r="D50" i="47"/>
  <c r="AC50" i="4" s="1"/>
  <c r="AH50" i="8" s="1"/>
  <c r="O132" i="22"/>
  <c r="AI132" i="4" s="1"/>
  <c r="AD132" i="8" s="1"/>
  <c r="Q132" s="1"/>
  <c r="D108" i="47"/>
  <c r="D105"/>
  <c r="AC105" i="4" s="1"/>
  <c r="N105" i="8" s="1"/>
  <c r="D51" i="47"/>
  <c r="AC51" i="4" s="1"/>
  <c r="AH51" i="8" s="1"/>
  <c r="E139" i="47"/>
  <c r="AJ139" i="4" s="1"/>
  <c r="E138" i="47"/>
  <c r="AJ138" i="4" s="1"/>
  <c r="R135" i="8"/>
  <c r="AL135"/>
  <c r="D148" i="47"/>
  <c r="AC148" i="4" s="1"/>
  <c r="AH148" i="8" s="1"/>
  <c r="D150" i="47"/>
  <c r="D151"/>
  <c r="AC151" i="4" s="1"/>
  <c r="AH151" i="8" s="1"/>
  <c r="D149" i="47"/>
  <c r="AC149" i="4" s="1"/>
  <c r="N149" i="8" s="1"/>
  <c r="D152" i="47"/>
  <c r="AC152" i="4" s="1"/>
  <c r="N152" i="8" s="1"/>
  <c r="D147" i="47"/>
  <c r="AH135" i="8"/>
  <c r="N135"/>
  <c r="AH136"/>
  <c r="N136"/>
  <c r="D139" i="47"/>
  <c r="AC139" i="4" s="1"/>
  <c r="D138" i="47"/>
  <c r="AC138" i="4" s="1"/>
  <c r="AL136" i="8"/>
  <c r="R136"/>
  <c r="O126" i="22"/>
  <c r="P124"/>
  <c r="N132" s="1"/>
  <c r="H132"/>
  <c r="R119"/>
  <c r="R122"/>
  <c r="O137"/>
  <c r="AI137" i="4" s="1"/>
  <c r="K108" i="60"/>
  <c r="L108" s="1"/>
  <c r="K107"/>
  <c r="L107" s="1"/>
  <c r="K104"/>
  <c r="L104" s="1"/>
  <c r="K106"/>
  <c r="L106" s="1"/>
  <c r="K111"/>
  <c r="L111" s="1"/>
  <c r="K105"/>
  <c r="L105" s="1"/>
  <c r="K110"/>
  <c r="L110" s="1"/>
  <c r="K109"/>
  <c r="L109" s="1"/>
  <c r="L103"/>
  <c r="K12"/>
  <c r="K11"/>
  <c r="K17"/>
  <c r="K13"/>
  <c r="K16"/>
  <c r="L10"/>
  <c r="K15"/>
  <c r="K26"/>
  <c r="K18"/>
  <c r="K14"/>
  <c r="P31" i="22"/>
  <c r="P71"/>
  <c r="N73" s="1"/>
  <c r="P155"/>
  <c r="N157" s="1"/>
  <c r="P143"/>
  <c r="D112" i="21"/>
  <c r="D97"/>
  <c r="P58" i="22"/>
  <c r="N61"/>
  <c r="AB61" i="4" s="1"/>
  <c r="Z61" i="8" s="1"/>
  <c r="N9" i="22"/>
  <c r="AB9" i="4" s="1"/>
  <c r="Z9" i="8" s="1"/>
  <c r="N109" i="22"/>
  <c r="AB109" i="4" s="1"/>
  <c r="Z109" i="8" s="1"/>
  <c r="P86" i="22"/>
  <c r="P90"/>
  <c r="D20" i="21"/>
  <c r="D141"/>
  <c r="P178" i="22"/>
  <c r="R154"/>
  <c r="P153" s="1"/>
  <c r="U153"/>
  <c r="R153" s="1"/>
  <c r="D146" i="21"/>
  <c r="P14" i="22"/>
  <c r="R162"/>
  <c r="P161" s="1"/>
  <c r="U161"/>
  <c r="R161" s="1"/>
  <c r="P67"/>
  <c r="P102"/>
  <c r="D153" i="21"/>
  <c r="R10" i="22"/>
  <c r="R12"/>
  <c r="D62" i="21"/>
  <c r="U34" i="22"/>
  <c r="R34" s="1"/>
  <c r="R36"/>
  <c r="R77"/>
  <c r="U75"/>
  <c r="R75" s="1"/>
  <c r="R49"/>
  <c r="U47"/>
  <c r="R47" s="1"/>
  <c r="D75" i="21"/>
  <c r="R142" i="22"/>
  <c r="P141" s="1"/>
  <c r="U112"/>
  <c r="R112" s="1"/>
  <c r="P109" s="1"/>
  <c r="R113"/>
  <c r="P112" s="1"/>
  <c r="P164"/>
  <c r="D169" i="21"/>
  <c r="D161"/>
  <c r="R22" i="22"/>
  <c r="U20"/>
  <c r="R20" s="1"/>
  <c r="N140"/>
  <c r="AB140" i="4" s="1"/>
  <c r="Z140" i="8" s="1"/>
  <c r="N159" i="22"/>
  <c r="AB159" i="4" s="1"/>
  <c r="Z159" i="8" s="1"/>
  <c r="N117" i="22"/>
  <c r="AB117" i="4" s="1"/>
  <c r="Z117" i="8" s="1"/>
  <c r="D47" i="21"/>
  <c r="D34"/>
  <c r="R147" i="22"/>
  <c r="P146" s="1"/>
  <c r="U146"/>
  <c r="R146" s="1"/>
  <c r="P79"/>
  <c r="R64"/>
  <c r="U62"/>
  <c r="R62" s="1"/>
  <c r="U97"/>
  <c r="R97" s="1"/>
  <c r="R99"/>
  <c r="P174"/>
  <c r="R171"/>
  <c r="U169"/>
  <c r="R169" s="1"/>
  <c r="AC89" i="4"/>
  <c r="N89" i="8" s="1"/>
  <c r="AC122" i="4"/>
  <c r="N122" i="8" s="1"/>
  <c r="AC171" i="4"/>
  <c r="N170" i="8" s="1"/>
  <c r="AC173" i="4"/>
  <c r="AH173" i="8" s="1"/>
  <c r="AC87" i="4"/>
  <c r="AH87" i="8" s="1"/>
  <c r="AC131" i="4"/>
  <c r="AJ78"/>
  <c r="AL78" i="8" s="1"/>
  <c r="N78"/>
  <c r="AC177" i="4"/>
  <c r="N177" i="8" s="1"/>
  <c r="AC72" i="4"/>
  <c r="N72" i="8" s="1"/>
  <c r="AC13" i="4"/>
  <c r="AH13" i="8" s="1"/>
  <c r="AC108" i="4"/>
  <c r="AH108" i="8" s="1"/>
  <c r="O168" i="22"/>
  <c r="AC107" i="4"/>
  <c r="N107" i="8" s="1"/>
  <c r="AC103" i="4"/>
  <c r="AH103" i="8" s="1"/>
  <c r="AC45" i="4"/>
  <c r="N45" i="8" s="1"/>
  <c r="AC130" i="4"/>
  <c r="N130" i="8" s="1"/>
  <c r="AC128" i="4"/>
  <c r="AC24"/>
  <c r="AH24" i="8" s="1"/>
  <c r="AC127" i="4"/>
  <c r="AO118" i="8"/>
  <c r="AC59" i="4"/>
  <c r="N59" i="8" s="1"/>
  <c r="AJ94" i="4"/>
  <c r="AL94" i="8" s="1"/>
  <c r="AC49" i="4"/>
  <c r="N49" i="8" s="1"/>
  <c r="AJ57" i="4"/>
  <c r="AL57" i="8" s="1"/>
  <c r="AJ93" i="4"/>
  <c r="R93" i="8" s="1"/>
  <c r="AC42" i="4"/>
  <c r="AH42" i="8" s="1"/>
  <c r="AJ54" i="4"/>
  <c r="AL54" i="8" s="1"/>
  <c r="AC29" i="4"/>
  <c r="N29" i="8" s="1"/>
  <c r="AC40" i="4"/>
  <c r="AH40" i="8" s="1"/>
  <c r="AC25" i="4"/>
  <c r="N25" i="8" s="1"/>
  <c r="AJ45" i="4"/>
  <c r="R45" i="8" s="1"/>
  <c r="AJ33" i="4"/>
  <c r="AL33" i="8" s="1"/>
  <c r="AC17" i="4"/>
  <c r="AH17" i="8" s="1"/>
  <c r="AC176" i="4"/>
  <c r="AH176" i="8" s="1"/>
  <c r="AC15" i="4"/>
  <c r="N15" i="8" s="1"/>
  <c r="O166" i="22"/>
  <c r="O180"/>
  <c r="H180" s="1"/>
  <c r="J178" s="1"/>
  <c r="AC74" i="4"/>
  <c r="AH74" i="8" s="1"/>
  <c r="AJ114" i="4"/>
  <c r="R114" i="8" s="1"/>
  <c r="AJ147" i="4"/>
  <c r="R147" i="8" s="1"/>
  <c r="AJ151" i="4"/>
  <c r="R151" i="8" s="1"/>
  <c r="AJ150" i="4"/>
  <c r="AL150" i="8" s="1"/>
  <c r="AJ171" i="4"/>
  <c r="R171" i="8" s="1"/>
  <c r="AJ18" i="4"/>
  <c r="AL18" i="8" s="1"/>
  <c r="AJ172" i="4"/>
  <c r="AL172" i="8" s="1"/>
  <c r="AJ60" i="4"/>
  <c r="AL60" i="8" s="1"/>
  <c r="O33" i="22"/>
  <c r="H33" s="1"/>
  <c r="J31" s="1"/>
  <c r="AJ36" i="4"/>
  <c r="R36" i="8" s="1"/>
  <c r="AJ156" i="4"/>
  <c r="AL156" i="8" s="1"/>
  <c r="AC64" i="4"/>
  <c r="AH64" i="8" s="1"/>
  <c r="AJ157" i="4"/>
  <c r="R157" i="8" s="1"/>
  <c r="AC150" i="4"/>
  <c r="AH150" i="8" s="1"/>
  <c r="AJ91" i="4"/>
  <c r="AL91" i="8" s="1"/>
  <c r="O165" i="22"/>
  <c r="AJ55" i="4"/>
  <c r="AL55" i="8" s="1"/>
  <c r="AC16" i="4"/>
  <c r="AH16" i="8" s="1"/>
  <c r="AJ92" i="4"/>
  <c r="AL92" i="8" s="1"/>
  <c r="AJ148" i="4"/>
  <c r="AL148" i="8" s="1"/>
  <c r="AJ38" i="4"/>
  <c r="R38" i="8" s="1"/>
  <c r="AJ15" i="4"/>
  <c r="R15" i="8" s="1"/>
  <c r="AC147" i="4"/>
  <c r="N147" i="8" s="1"/>
  <c r="AJ17" i="4"/>
  <c r="R17" i="8" s="1"/>
  <c r="AJ149" i="4"/>
  <c r="AL149" i="8" s="1"/>
  <c r="Q159" i="22"/>
  <c r="O160" s="1"/>
  <c r="H160" s="1"/>
  <c r="AC65" i="4"/>
  <c r="N65" i="8" s="1"/>
  <c r="Q61" i="22"/>
  <c r="O75" s="1"/>
  <c r="AI75" i="4" s="1"/>
  <c r="AD75" i="8" s="1"/>
  <c r="Q75" s="1"/>
  <c r="Q117" i="22"/>
  <c r="O119" s="1"/>
  <c r="AJ167" i="4"/>
  <c r="AJ165"/>
  <c r="AJ168"/>
  <c r="AJ166"/>
  <c r="N60" i="8"/>
  <c r="AH60"/>
  <c r="N156"/>
  <c r="AH156"/>
  <c r="R44"/>
  <c r="AL44"/>
  <c r="N18"/>
  <c r="AH18"/>
  <c r="Q48" i="22"/>
  <c r="Q47"/>
  <c r="O57"/>
  <c r="H57" s="1"/>
  <c r="O55"/>
  <c r="H55" s="1"/>
  <c r="O56"/>
  <c r="H56" s="1"/>
  <c r="O54"/>
  <c r="H54" s="1"/>
  <c r="Q21"/>
  <c r="Q20"/>
  <c r="AL113" i="8"/>
  <c r="R113"/>
  <c r="AL152"/>
  <c r="R152"/>
  <c r="AI167" i="4"/>
  <c r="AD167" i="8" s="1"/>
  <c r="Q167" s="1"/>
  <c r="AH113"/>
  <c r="N113"/>
  <c r="O156" i="22"/>
  <c r="H156" s="1"/>
  <c r="O157"/>
  <c r="H157" s="1"/>
  <c r="O158"/>
  <c r="H158" s="1"/>
  <c r="O40"/>
  <c r="H40" s="1"/>
  <c r="O41"/>
  <c r="H41" s="1"/>
  <c r="O42"/>
  <c r="H42" s="1"/>
  <c r="Q76"/>
  <c r="Q75"/>
  <c r="AC144" i="4"/>
  <c r="AC145"/>
  <c r="AI32"/>
  <c r="AD32" i="8" s="1"/>
  <c r="Q32" s="1"/>
  <c r="AJ74" i="4"/>
  <c r="AJ72"/>
  <c r="AJ73"/>
  <c r="N70" i="8"/>
  <c r="AH70"/>
  <c r="Q98" i="22"/>
  <c r="Q97"/>
  <c r="AH172" i="8"/>
  <c r="N172"/>
  <c r="AJ28" i="4"/>
  <c r="AJ26"/>
  <c r="AJ24"/>
  <c r="AJ22"/>
  <c r="AJ29"/>
  <c r="AJ27"/>
  <c r="AJ25"/>
  <c r="AJ23"/>
  <c r="Q10" i="22"/>
  <c r="O11" s="1"/>
  <c r="R32" i="8"/>
  <c r="AL32"/>
  <c r="N38"/>
  <c r="AH38"/>
  <c r="O114" i="22"/>
  <c r="H114" s="1"/>
  <c r="O113"/>
  <c r="H113" s="1"/>
  <c r="N66" i="8"/>
  <c r="AH66"/>
  <c r="N73"/>
  <c r="AH73"/>
  <c r="AI109" i="4"/>
  <c r="AD109" i="8" s="1"/>
  <c r="AL37"/>
  <c r="R37"/>
  <c r="AC91" i="4"/>
  <c r="AC92"/>
  <c r="AC93"/>
  <c r="AC94"/>
  <c r="AC95"/>
  <c r="H125" i="22"/>
  <c r="AI126" i="4"/>
  <c r="AD126" i="8" s="1"/>
  <c r="Q126" s="1"/>
  <c r="AI117" i="4"/>
  <c r="AD117" i="8" s="1"/>
  <c r="AJ123" i="4"/>
  <c r="AJ122"/>
  <c r="AC83"/>
  <c r="AC84"/>
  <c r="AC85"/>
  <c r="AC80"/>
  <c r="AC81"/>
  <c r="AC82"/>
  <c r="AJ177"/>
  <c r="AJ176"/>
  <c r="AJ175"/>
  <c r="AL56" i="8"/>
  <c r="R56"/>
  <c r="AJ108" i="4"/>
  <c r="AJ106"/>
  <c r="AJ104"/>
  <c r="AJ103"/>
  <c r="AJ107"/>
  <c r="AJ105"/>
  <c r="AI179"/>
  <c r="AD179" i="8" s="1"/>
  <c r="Q179" s="1"/>
  <c r="AH129"/>
  <c r="AH175"/>
  <c r="N175"/>
  <c r="AC99" i="4"/>
  <c r="AC100"/>
  <c r="O142" i="22"/>
  <c r="H142" s="1"/>
  <c r="O143"/>
  <c r="AI143" i="4" s="1"/>
  <c r="AD143" i="8" s="1"/>
  <c r="Q143" s="1"/>
  <c r="O103" i="22"/>
  <c r="H103" s="1"/>
  <c r="O107"/>
  <c r="H107" s="1"/>
  <c r="O105"/>
  <c r="H105" s="1"/>
  <c r="O106"/>
  <c r="H106" s="1"/>
  <c r="O108"/>
  <c r="H108" s="1"/>
  <c r="O104"/>
  <c r="H104" s="1"/>
  <c r="O162"/>
  <c r="H162" s="1"/>
  <c r="O163"/>
  <c r="H163" s="1"/>
  <c r="O164"/>
  <c r="AI164" i="4" s="1"/>
  <c r="AD164" i="8" s="1"/>
  <c r="Q164" s="1"/>
  <c r="AL95"/>
  <c r="R95"/>
  <c r="AJ70" i="4"/>
  <c r="AJ68"/>
  <c r="AJ69"/>
  <c r="AH123" i="8"/>
  <c r="N123"/>
  <c r="R173"/>
  <c r="AL173"/>
  <c r="AH114"/>
  <c r="N114"/>
  <c r="AH180"/>
  <c r="N180"/>
  <c r="O18" i="22"/>
  <c r="H18" s="1"/>
  <c r="O16"/>
  <c r="H16" s="1"/>
  <c r="O15"/>
  <c r="H15" s="1"/>
  <c r="O17"/>
  <c r="H17" s="1"/>
  <c r="AH44" i="8"/>
  <c r="N44"/>
  <c r="AI159" i="4"/>
  <c r="AD159" i="8" s="1"/>
  <c r="O70" i="22"/>
  <c r="H70" s="1"/>
  <c r="O68"/>
  <c r="H68" s="1"/>
  <c r="O69"/>
  <c r="H69" s="1"/>
  <c r="O177"/>
  <c r="H177" s="1"/>
  <c r="O175"/>
  <c r="H175" s="1"/>
  <c r="O176"/>
  <c r="H176" s="1"/>
  <c r="N88" i="8"/>
  <c r="AH88"/>
  <c r="N69"/>
  <c r="AH69"/>
  <c r="O88" i="22"/>
  <c r="H88" s="1"/>
  <c r="O87"/>
  <c r="H87" s="1"/>
  <c r="O89"/>
  <c r="H89" s="1"/>
  <c r="N158" i="8"/>
  <c r="AH158"/>
  <c r="AJ100" i="4"/>
  <c r="AJ99"/>
  <c r="O60" i="22"/>
  <c r="H60" s="1"/>
  <c r="O59"/>
  <c r="H59" s="1"/>
  <c r="O80"/>
  <c r="H80" s="1"/>
  <c r="O84"/>
  <c r="H84" s="1"/>
  <c r="O82"/>
  <c r="H82" s="1"/>
  <c r="O81"/>
  <c r="H81" s="1"/>
  <c r="O85"/>
  <c r="H85" s="1"/>
  <c r="O83"/>
  <c r="H83" s="1"/>
  <c r="Q9"/>
  <c r="N37" i="8"/>
  <c r="AH37"/>
  <c r="AL16"/>
  <c r="R16"/>
  <c r="O110" i="22"/>
  <c r="H110" s="1"/>
  <c r="O112"/>
  <c r="AI112" i="4" s="1"/>
  <c r="AD112" i="8" s="1"/>
  <c r="Q112" s="1"/>
  <c r="O111" i="22"/>
  <c r="H111" s="1"/>
  <c r="AC32" i="4"/>
  <c r="AC33"/>
  <c r="AH106" i="8"/>
  <c r="N106"/>
  <c r="AJ128" i="4"/>
  <c r="R128" i="8" s="1"/>
  <c r="AJ130" i="4"/>
  <c r="R130" i="8" s="1"/>
  <c r="AJ127" i="4"/>
  <c r="R127" i="8" s="1"/>
  <c r="AJ129" i="4"/>
  <c r="R129" i="8" s="1"/>
  <c r="AJ131" i="4"/>
  <c r="R131" i="8" s="1"/>
  <c r="O91" i="22"/>
  <c r="H91" s="1"/>
  <c r="O95"/>
  <c r="H95" s="1"/>
  <c r="O93"/>
  <c r="H93" s="1"/>
  <c r="O92"/>
  <c r="H92" s="1"/>
  <c r="O94"/>
  <c r="H94" s="1"/>
  <c r="AJ179" i="4"/>
  <c r="AJ180"/>
  <c r="Q35" i="22"/>
  <c r="Q34"/>
  <c r="W118" i="8"/>
  <c r="K118" i="47" s="1"/>
  <c r="G118" s="1"/>
  <c r="AN118" i="8"/>
  <c r="AC54" i="4"/>
  <c r="AC56"/>
  <c r="AC55"/>
  <c r="AC57"/>
  <c r="O155" i="22"/>
  <c r="AI155" i="4" s="1"/>
  <c r="AD155" i="8" s="1"/>
  <c r="Q155" s="1"/>
  <c r="O154" i="22"/>
  <c r="H154" s="1"/>
  <c r="AJ66" i="4"/>
  <c r="AJ64"/>
  <c r="AJ65"/>
  <c r="Q140" i="22"/>
  <c r="AJ51" i="4"/>
  <c r="AJ49"/>
  <c r="AJ52"/>
  <c r="AJ50"/>
  <c r="Q63" i="22"/>
  <c r="Q62"/>
  <c r="O127"/>
  <c r="H127" s="1"/>
  <c r="O129"/>
  <c r="H129" s="1"/>
  <c r="O131"/>
  <c r="H131" s="1"/>
  <c r="O128"/>
  <c r="H128" s="1"/>
  <c r="O130"/>
  <c r="H130" s="1"/>
  <c r="AJ12" i="4"/>
  <c r="AJ13"/>
  <c r="AJ42"/>
  <c r="AJ40"/>
  <c r="AJ41"/>
  <c r="AC165"/>
  <c r="AC168"/>
  <c r="AC167"/>
  <c r="AC166"/>
  <c r="O148" i="22"/>
  <c r="H148" s="1"/>
  <c r="O152"/>
  <c r="H152" s="1"/>
  <c r="O149"/>
  <c r="H149" s="1"/>
  <c r="O150"/>
  <c r="H150" s="1"/>
  <c r="O151"/>
  <c r="H151" s="1"/>
  <c r="O147"/>
  <c r="H147" s="1"/>
  <c r="AI61" i="4"/>
  <c r="AD61" i="8" s="1"/>
  <c r="AJ84" i="4"/>
  <c r="AJ82"/>
  <c r="AJ80"/>
  <c r="AJ81"/>
  <c r="AJ85"/>
  <c r="AJ83"/>
  <c r="AL77" i="8"/>
  <c r="R77"/>
  <c r="Q170" i="22"/>
  <c r="Q169"/>
  <c r="AH179" i="8"/>
  <c r="N179"/>
  <c r="O123" i="22"/>
  <c r="H123" s="1"/>
  <c r="O122"/>
  <c r="H122" s="1"/>
  <c r="AI140" i="4"/>
  <c r="AD140" i="8" s="1"/>
  <c r="O73" i="22"/>
  <c r="H73" s="1"/>
  <c r="O72"/>
  <c r="H72" s="1"/>
  <c r="O74"/>
  <c r="H74" s="1"/>
  <c r="AJ144" i="4"/>
  <c r="AJ145"/>
  <c r="AJ87"/>
  <c r="AJ89"/>
  <c r="AJ88"/>
  <c r="N68" i="8"/>
  <c r="AH68"/>
  <c r="O144" i="22"/>
  <c r="H144" s="1"/>
  <c r="J143" s="1"/>
  <c r="O145"/>
  <c r="H145" s="1"/>
  <c r="N157" i="8"/>
  <c r="AH157"/>
  <c r="AJ159" i="4"/>
  <c r="AL159" i="8" s="1"/>
  <c r="AJ140" i="4"/>
  <c r="AL140" i="8" s="1"/>
  <c r="AJ117" i="4"/>
  <c r="AL117" i="8" s="1"/>
  <c r="AI121" i="4"/>
  <c r="AD121" i="8" s="1"/>
  <c r="Q121" s="1"/>
  <c r="AF76"/>
  <c r="R59"/>
  <c r="AL59"/>
  <c r="AL158"/>
  <c r="R158"/>
  <c r="AH41"/>
  <c r="N41"/>
  <c r="N36"/>
  <c r="AH36"/>
  <c r="AH12"/>
  <c r="N12"/>
  <c r="J58" i="22" l="1"/>
  <c r="J71"/>
  <c r="J28" i="63"/>
  <c r="J70"/>
  <c r="Q72"/>
  <c r="K70" s="1"/>
  <c r="J59"/>
  <c r="Q61"/>
  <c r="K59" s="1"/>
  <c r="N58" i="61"/>
  <c r="N50" s="1"/>
  <c r="Q20" s="1"/>
  <c r="K28" i="63"/>
  <c r="K27" s="1"/>
  <c r="K52"/>
  <c r="J51" s="1"/>
  <c r="Q19" s="1"/>
  <c r="Q55"/>
  <c r="L52" s="1"/>
  <c r="K51" s="1"/>
  <c r="N27" i="61"/>
  <c r="Q17" s="1"/>
  <c r="N68"/>
  <c r="J27" i="63"/>
  <c r="Q16" s="1"/>
  <c r="E33" i="22"/>
  <c r="E32"/>
  <c r="J90"/>
  <c r="E59"/>
  <c r="E60"/>
  <c r="H139"/>
  <c r="AI139" i="4"/>
  <c r="AD139" i="8" s="1"/>
  <c r="Q139" s="1"/>
  <c r="E180" i="22"/>
  <c r="E179"/>
  <c r="AL179" i="4" s="1"/>
  <c r="O136" i="22"/>
  <c r="O135"/>
  <c r="J67"/>
  <c r="J155"/>
  <c r="H138"/>
  <c r="AI138" i="4"/>
  <c r="AD138" i="8" s="1"/>
  <c r="Q138" s="1"/>
  <c r="G139" i="22"/>
  <c r="AB139" i="4"/>
  <c r="Z139" i="8" s="1"/>
  <c r="M139" s="1"/>
  <c r="J146" i="22"/>
  <c r="J174"/>
  <c r="AI165" i="4"/>
  <c r="AD165" i="8" s="1"/>
  <c r="Q165" s="1"/>
  <c r="H165" i="22"/>
  <c r="G138"/>
  <c r="AB138" i="4"/>
  <c r="Z138" i="8" s="1"/>
  <c r="M138" s="1"/>
  <c r="P134" i="22"/>
  <c r="P133"/>
  <c r="AI166" i="4"/>
  <c r="AD166" i="8" s="1"/>
  <c r="Q166" s="1"/>
  <c r="H166" i="22"/>
  <c r="AI168" i="4"/>
  <c r="AD168" i="8" s="1"/>
  <c r="Q168" s="1"/>
  <c r="H168" i="22"/>
  <c r="E145"/>
  <c r="E144"/>
  <c r="J79"/>
  <c r="J86"/>
  <c r="J14"/>
  <c r="J102"/>
  <c r="J112"/>
  <c r="E113" s="1"/>
  <c r="AB157" i="4"/>
  <c r="Z157" i="8" s="1"/>
  <c r="M157" s="1"/>
  <c r="G157" i="22"/>
  <c r="N143"/>
  <c r="AH22" i="8"/>
  <c r="N51"/>
  <c r="J39" i="22"/>
  <c r="AB73" i="4"/>
  <c r="Z73" i="8" s="1"/>
  <c r="M73" s="1"/>
  <c r="G73" i="22"/>
  <c r="E73"/>
  <c r="E72"/>
  <c r="E74"/>
  <c r="J53"/>
  <c r="AH149" i="8"/>
  <c r="L26" i="60"/>
  <c r="R26" s="1"/>
  <c r="AH139" i="8"/>
  <c r="N139"/>
  <c r="AF134"/>
  <c r="AJ134"/>
  <c r="AA134" s="1"/>
  <c r="L134" i="47" s="1"/>
  <c r="H134" s="1"/>
  <c r="AL138" i="8"/>
  <c r="R138"/>
  <c r="AH138"/>
  <c r="N138"/>
  <c r="AL139"/>
  <c r="R139"/>
  <c r="N126" i="22"/>
  <c r="N125"/>
  <c r="AB132" i="4"/>
  <c r="Z132" i="8" s="1"/>
  <c r="M132" s="1"/>
  <c r="G132" i="22"/>
  <c r="J126"/>
  <c r="O124"/>
  <c r="AI124" i="4" s="1"/>
  <c r="AD124" i="8" s="1"/>
  <c r="Q124" s="1"/>
  <c r="AH128"/>
  <c r="N128"/>
  <c r="AH127"/>
  <c r="N127"/>
  <c r="AH131"/>
  <c r="N131"/>
  <c r="AI134" i="4"/>
  <c r="N137" i="22"/>
  <c r="K30" i="60"/>
  <c r="L14"/>
  <c r="K27"/>
  <c r="L11"/>
  <c r="L18"/>
  <c r="K34"/>
  <c r="L34" s="1"/>
  <c r="R34" s="1"/>
  <c r="L16"/>
  <c r="K32"/>
  <c r="K28"/>
  <c r="L12"/>
  <c r="K29"/>
  <c r="L13"/>
  <c r="L15"/>
  <c r="K31"/>
  <c r="L17"/>
  <c r="K33"/>
  <c r="L113"/>
  <c r="L134" s="1"/>
  <c r="E34" i="15" s="1"/>
  <c r="T40" i="10" s="1"/>
  <c r="N156" i="22"/>
  <c r="G156" s="1"/>
  <c r="AH89" i="8"/>
  <c r="AF86" s="1"/>
  <c r="AH122"/>
  <c r="N74" i="22"/>
  <c r="G74" s="1"/>
  <c r="N72"/>
  <c r="G72" s="1"/>
  <c r="N158"/>
  <c r="G158" s="1"/>
  <c r="N33"/>
  <c r="G33" s="1"/>
  <c r="N32"/>
  <c r="G32" s="1"/>
  <c r="I31" s="1"/>
  <c r="N145"/>
  <c r="G145" s="1"/>
  <c r="N144"/>
  <c r="G144" s="1"/>
  <c r="N60"/>
  <c r="G60" s="1"/>
  <c r="N59"/>
  <c r="G59" s="1"/>
  <c r="N108" i="8"/>
  <c r="N122" i="22"/>
  <c r="G122" s="1"/>
  <c r="N177"/>
  <c r="G177" s="1"/>
  <c r="N176"/>
  <c r="G176" s="1"/>
  <c r="N175"/>
  <c r="G175" s="1"/>
  <c r="P62"/>
  <c r="P63"/>
  <c r="N167"/>
  <c r="G167" s="1"/>
  <c r="N165"/>
  <c r="G165" s="1"/>
  <c r="N166"/>
  <c r="G166" s="1"/>
  <c r="N168"/>
  <c r="G168" s="1"/>
  <c r="P140"/>
  <c r="P159"/>
  <c r="N87"/>
  <c r="G87" s="1"/>
  <c r="N89"/>
  <c r="G89" s="1"/>
  <c r="N88"/>
  <c r="G88" s="1"/>
  <c r="N87" i="8"/>
  <c r="P98" i="22"/>
  <c r="P97"/>
  <c r="N81"/>
  <c r="G81" s="1"/>
  <c r="N85"/>
  <c r="G85" s="1"/>
  <c r="N83"/>
  <c r="G83" s="1"/>
  <c r="N84"/>
  <c r="G84" s="1"/>
  <c r="N80"/>
  <c r="G80" s="1"/>
  <c r="N82"/>
  <c r="G82" s="1"/>
  <c r="N114"/>
  <c r="G114" s="1"/>
  <c r="N113"/>
  <c r="G113" s="1"/>
  <c r="P48"/>
  <c r="P47"/>
  <c r="P10"/>
  <c r="N11" s="1"/>
  <c r="N106"/>
  <c r="G106" s="1"/>
  <c r="N107"/>
  <c r="G107" s="1"/>
  <c r="N104"/>
  <c r="G104" s="1"/>
  <c r="N108"/>
  <c r="G108" s="1"/>
  <c r="N103"/>
  <c r="G103" s="1"/>
  <c r="N105"/>
  <c r="G105" s="1"/>
  <c r="N42"/>
  <c r="G42" s="1"/>
  <c r="N40"/>
  <c r="G40" s="1"/>
  <c r="N41"/>
  <c r="G41" s="1"/>
  <c r="N162"/>
  <c r="G162" s="1"/>
  <c r="N164"/>
  <c r="AB164" i="4" s="1"/>
  <c r="Z164" i="8" s="1"/>
  <c r="N163" i="22"/>
  <c r="G163" s="1"/>
  <c r="N155"/>
  <c r="AB155" i="4" s="1"/>
  <c r="Z155" i="8" s="1"/>
  <c r="N154" i="22"/>
  <c r="G154" s="1"/>
  <c r="P20"/>
  <c r="P21"/>
  <c r="N111"/>
  <c r="G111" s="1"/>
  <c r="N112"/>
  <c r="AB112" i="4" s="1"/>
  <c r="Z112" i="8" s="1"/>
  <c r="N110" i="22"/>
  <c r="G110" s="1"/>
  <c r="P35"/>
  <c r="P34"/>
  <c r="P9"/>
  <c r="N70"/>
  <c r="G70" s="1"/>
  <c r="N68"/>
  <c r="G68" s="1"/>
  <c r="N69"/>
  <c r="G69" s="1"/>
  <c r="N17"/>
  <c r="G17" s="1"/>
  <c r="N18"/>
  <c r="G18" s="1"/>
  <c r="N15"/>
  <c r="G15" s="1"/>
  <c r="N16"/>
  <c r="G16" s="1"/>
  <c r="N131"/>
  <c r="G131" s="1"/>
  <c r="N128"/>
  <c r="G128" s="1"/>
  <c r="N127"/>
  <c r="G127" s="1"/>
  <c r="N130"/>
  <c r="G130" s="1"/>
  <c r="N129"/>
  <c r="G129" s="1"/>
  <c r="N56"/>
  <c r="G56" s="1"/>
  <c r="N57"/>
  <c r="G57" s="1"/>
  <c r="N54"/>
  <c r="G54" s="1"/>
  <c r="N55"/>
  <c r="G55" s="1"/>
  <c r="P169"/>
  <c r="P170"/>
  <c r="P61"/>
  <c r="N148"/>
  <c r="G148" s="1"/>
  <c r="N151"/>
  <c r="G151" s="1"/>
  <c r="N150"/>
  <c r="G150" s="1"/>
  <c r="N147"/>
  <c r="G147" s="1"/>
  <c r="N152"/>
  <c r="G152" s="1"/>
  <c r="N149"/>
  <c r="G149" s="1"/>
  <c r="N142"/>
  <c r="G142" s="1"/>
  <c r="AB143" i="4"/>
  <c r="Z143" i="8" s="1"/>
  <c r="P75" i="22"/>
  <c r="P76"/>
  <c r="N179"/>
  <c r="G179" s="1"/>
  <c r="I178" s="1"/>
  <c r="N180"/>
  <c r="G180" s="1"/>
  <c r="N94"/>
  <c r="G94" s="1"/>
  <c r="N95"/>
  <c r="G95" s="1"/>
  <c r="N93"/>
  <c r="G93" s="1"/>
  <c r="N92"/>
  <c r="G92" s="1"/>
  <c r="N91"/>
  <c r="G91" s="1"/>
  <c r="N173" i="8"/>
  <c r="N171"/>
  <c r="AH171"/>
  <c r="AF170" s="1"/>
  <c r="N13"/>
  <c r="N24"/>
  <c r="AH105"/>
  <c r="R78"/>
  <c r="AH72"/>
  <c r="AF71" s="1"/>
  <c r="W71" s="1"/>
  <c r="K71" i="47" s="1"/>
  <c r="G71" s="1"/>
  <c r="AH177" i="8"/>
  <c r="AF174" s="1"/>
  <c r="N104"/>
  <c r="AH130"/>
  <c r="R33"/>
  <c r="AH107"/>
  <c r="R54"/>
  <c r="N103"/>
  <c r="AH27"/>
  <c r="AH52"/>
  <c r="AH45"/>
  <c r="AH15"/>
  <c r="AF14" s="1"/>
  <c r="W14" s="1"/>
  <c r="K14" i="47" s="1"/>
  <c r="G14" s="1"/>
  <c r="I10" s="1"/>
  <c r="D11" s="1"/>
  <c r="N40" i="8"/>
  <c r="AI180" i="4"/>
  <c r="AD180" i="8" s="1"/>
  <c r="Q180" s="1"/>
  <c r="AH49"/>
  <c r="R172"/>
  <c r="R57"/>
  <c r="N74"/>
  <c r="N42"/>
  <c r="X118"/>
  <c r="K118" i="22" s="1"/>
  <c r="R94" i="8"/>
  <c r="N50"/>
  <c r="AH59"/>
  <c r="AF58" s="1"/>
  <c r="W58" s="1"/>
  <c r="K58" i="47" s="1"/>
  <c r="G58" s="1"/>
  <c r="N17" i="8"/>
  <c r="N23"/>
  <c r="AL93"/>
  <c r="AJ90" s="1"/>
  <c r="AA90" s="1"/>
  <c r="L90" i="47" s="1"/>
  <c r="H90" s="1"/>
  <c r="AH29" i="8"/>
  <c r="AL147"/>
  <c r="AL151"/>
  <c r="AH26"/>
  <c r="N176"/>
  <c r="N28"/>
  <c r="AL45"/>
  <c r="AH25"/>
  <c r="R92"/>
  <c r="N151"/>
  <c r="AL114"/>
  <c r="AJ112" s="1"/>
  <c r="O169" i="22"/>
  <c r="AI169" i="4" s="1"/>
  <c r="AD169" i="8" s="1"/>
  <c r="Q169" s="1"/>
  <c r="N150"/>
  <c r="AI33" i="4"/>
  <c r="AD33" i="8" s="1"/>
  <c r="Q33" s="1"/>
  <c r="R18"/>
  <c r="N16"/>
  <c r="R156"/>
  <c r="AI119" i="4"/>
  <c r="AD119" i="8" s="1"/>
  <c r="Q119" s="1"/>
  <c r="R170"/>
  <c r="O97" i="22"/>
  <c r="AI97" i="4" s="1"/>
  <c r="AD97" i="8" s="1"/>
  <c r="AL36"/>
  <c r="AL171"/>
  <c r="AJ170" s="1"/>
  <c r="AL157"/>
  <c r="AJ155" s="1"/>
  <c r="AA155" s="1"/>
  <c r="L155" i="47" s="1"/>
  <c r="H155" s="1"/>
  <c r="J153" s="1"/>
  <c r="R149" i="8"/>
  <c r="R55"/>
  <c r="R150"/>
  <c r="N64"/>
  <c r="R60"/>
  <c r="AH152"/>
  <c r="O161" i="22"/>
  <c r="AI161" i="4" s="1"/>
  <c r="AD161" i="8" s="1"/>
  <c r="Q161" s="1"/>
  <c r="AL17"/>
  <c r="AF67"/>
  <c r="L67" s="1"/>
  <c r="R91"/>
  <c r="O118" i="22"/>
  <c r="N148" i="8"/>
  <c r="AH65"/>
  <c r="AF63" s="1"/>
  <c r="L63" s="1"/>
  <c r="AL15"/>
  <c r="AF178"/>
  <c r="L178" s="1"/>
  <c r="AJ76"/>
  <c r="AA76" s="1"/>
  <c r="L76" i="47" s="1"/>
  <c r="H76" s="1"/>
  <c r="R148" i="8"/>
  <c r="AL38"/>
  <c r="AH147"/>
  <c r="AF35"/>
  <c r="L35" s="1"/>
  <c r="O133" i="22"/>
  <c r="AJ58" i="8"/>
  <c r="AA58" s="1"/>
  <c r="L58" i="47" s="1"/>
  <c r="H58" s="1"/>
  <c r="O62" i="22"/>
  <c r="AI62" i="4" s="1"/>
  <c r="AD62" i="8" s="1"/>
  <c r="AI120" i="4"/>
  <c r="AD120" i="8" s="1"/>
  <c r="Q120" s="1"/>
  <c r="AI144" i="4"/>
  <c r="AD144" i="8" s="1"/>
  <c r="Q144" s="1"/>
  <c r="N167"/>
  <c r="AH167"/>
  <c r="O38" i="22"/>
  <c r="H38" s="1"/>
  <c r="O37"/>
  <c r="H37" s="1"/>
  <c r="O36"/>
  <c r="H36" s="1"/>
  <c r="AI93" i="4"/>
  <c r="AD93" i="8" s="1"/>
  <c r="Q93" s="1"/>
  <c r="AL128"/>
  <c r="O10" i="22"/>
  <c r="AI10" i="4" s="1"/>
  <c r="AD10" i="8" s="1"/>
  <c r="O20" i="22"/>
  <c r="AI20" i="4" s="1"/>
  <c r="AD20" i="8" s="1"/>
  <c r="O34" i="22"/>
  <c r="AI34" i="4" s="1"/>
  <c r="AD34" i="8" s="1"/>
  <c r="O47" i="22"/>
  <c r="AI47" i="4" s="1"/>
  <c r="AD47" i="8" s="1"/>
  <c r="AI82" i="4"/>
  <c r="AD82" i="8" s="1"/>
  <c r="Q82" s="1"/>
  <c r="AI60" i="4"/>
  <c r="AD60" i="8" s="1"/>
  <c r="Q60" s="1"/>
  <c r="AI16" i="4"/>
  <c r="AD16" i="8" s="1"/>
  <c r="Q16" s="1"/>
  <c r="AI163" i="4"/>
  <c r="AD163" i="8" s="1"/>
  <c r="Q163" s="1"/>
  <c r="AI108" i="4"/>
  <c r="AD108" i="8" s="1"/>
  <c r="Q108" s="1"/>
  <c r="R177"/>
  <c r="AL177"/>
  <c r="AI114" i="4"/>
  <c r="AD114" i="8" s="1"/>
  <c r="Q114" s="1"/>
  <c r="AL23"/>
  <c r="R23"/>
  <c r="O79" i="22"/>
  <c r="AI79" i="4" s="1"/>
  <c r="AD79" i="8" s="1"/>
  <c r="Q79" s="1"/>
  <c r="O90" i="22"/>
  <c r="AI90" i="4" s="1"/>
  <c r="AD90" i="8" s="1"/>
  <c r="Q90" s="1"/>
  <c r="O76" i="22"/>
  <c r="AI76" i="4" s="1"/>
  <c r="AD76" i="8" s="1"/>
  <c r="Q76" s="1"/>
  <c r="O86" i="22"/>
  <c r="AI86" i="4" s="1"/>
  <c r="AD86" i="8" s="1"/>
  <c r="Q86" s="1"/>
  <c r="AI158" i="4"/>
  <c r="AD158" i="8" s="1"/>
  <c r="Q158" s="1"/>
  <c r="O50" i="22"/>
  <c r="H50" s="1"/>
  <c r="O52"/>
  <c r="H52" s="1"/>
  <c r="O51"/>
  <c r="H51" s="1"/>
  <c r="O49"/>
  <c r="H49" s="1"/>
  <c r="R166" i="8"/>
  <c r="AL166"/>
  <c r="AL145"/>
  <c r="R145"/>
  <c r="AI73" i="4"/>
  <c r="AD73" i="8" s="1"/>
  <c r="Q73" s="1"/>
  <c r="AI122" i="4"/>
  <c r="AD122" i="8" s="1"/>
  <c r="Q122" s="1"/>
  <c r="R80"/>
  <c r="AL80"/>
  <c r="AI160" i="4"/>
  <c r="AD160" i="8" s="1"/>
  <c r="Q160" s="1"/>
  <c r="AI150" i="4"/>
  <c r="AD150" i="8" s="1"/>
  <c r="Q150" s="1"/>
  <c r="N168"/>
  <c r="AH168"/>
  <c r="AL13"/>
  <c r="R13"/>
  <c r="AI130" i="4"/>
  <c r="AD130" i="8" s="1"/>
  <c r="Q130" s="1"/>
  <c r="AI127" i="4"/>
  <c r="AD127" i="8" s="1"/>
  <c r="Q127" s="1"/>
  <c r="AL52"/>
  <c r="R52"/>
  <c r="R65"/>
  <c r="AL65"/>
  <c r="N55"/>
  <c r="AH55"/>
  <c r="AL179"/>
  <c r="R179"/>
  <c r="AI95" i="4"/>
  <c r="AD95" i="8" s="1"/>
  <c r="Q95" s="1"/>
  <c r="AL129"/>
  <c r="N32"/>
  <c r="AH32"/>
  <c r="AI83" i="4"/>
  <c r="AD83" i="8" s="1"/>
  <c r="Q83" s="1"/>
  <c r="AI84" i="4"/>
  <c r="AD84" i="8" s="1"/>
  <c r="Q84" s="1"/>
  <c r="AL99"/>
  <c r="R99"/>
  <c r="AI177" i="4"/>
  <c r="AD177" i="8" s="1"/>
  <c r="Q177" s="1"/>
  <c r="AI18" i="4"/>
  <c r="AD18" i="8" s="1"/>
  <c r="Q18" s="1"/>
  <c r="AL70"/>
  <c r="R70"/>
  <c r="AI162" i="4"/>
  <c r="AD162" i="8" s="1"/>
  <c r="Q162" s="1"/>
  <c r="AI106" i="4"/>
  <c r="AD106" i="8" s="1"/>
  <c r="Q106" s="1"/>
  <c r="AI142" i="4"/>
  <c r="AD142" i="8" s="1"/>
  <c r="Q142" s="1"/>
  <c r="AL104"/>
  <c r="R104"/>
  <c r="AH85"/>
  <c r="N85"/>
  <c r="AL122"/>
  <c r="R122"/>
  <c r="N95"/>
  <c r="AH95"/>
  <c r="N91"/>
  <c r="AH91"/>
  <c r="AD134"/>
  <c r="Q134" s="1"/>
  <c r="AJ31"/>
  <c r="AA31" s="1"/>
  <c r="L31" i="47" s="1"/>
  <c r="H31" s="1"/>
  <c r="AL25" i="8"/>
  <c r="R25"/>
  <c r="R24"/>
  <c r="AL24"/>
  <c r="R73"/>
  <c r="AL73"/>
  <c r="O77" i="22"/>
  <c r="H77" s="1"/>
  <c r="J76" s="1"/>
  <c r="O78"/>
  <c r="H78" s="1"/>
  <c r="AI41" i="4"/>
  <c r="AD41" i="8" s="1"/>
  <c r="Q41" s="1"/>
  <c r="AI157" i="4"/>
  <c r="AD157" i="8" s="1"/>
  <c r="Q157" s="1"/>
  <c r="AF112"/>
  <c r="O31" i="22"/>
  <c r="AI31" i="4" s="1"/>
  <c r="AD31" i="8" s="1"/>
  <c r="O21" i="22"/>
  <c r="AI21" i="4" s="1"/>
  <c r="AD21" i="8" s="1"/>
  <c r="O30" i="22"/>
  <c r="H30" s="1"/>
  <c r="AI55" i="4"/>
  <c r="AD55" i="8" s="1"/>
  <c r="Q55" s="1"/>
  <c r="R168"/>
  <c r="AL168"/>
  <c r="W76"/>
  <c r="K76" i="47" s="1"/>
  <c r="G76" s="1"/>
  <c r="L76" i="8"/>
  <c r="R87"/>
  <c r="AL87"/>
  <c r="O171" i="22"/>
  <c r="H171" s="1"/>
  <c r="O172"/>
  <c r="H172" s="1"/>
  <c r="O173"/>
  <c r="H173" s="1"/>
  <c r="AL81" i="8"/>
  <c r="R81"/>
  <c r="AL50"/>
  <c r="R50"/>
  <c r="O146" i="22"/>
  <c r="AI146" i="4" s="1"/>
  <c r="AD146" i="8" s="1"/>
  <c r="Q146" s="1"/>
  <c r="O141" i="22"/>
  <c r="AI141" i="4" s="1"/>
  <c r="AD141" i="8" s="1"/>
  <c r="Q141" s="1"/>
  <c r="O153" i="22"/>
  <c r="AI153" i="4" s="1"/>
  <c r="AD153" i="8" s="1"/>
  <c r="Q153" s="1"/>
  <c r="AL131"/>
  <c r="N33"/>
  <c r="AH33"/>
  <c r="AI111" i="4"/>
  <c r="AD111" i="8" s="1"/>
  <c r="Q111" s="1"/>
  <c r="AI88" i="4"/>
  <c r="AD88" i="8" s="1"/>
  <c r="Q88" s="1"/>
  <c r="AI175" i="4"/>
  <c r="AD175" i="8" s="1"/>
  <c r="Q175" s="1"/>
  <c r="AI70" i="4"/>
  <c r="AD70" i="8" s="1"/>
  <c r="Q70" s="1"/>
  <c r="AL68"/>
  <c r="R68"/>
  <c r="AI103" i="4"/>
  <c r="AD103" i="8" s="1"/>
  <c r="Q103" s="1"/>
  <c r="AL103"/>
  <c r="R103"/>
  <c r="AH80"/>
  <c r="N80"/>
  <c r="AI125" i="4"/>
  <c r="AD125" i="8" s="1"/>
  <c r="Q125" s="1"/>
  <c r="N92"/>
  <c r="AH92"/>
  <c r="AL22"/>
  <c r="R22"/>
  <c r="AI42" i="4"/>
  <c r="AD42" i="8" s="1"/>
  <c r="Q42" s="1"/>
  <c r="AI56" i="4"/>
  <c r="AD56" i="8" s="1"/>
  <c r="Q56" s="1"/>
  <c r="AL88"/>
  <c r="R88"/>
  <c r="R144"/>
  <c r="AL144"/>
  <c r="AI123" i="4"/>
  <c r="AD123" i="8" s="1"/>
  <c r="Q123" s="1"/>
  <c r="AL83"/>
  <c r="R83"/>
  <c r="R82"/>
  <c r="AL82"/>
  <c r="AI149" i="4"/>
  <c r="AD149" i="8" s="1"/>
  <c r="Q149" s="1"/>
  <c r="N165"/>
  <c r="AH165"/>
  <c r="AL41"/>
  <c r="R41"/>
  <c r="R12"/>
  <c r="AL12"/>
  <c r="AI128" i="4"/>
  <c r="AD128" i="8" s="1"/>
  <c r="Q128" s="1"/>
  <c r="O71" i="22"/>
  <c r="AI71" i="4" s="1"/>
  <c r="AD71" i="8" s="1"/>
  <c r="Q71" s="1"/>
  <c r="O63" i="22"/>
  <c r="AI63" i="4" s="1"/>
  <c r="AD63" i="8" s="1"/>
  <c r="O67" i="22"/>
  <c r="AI67" i="4" s="1"/>
  <c r="AD67" i="8" s="1"/>
  <c r="R49"/>
  <c r="AL49"/>
  <c r="R64"/>
  <c r="AL64"/>
  <c r="AI154" i="4"/>
  <c r="AD154" i="8" s="1"/>
  <c r="Q154" s="1"/>
  <c r="N56"/>
  <c r="AH56"/>
  <c r="AI94" i="4"/>
  <c r="AD94" i="8" s="1"/>
  <c r="Q94" s="1"/>
  <c r="AI91" i="4"/>
  <c r="AD91" i="8" s="1"/>
  <c r="Q91" s="1"/>
  <c r="AL127"/>
  <c r="AI110" i="4"/>
  <c r="AD110" i="8" s="1"/>
  <c r="Q110" s="1"/>
  <c r="AI85" i="4"/>
  <c r="AD85" i="8" s="1"/>
  <c r="Q85" s="1"/>
  <c r="AI80" i="4"/>
  <c r="AD80" i="8" s="1"/>
  <c r="Q80" s="1"/>
  <c r="AL100"/>
  <c r="R100"/>
  <c r="AI89" i="4"/>
  <c r="AD89" i="8" s="1"/>
  <c r="Q89" s="1"/>
  <c r="AI69" i="4"/>
  <c r="AD69" i="8" s="1"/>
  <c r="Q69" s="1"/>
  <c r="AI17" i="4"/>
  <c r="AD17" i="8" s="1"/>
  <c r="Q17" s="1"/>
  <c r="AI105" i="4"/>
  <c r="AD105" i="8" s="1"/>
  <c r="Q105" s="1"/>
  <c r="AH100"/>
  <c r="N100"/>
  <c r="AL105"/>
  <c r="R105"/>
  <c r="R106"/>
  <c r="AL106"/>
  <c r="AL175"/>
  <c r="R175"/>
  <c r="AH82"/>
  <c r="N82"/>
  <c r="N84"/>
  <c r="AH84"/>
  <c r="AL123"/>
  <c r="R123"/>
  <c r="N94"/>
  <c r="AH94"/>
  <c r="AD137"/>
  <c r="Q137" s="1"/>
  <c r="AJ53"/>
  <c r="O19" i="22"/>
  <c r="H19" s="1"/>
  <c r="AI11" i="4"/>
  <c r="AD11" i="8" s="1"/>
  <c r="Q11" s="1"/>
  <c r="O14" i="22"/>
  <c r="AI14" i="4" s="1"/>
  <c r="AD14" i="8" s="1"/>
  <c r="AL27"/>
  <c r="R27"/>
  <c r="AL26"/>
  <c r="R26"/>
  <c r="O101" i="22"/>
  <c r="H101" s="1"/>
  <c r="O102"/>
  <c r="AI102" i="4" s="1"/>
  <c r="AD102" i="8" s="1"/>
  <c r="Q102" s="1"/>
  <c r="O98" i="22"/>
  <c r="AI98" i="4" s="1"/>
  <c r="AD98" i="8" s="1"/>
  <c r="R72"/>
  <c r="AL72"/>
  <c r="N145"/>
  <c r="AH145"/>
  <c r="AI40" i="4"/>
  <c r="AD40" i="8" s="1"/>
  <c r="Q40" s="1"/>
  <c r="AI156" i="4"/>
  <c r="AD156" i="8" s="1"/>
  <c r="Q156" s="1"/>
  <c r="O22" i="22"/>
  <c r="H22" s="1"/>
  <c r="O24"/>
  <c r="H24" s="1"/>
  <c r="O28"/>
  <c r="H28" s="1"/>
  <c r="O25"/>
  <c r="H25" s="1"/>
  <c r="O29"/>
  <c r="H29" s="1"/>
  <c r="O26"/>
  <c r="H26" s="1"/>
  <c r="O23"/>
  <c r="H23" s="1"/>
  <c r="O27"/>
  <c r="H27" s="1"/>
  <c r="AI57" i="4"/>
  <c r="AD57" i="8" s="1"/>
  <c r="Q57" s="1"/>
  <c r="AL165"/>
  <c r="R165"/>
  <c r="AI72" i="4"/>
  <c r="AD72" i="8" s="1"/>
  <c r="Q72" s="1"/>
  <c r="AI151" i="4"/>
  <c r="AD151" i="8" s="1"/>
  <c r="Q151" s="1"/>
  <c r="AI148" i="4"/>
  <c r="AD148" i="8" s="1"/>
  <c r="Q148" s="1"/>
  <c r="AL42"/>
  <c r="R42"/>
  <c r="AI129" i="4"/>
  <c r="AD129" i="8" s="1"/>
  <c r="Q129" s="1"/>
  <c r="N57"/>
  <c r="AH57"/>
  <c r="R180"/>
  <c r="AL180"/>
  <c r="AI145" i="4"/>
  <c r="AD145" i="8" s="1"/>
  <c r="Q145" s="1"/>
  <c r="AL89"/>
  <c r="R89"/>
  <c r="AI74" i="4"/>
  <c r="AD74" i="8" s="1"/>
  <c r="Q74" s="1"/>
  <c r="O170" i="22"/>
  <c r="AI170" i="4" s="1"/>
  <c r="AD170" i="8" s="1"/>
  <c r="Q170" s="1"/>
  <c r="O174" i="22"/>
  <c r="AI174" i="4" s="1"/>
  <c r="AD174" i="8" s="1"/>
  <c r="Q174" s="1"/>
  <c r="O178" i="22"/>
  <c r="AI178" i="4" s="1"/>
  <c r="AD178" i="8" s="1"/>
  <c r="Q178" s="1"/>
  <c r="AL85"/>
  <c r="R85"/>
  <c r="R84"/>
  <c r="AL84"/>
  <c r="AI147" i="4"/>
  <c r="AD147" i="8" s="1"/>
  <c r="Q147" s="1"/>
  <c r="AI152" i="4"/>
  <c r="AD152" i="8" s="1"/>
  <c r="Q152" s="1"/>
  <c r="N166"/>
  <c r="AH166"/>
  <c r="AL40"/>
  <c r="R40"/>
  <c r="AI131" i="4"/>
  <c r="AD131" i="8" s="1"/>
  <c r="Q131" s="1"/>
  <c r="O64" i="22"/>
  <c r="H64" s="1"/>
  <c r="O66"/>
  <c r="H66" s="1"/>
  <c r="O65"/>
  <c r="H65" s="1"/>
  <c r="R51" i="8"/>
  <c r="AL51"/>
  <c r="AL66"/>
  <c r="R66"/>
  <c r="N54"/>
  <c r="AH54"/>
  <c r="T118"/>
  <c r="O46" i="22"/>
  <c r="H46" s="1"/>
  <c r="O43"/>
  <c r="H43" s="1"/>
  <c r="O39"/>
  <c r="AI39" i="4" s="1"/>
  <c r="AD39" i="8" s="1"/>
  <c r="O35" i="22"/>
  <c r="AI35" i="4" s="1"/>
  <c r="AD35" i="8" s="1"/>
  <c r="AI92" i="4"/>
  <c r="AD92" i="8" s="1"/>
  <c r="Q92" s="1"/>
  <c r="AL130"/>
  <c r="AI81" i="4"/>
  <c r="AD81" i="8" s="1"/>
  <c r="Q81" s="1"/>
  <c r="AI59" i="4"/>
  <c r="AD59" i="8" s="1"/>
  <c r="Q59" s="1"/>
  <c r="U118"/>
  <c r="AI87" i="4"/>
  <c r="AD87" i="8" s="1"/>
  <c r="Q87" s="1"/>
  <c r="AI176" i="4"/>
  <c r="AD176" i="8" s="1"/>
  <c r="Q176" s="1"/>
  <c r="AI68" i="4"/>
  <c r="AD68" i="8" s="1"/>
  <c r="Q68" s="1"/>
  <c r="AI15" i="4"/>
  <c r="AD15" i="8" s="1"/>
  <c r="Q15" s="1"/>
  <c r="AL69"/>
  <c r="R69"/>
  <c r="AI104" i="4"/>
  <c r="AD104" i="8" s="1"/>
  <c r="Q104" s="1"/>
  <c r="AI107" i="4"/>
  <c r="AD107" i="8" s="1"/>
  <c r="Q107" s="1"/>
  <c r="AH99"/>
  <c r="N99"/>
  <c r="AL107"/>
  <c r="R107"/>
  <c r="AL108"/>
  <c r="R108"/>
  <c r="AL176"/>
  <c r="R176"/>
  <c r="AH81"/>
  <c r="N81"/>
  <c r="AH83"/>
  <c r="N83"/>
  <c r="N93"/>
  <c r="AH93"/>
  <c r="AI113" i="4"/>
  <c r="AD113" i="8" s="1"/>
  <c r="Q113" s="1"/>
  <c r="O13" i="22"/>
  <c r="H13" s="1"/>
  <c r="O12"/>
  <c r="H12" s="1"/>
  <c r="AL29" i="8"/>
  <c r="R29"/>
  <c r="R28"/>
  <c r="AL28"/>
  <c r="O99" i="22"/>
  <c r="H99" s="1"/>
  <c r="O100"/>
  <c r="H100" s="1"/>
  <c r="AL74" i="8"/>
  <c r="R74"/>
  <c r="N144"/>
  <c r="AH144"/>
  <c r="AI54" i="4"/>
  <c r="AD54" i="8" s="1"/>
  <c r="Q54" s="1"/>
  <c r="O48" i="22"/>
  <c r="AI48" i="4" s="1"/>
  <c r="AD48" i="8" s="1"/>
  <c r="O58" i="22"/>
  <c r="AI58" i="4" s="1"/>
  <c r="AD58" i="8" s="1"/>
  <c r="Q58" s="1"/>
  <c r="O53" i="22"/>
  <c r="AI53" i="4" s="1"/>
  <c r="AD53" i="8" s="1"/>
  <c r="AF39"/>
  <c r="AF155"/>
  <c r="AL167"/>
  <c r="R167"/>
  <c r="E114" i="22" l="1"/>
  <c r="I58"/>
  <c r="D59" s="1"/>
  <c r="I164"/>
  <c r="D168" s="1"/>
  <c r="I174"/>
  <c r="I71"/>
  <c r="I155"/>
  <c r="D157" s="1"/>
  <c r="Q17" i="63"/>
  <c r="J170" i="22"/>
  <c r="E172" s="1"/>
  <c r="L35" i="60"/>
  <c r="E8" i="15" s="1"/>
  <c r="Q20" i="63"/>
  <c r="D167" i="22"/>
  <c r="D166"/>
  <c r="E157"/>
  <c r="E156"/>
  <c r="E158"/>
  <c r="J98"/>
  <c r="E16"/>
  <c r="E18"/>
  <c r="E17"/>
  <c r="E15"/>
  <c r="I137"/>
  <c r="E176"/>
  <c r="E175"/>
  <c r="E177"/>
  <c r="E69"/>
  <c r="E70"/>
  <c r="E68"/>
  <c r="J35"/>
  <c r="I146"/>
  <c r="I102"/>
  <c r="I112"/>
  <c r="N134"/>
  <c r="AB134" i="4" s="1"/>
  <c r="E149" i="22"/>
  <c r="E147"/>
  <c r="E152"/>
  <c r="E150"/>
  <c r="E148"/>
  <c r="E151"/>
  <c r="J137"/>
  <c r="H135"/>
  <c r="AI135" i="4"/>
  <c r="AD135" i="8" s="1"/>
  <c r="Q135" s="1"/>
  <c r="E92" i="22"/>
  <c r="E95"/>
  <c r="E94"/>
  <c r="E93"/>
  <c r="E91"/>
  <c r="D175"/>
  <c r="D177"/>
  <c r="D176"/>
  <c r="E106"/>
  <c r="E108"/>
  <c r="E104"/>
  <c r="E103"/>
  <c r="E105"/>
  <c r="E107"/>
  <c r="J63"/>
  <c r="I90"/>
  <c r="I79"/>
  <c r="D32"/>
  <c r="D33"/>
  <c r="E78"/>
  <c r="E77"/>
  <c r="D180"/>
  <c r="D179"/>
  <c r="I14"/>
  <c r="I67"/>
  <c r="I86"/>
  <c r="E83"/>
  <c r="E81"/>
  <c r="E89"/>
  <c r="E80"/>
  <c r="E88"/>
  <c r="E85"/>
  <c r="E84"/>
  <c r="E87"/>
  <c r="AL87" i="4" s="1"/>
  <c r="E82" i="22"/>
  <c r="N136"/>
  <c r="N135"/>
  <c r="J164"/>
  <c r="H136"/>
  <c r="AI136" i="4"/>
  <c r="AD136" i="8" s="1"/>
  <c r="Q136" s="1"/>
  <c r="I39" i="22"/>
  <c r="E40"/>
  <c r="E41"/>
  <c r="E42"/>
  <c r="D73"/>
  <c r="D72"/>
  <c r="D74"/>
  <c r="AE74" i="4" s="1"/>
  <c r="AI74" i="8" s="1"/>
  <c r="I53" i="22"/>
  <c r="E55"/>
  <c r="E56"/>
  <c r="E57"/>
  <c r="E54"/>
  <c r="J48"/>
  <c r="J21"/>
  <c r="AJ137" i="8"/>
  <c r="AA137" s="1"/>
  <c r="L137" i="47" s="1"/>
  <c r="H137" s="1"/>
  <c r="J133" s="1"/>
  <c r="AF137" i="8"/>
  <c r="W134"/>
  <c r="K134" i="47" s="1"/>
  <c r="G134" s="1"/>
  <c r="L134" i="8"/>
  <c r="M104" i="59" s="1"/>
  <c r="N104" s="1"/>
  <c r="L74" s="1"/>
  <c r="D19" i="47"/>
  <c r="I143" i="22"/>
  <c r="D145" s="1"/>
  <c r="AF146" i="8"/>
  <c r="L146" s="1"/>
  <c r="N123" i="22"/>
  <c r="G123" s="1"/>
  <c r="AB121" i="4"/>
  <c r="Z121" i="8" s="1"/>
  <c r="M121" s="1"/>
  <c r="E155" i="47"/>
  <c r="AJ155" i="4" s="1"/>
  <c r="E154" i="47"/>
  <c r="AJ154" i="4" s="1"/>
  <c r="D14" i="47"/>
  <c r="E131" i="22"/>
  <c r="E130"/>
  <c r="E129"/>
  <c r="E128"/>
  <c r="E127"/>
  <c r="I126"/>
  <c r="AB125" i="4"/>
  <c r="Z125" i="8" s="1"/>
  <c r="M125" s="1"/>
  <c r="AB126" i="4"/>
  <c r="Z126" i="8" s="1"/>
  <c r="M126" s="1"/>
  <c r="AB137" i="4"/>
  <c r="Z137" i="8" s="1"/>
  <c r="M137" s="1"/>
  <c r="AI118" i="4"/>
  <c r="AD118" i="8" s="1"/>
  <c r="Q118" s="1"/>
  <c r="H118" i="22"/>
  <c r="J11"/>
  <c r="AI133" i="4"/>
  <c r="AD133" i="8" s="1"/>
  <c r="Q133" s="1"/>
  <c r="L24" i="60"/>
  <c r="L133" s="1"/>
  <c r="E9" i="15" s="1"/>
  <c r="AB156" i="4"/>
  <c r="Z156" i="8" s="1"/>
  <c r="M156" s="1"/>
  <c r="AB158" i="4"/>
  <c r="Z158" i="8" s="1"/>
  <c r="M158" s="1"/>
  <c r="AB74" i="4"/>
  <c r="Z74" i="8" s="1"/>
  <c r="M74" s="1"/>
  <c r="AB72" i="4"/>
  <c r="Z72" i="8" s="1"/>
  <c r="M72" s="1"/>
  <c r="AB32" i="4"/>
  <c r="Z32" i="8" s="1"/>
  <c r="M32" s="1"/>
  <c r="AB33" i="4"/>
  <c r="Z33" i="8" s="1"/>
  <c r="M33" s="1"/>
  <c r="AB144" i="4"/>
  <c r="Z144" i="8" s="1"/>
  <c r="M144" s="1"/>
  <c r="N76" i="62" s="1"/>
  <c r="AB145" i="4"/>
  <c r="Z145" i="8" s="1"/>
  <c r="M145" s="1"/>
  <c r="AB122" i="4"/>
  <c r="Z122" i="8" s="1"/>
  <c r="AB59" i="4"/>
  <c r="Z59" i="8" s="1"/>
  <c r="M59" s="1"/>
  <c r="AB60" i="4"/>
  <c r="Z60" i="8" s="1"/>
  <c r="M60" s="1"/>
  <c r="AB180" i="4"/>
  <c r="Z180" i="8" s="1"/>
  <c r="M180" s="1"/>
  <c r="N55" i="62" s="1"/>
  <c r="N62" i="22"/>
  <c r="AB62" i="4" s="1"/>
  <c r="Z62" i="8" s="1"/>
  <c r="N75" i="22"/>
  <c r="AB75" i="4" s="1"/>
  <c r="Z75" i="8" s="1"/>
  <c r="N97" i="22"/>
  <c r="AB97" i="4" s="1"/>
  <c r="Z97" i="8" s="1"/>
  <c r="AB42" i="4"/>
  <c r="Z42" i="8" s="1"/>
  <c r="M42" s="1"/>
  <c r="AB113" i="4"/>
  <c r="Z113" i="8" s="1"/>
  <c r="M113" s="1"/>
  <c r="AB120" i="4"/>
  <c r="Z120" i="8" s="1"/>
  <c r="M120" s="1"/>
  <c r="AB93" i="4"/>
  <c r="Z93" i="8" s="1"/>
  <c r="M93" s="1"/>
  <c r="AB179" i="4"/>
  <c r="Z179" i="8" s="1"/>
  <c r="M179" s="1"/>
  <c r="AB142" i="4"/>
  <c r="Z142" i="8" s="1"/>
  <c r="M142" s="1"/>
  <c r="AB150" i="4"/>
  <c r="Z150" i="8" s="1"/>
  <c r="M150" s="1"/>
  <c r="N41" i="62" s="1"/>
  <c r="N172" i="22"/>
  <c r="G172" s="1"/>
  <c r="N173"/>
  <c r="G173" s="1"/>
  <c r="N171"/>
  <c r="G171" s="1"/>
  <c r="AB57" i="4"/>
  <c r="Z57" i="8" s="1"/>
  <c r="M57" s="1"/>
  <c r="AB127" i="4"/>
  <c r="Z127" i="8" s="1"/>
  <c r="M127" s="1"/>
  <c r="AB15" i="4"/>
  <c r="Z15" i="8" s="1"/>
  <c r="M15" s="1"/>
  <c r="N34" i="22"/>
  <c r="AB34" i="4" s="1"/>
  <c r="Z34" i="8" s="1"/>
  <c r="N20" i="22"/>
  <c r="AB20" i="4" s="1"/>
  <c r="Z20" i="8" s="1"/>
  <c r="N10" i="22"/>
  <c r="AB10" i="4" s="1"/>
  <c r="Z10" i="8" s="1"/>
  <c r="N47" i="22"/>
  <c r="AB47" i="4" s="1"/>
  <c r="Z47" i="8" s="1"/>
  <c r="N25" i="22"/>
  <c r="G25" s="1"/>
  <c r="N24"/>
  <c r="G24" s="1"/>
  <c r="N29"/>
  <c r="G29" s="1"/>
  <c r="N26"/>
  <c r="G26" s="1"/>
  <c r="N23"/>
  <c r="G23" s="1"/>
  <c r="N28"/>
  <c r="G28" s="1"/>
  <c r="N27"/>
  <c r="G27" s="1"/>
  <c r="N22"/>
  <c r="G22" s="1"/>
  <c r="AB163" i="4"/>
  <c r="Z163" i="8" s="1"/>
  <c r="M163" s="1"/>
  <c r="N54" i="62" s="1"/>
  <c r="AB105" i="4"/>
  <c r="Z105" i="8" s="1"/>
  <c r="M105" s="1"/>
  <c r="H32" i="62" s="1"/>
  <c r="H32" i="63" s="1"/>
  <c r="AB107" i="4"/>
  <c r="Z107" i="8" s="1"/>
  <c r="M107" s="1"/>
  <c r="H34" i="62" s="1"/>
  <c r="H34" i="63" s="1"/>
  <c r="AB114" i="4"/>
  <c r="Z114" i="8" s="1"/>
  <c r="M114" s="1"/>
  <c r="H55" i="62" s="1"/>
  <c r="AB83" i="4"/>
  <c r="Z83" i="8" s="1"/>
  <c r="M83" s="1"/>
  <c r="N100" i="22"/>
  <c r="G100" s="1"/>
  <c r="N99"/>
  <c r="G99" s="1"/>
  <c r="AB89" i="4"/>
  <c r="Z89" i="8" s="1"/>
  <c r="M89" s="1"/>
  <c r="AB165" i="4"/>
  <c r="Z165" i="8" s="1"/>
  <c r="M165" s="1"/>
  <c r="AB175" i="4"/>
  <c r="Z175" i="8" s="1"/>
  <c r="M175" s="1"/>
  <c r="AB92" i="4"/>
  <c r="Z92" i="8" s="1"/>
  <c r="M92" s="1"/>
  <c r="AB104" i="4"/>
  <c r="Z104" i="8" s="1"/>
  <c r="M104" s="1"/>
  <c r="H31" i="62" s="1"/>
  <c r="H31" i="63" s="1"/>
  <c r="N12" i="22"/>
  <c r="G12" s="1"/>
  <c r="N13"/>
  <c r="G13" s="1"/>
  <c r="AB84" i="4"/>
  <c r="Z84" i="8" s="1"/>
  <c r="M84" s="1"/>
  <c r="N102" i="22"/>
  <c r="AB102" i="4" s="1"/>
  <c r="Z102" i="8" s="1"/>
  <c r="N101" i="22"/>
  <c r="G101" s="1"/>
  <c r="N98"/>
  <c r="AB98" i="4" s="1"/>
  <c r="Z98" i="8" s="1"/>
  <c r="AB88" i="4"/>
  <c r="Z88" i="8" s="1"/>
  <c r="M88" s="1"/>
  <c r="N63" i="22"/>
  <c r="AB63" i="4" s="1"/>
  <c r="Z63" i="8" s="1"/>
  <c r="N67" i="22"/>
  <c r="AB67" i="4" s="1"/>
  <c r="Z67" i="8" s="1"/>
  <c r="N71" i="22"/>
  <c r="AB71" i="4" s="1"/>
  <c r="Z71" i="8" s="1"/>
  <c r="AB95" i="4"/>
  <c r="Z95" i="8" s="1"/>
  <c r="M95" s="1"/>
  <c r="N78" i="22"/>
  <c r="G78" s="1"/>
  <c r="N77"/>
  <c r="G77" s="1"/>
  <c r="AB149" i="4"/>
  <c r="Z149" i="8" s="1"/>
  <c r="M149" s="1"/>
  <c r="N40" i="62" s="1"/>
  <c r="AB151" i="4"/>
  <c r="Z151" i="8" s="1"/>
  <c r="M151" s="1"/>
  <c r="N71" i="62" s="1"/>
  <c r="N170" i="22"/>
  <c r="AB170" i="4" s="1"/>
  <c r="Z170" i="8" s="1"/>
  <c r="N174" i="22"/>
  <c r="AB174" i="4" s="1"/>
  <c r="Z174" i="8" s="1"/>
  <c r="N178" i="22"/>
  <c r="AB178" i="4" s="1"/>
  <c r="Z178" i="8" s="1"/>
  <c r="AB56" i="4"/>
  <c r="Z56" i="8" s="1"/>
  <c r="M56" s="1"/>
  <c r="AB128" i="4"/>
  <c r="Z128" i="8" s="1"/>
  <c r="M128" s="1"/>
  <c r="AB18" i="4"/>
  <c r="Z18" i="8" s="1"/>
  <c r="M18" s="1"/>
  <c r="AB69" i="4"/>
  <c r="Z69" i="8" s="1"/>
  <c r="M69" s="1"/>
  <c r="N35" i="22"/>
  <c r="AB35" i="4" s="1"/>
  <c r="Z35" i="8" s="1"/>
  <c r="N43" i="22"/>
  <c r="G43" s="1"/>
  <c r="N46"/>
  <c r="G46" s="1"/>
  <c r="N39"/>
  <c r="AB39" i="4" s="1"/>
  <c r="Z39" i="8" s="1"/>
  <c r="AB110" i="4"/>
  <c r="Z110" i="8" s="1"/>
  <c r="M110" s="1"/>
  <c r="H54" i="62" s="1"/>
  <c r="N30" i="22"/>
  <c r="G30" s="1"/>
  <c r="N31"/>
  <c r="AB31" i="4" s="1"/>
  <c r="Z31" i="8" s="1"/>
  <c r="N21" i="22"/>
  <c r="AB21" i="4" s="1"/>
  <c r="Z21" i="8" s="1"/>
  <c r="AB41" i="4"/>
  <c r="Z41" i="8" s="1"/>
  <c r="M41" s="1"/>
  <c r="H77" i="62" s="1"/>
  <c r="AB103" i="4"/>
  <c r="Z103" i="8" s="1"/>
  <c r="M103" s="1"/>
  <c r="H30" i="62" s="1"/>
  <c r="AB106" i="4"/>
  <c r="Z106" i="8" s="1"/>
  <c r="M106" s="1"/>
  <c r="H33" i="62" s="1"/>
  <c r="H33" i="63" s="1"/>
  <c r="N53" i="22"/>
  <c r="AB53" i="4" s="1"/>
  <c r="Z53" i="8" s="1"/>
  <c r="N58" i="22"/>
  <c r="AB58" i="4" s="1"/>
  <c r="Z58" i="8" s="1"/>
  <c r="N48" i="22"/>
  <c r="AB48" i="4" s="1"/>
  <c r="Z48" i="8" s="1"/>
  <c r="AB82" i="4"/>
  <c r="Z82" i="8" s="1"/>
  <c r="M82" s="1"/>
  <c r="AB85" i="4"/>
  <c r="Z85" i="8" s="1"/>
  <c r="M85" s="1"/>
  <c r="AB87" i="4"/>
  <c r="Z87" i="8" s="1"/>
  <c r="M87" s="1"/>
  <c r="N141" i="22"/>
  <c r="AB141" i="4" s="1"/>
  <c r="Z141" i="8" s="1"/>
  <c r="N153" i="22"/>
  <c r="AB153" i="4" s="1"/>
  <c r="Z153" i="8" s="1"/>
  <c r="N146" i="22"/>
  <c r="AB146" i="4" s="1"/>
  <c r="Z146" i="8" s="1"/>
  <c r="AB167" i="4"/>
  <c r="Z167" i="8" s="1"/>
  <c r="M167" s="1"/>
  <c r="AB176" i="4"/>
  <c r="Z176" i="8" s="1"/>
  <c r="M176" s="1"/>
  <c r="AB147" i="4"/>
  <c r="Z147" i="8" s="1"/>
  <c r="M147" s="1"/>
  <c r="N39" i="62" s="1"/>
  <c r="AB54" i="4"/>
  <c r="Z54" i="8" s="1"/>
  <c r="M54" s="1"/>
  <c r="AB130" i="4"/>
  <c r="Z130" i="8" s="1"/>
  <c r="M130" s="1"/>
  <c r="AB16" i="4"/>
  <c r="Z16" i="8" s="1"/>
  <c r="M16" s="1"/>
  <c r="AB70" i="4"/>
  <c r="Z70" i="8" s="1"/>
  <c r="M70" s="1"/>
  <c r="AB111" i="4"/>
  <c r="Z111" i="8" s="1"/>
  <c r="M111" s="1"/>
  <c r="AB166" i="4"/>
  <c r="Z166" i="8" s="1"/>
  <c r="M166" s="1"/>
  <c r="AB91" i="4"/>
  <c r="Z91" i="8" s="1"/>
  <c r="M91" s="1"/>
  <c r="AB94" i="4"/>
  <c r="Z94" i="8" s="1"/>
  <c r="M94" s="1"/>
  <c r="N90" i="22"/>
  <c r="AB90" i="4" s="1"/>
  <c r="Z90" i="8" s="1"/>
  <c r="N76" i="22"/>
  <c r="AB76" i="4" s="1"/>
  <c r="Z76" i="8" s="1"/>
  <c r="N86" i="22"/>
  <c r="AB86" i="4" s="1"/>
  <c r="Z86" i="8" s="1"/>
  <c r="M86" s="1"/>
  <c r="N79" i="22"/>
  <c r="AB79" i="4" s="1"/>
  <c r="Z79" i="8" s="1"/>
  <c r="AB152" i="4"/>
  <c r="Z152" i="8" s="1"/>
  <c r="M152" s="1"/>
  <c r="N42" i="62" s="1"/>
  <c r="AB148" i="4"/>
  <c r="Z148" i="8" s="1"/>
  <c r="M148" s="1"/>
  <c r="AB55" i="4"/>
  <c r="Z55" i="8" s="1"/>
  <c r="M55" s="1"/>
  <c r="H78" i="62" s="1"/>
  <c r="AB129" i="4"/>
  <c r="Z129" i="8" s="1"/>
  <c r="M129" s="1"/>
  <c r="AB131" i="4"/>
  <c r="Z131" i="8" s="1"/>
  <c r="M131" s="1"/>
  <c r="AB17" i="4"/>
  <c r="Z17" i="8" s="1"/>
  <c r="M17" s="1"/>
  <c r="AB68" i="4"/>
  <c r="Z68" i="8" s="1"/>
  <c r="M68" s="1"/>
  <c r="H53" i="62" s="1"/>
  <c r="N37" i="22"/>
  <c r="G37" s="1"/>
  <c r="N38"/>
  <c r="G38" s="1"/>
  <c r="N36"/>
  <c r="G36" s="1"/>
  <c r="AB154" i="4"/>
  <c r="Z154" i="8" s="1"/>
  <c r="M154" s="1"/>
  <c r="AB162" i="4"/>
  <c r="Z162" i="8" s="1"/>
  <c r="M162" s="1"/>
  <c r="AB40" i="4"/>
  <c r="Z40" i="8" s="1"/>
  <c r="M40" s="1"/>
  <c r="AB108" i="4"/>
  <c r="Z108" i="8" s="1"/>
  <c r="M108" s="1"/>
  <c r="N14" i="22"/>
  <c r="AB14" i="4" s="1"/>
  <c r="Z14" i="8" s="1"/>
  <c r="N19" i="22"/>
  <c r="G19" s="1"/>
  <c r="AB11" i="4"/>
  <c r="Z11" i="8" s="1"/>
  <c r="M11" s="1"/>
  <c r="N51" i="22"/>
  <c r="G51" s="1"/>
  <c r="N49"/>
  <c r="G49" s="1"/>
  <c r="N50"/>
  <c r="G50" s="1"/>
  <c r="N52"/>
  <c r="G52" s="1"/>
  <c r="AB80" i="4"/>
  <c r="Z80" i="8" s="1"/>
  <c r="M80" s="1"/>
  <c r="N30" i="62" s="1"/>
  <c r="AB81" i="4"/>
  <c r="Z81" i="8" s="1"/>
  <c r="M81" s="1"/>
  <c r="N169" i="22"/>
  <c r="AB169" i="4" s="1"/>
  <c r="Z169" i="8" s="1"/>
  <c r="N161" i="22"/>
  <c r="AB161" i="4" s="1"/>
  <c r="Z161" i="8" s="1"/>
  <c r="N160" i="22"/>
  <c r="AB168" i="4"/>
  <c r="Z168" i="8" s="1"/>
  <c r="M168" s="1"/>
  <c r="N64" i="22"/>
  <c r="G64" s="1"/>
  <c r="N65"/>
  <c r="G65" s="1"/>
  <c r="N66"/>
  <c r="G66" s="1"/>
  <c r="AB177" i="4"/>
  <c r="Z177" i="8" s="1"/>
  <c r="M177" s="1"/>
  <c r="W121"/>
  <c r="K121" i="47" s="1"/>
  <c r="G121" s="1"/>
  <c r="I119" s="1"/>
  <c r="AF48" i="8"/>
  <c r="L48" s="1"/>
  <c r="AA53"/>
  <c r="L53" i="47" s="1"/>
  <c r="H53" s="1"/>
  <c r="P53" i="8"/>
  <c r="AJ35"/>
  <c r="AF102"/>
  <c r="L102" s="1"/>
  <c r="AJ146"/>
  <c r="AA146" s="1"/>
  <c r="L146" i="47" s="1"/>
  <c r="H146" s="1"/>
  <c r="AF21" i="8"/>
  <c r="W21" s="1"/>
  <c r="K21" i="47" s="1"/>
  <c r="G21" s="1"/>
  <c r="W178" i="8"/>
  <c r="K178" i="47" s="1"/>
  <c r="G178" s="1"/>
  <c r="L14" i="8"/>
  <c r="L11"/>
  <c r="W67"/>
  <c r="K67" i="47" s="1"/>
  <c r="G67" s="1"/>
  <c r="AL113" i="4"/>
  <c r="L71" i="8"/>
  <c r="AJ14"/>
  <c r="W35"/>
  <c r="K35" i="47" s="1"/>
  <c r="G35" s="1"/>
  <c r="W63" i="8"/>
  <c r="K63" i="47" s="1"/>
  <c r="G63" s="1"/>
  <c r="AL59" i="4"/>
  <c r="L58" i="8"/>
  <c r="AJ98"/>
  <c r="AL180" i="4"/>
  <c r="S180" i="8" s="1"/>
  <c r="AJ39"/>
  <c r="AF143"/>
  <c r="AF98"/>
  <c r="W98" s="1"/>
  <c r="K98" i="47" s="1"/>
  <c r="G98" s="1"/>
  <c r="AL17" i="4"/>
  <c r="AL68"/>
  <c r="AF164" i="8"/>
  <c r="L164" s="1"/>
  <c r="AJ71"/>
  <c r="AA71" s="1"/>
  <c r="L71" i="47" s="1"/>
  <c r="H71" s="1"/>
  <c r="AL83" i="4"/>
  <c r="AJ143" i="8"/>
  <c r="AA143" s="1"/>
  <c r="L143" i="47" s="1"/>
  <c r="H143" s="1"/>
  <c r="J141" s="1"/>
  <c r="AL117" i="4"/>
  <c r="AM117" i="8" s="1"/>
  <c r="AL159" i="4"/>
  <c r="AM159" i="8" s="1"/>
  <c r="AL140" i="4"/>
  <c r="AM140" i="8" s="1"/>
  <c r="AI52" i="4"/>
  <c r="AD52" i="8" s="1"/>
  <c r="Q52" s="1"/>
  <c r="AI38" i="4"/>
  <c r="AD38" i="8" s="1"/>
  <c r="Q38" s="1"/>
  <c r="AI65" i="4"/>
  <c r="AD65" i="8" s="1"/>
  <c r="Q65" s="1"/>
  <c r="AJ164"/>
  <c r="AA164" s="1"/>
  <c r="L164" i="47" s="1"/>
  <c r="H164" s="1"/>
  <c r="J161" s="1"/>
  <c r="AI29" i="4"/>
  <c r="AD29" i="8" s="1"/>
  <c r="Q29" s="1"/>
  <c r="AI22" i="4"/>
  <c r="AD22" i="8" s="1"/>
  <c r="Q22" s="1"/>
  <c r="AI19" i="4"/>
  <c r="AD19" i="8" s="1"/>
  <c r="Q19" s="1"/>
  <c r="AJ174"/>
  <c r="AA174" s="1"/>
  <c r="L174" i="47" s="1"/>
  <c r="H174" s="1"/>
  <c r="AJ48" i="8"/>
  <c r="P48" s="1"/>
  <c r="AF79"/>
  <c r="AJ67"/>
  <c r="AI173" i="4"/>
  <c r="AD173" i="8" s="1"/>
  <c r="Q173" s="1"/>
  <c r="AJ86"/>
  <c r="AA86" s="1"/>
  <c r="L86" i="47" s="1"/>
  <c r="H86" s="1"/>
  <c r="AI30" i="4"/>
  <c r="AD30" i="8" s="1"/>
  <c r="Q30" s="1"/>
  <c r="AA112"/>
  <c r="L112" i="47" s="1"/>
  <c r="H112" s="1"/>
  <c r="J109" s="1"/>
  <c r="AN112" i="8"/>
  <c r="T112" s="1"/>
  <c r="W112"/>
  <c r="K112" i="47" s="1"/>
  <c r="G112" s="1"/>
  <c r="I109" s="1"/>
  <c r="L112" i="8"/>
  <c r="AL33" i="4"/>
  <c r="AL32"/>
  <c r="W86" i="8"/>
  <c r="K86" i="47" s="1"/>
  <c r="G86" s="1"/>
  <c r="L86" i="8"/>
  <c r="W174"/>
  <c r="K174" i="47" s="1"/>
  <c r="G174" s="1"/>
  <c r="L174" i="8"/>
  <c r="AJ178"/>
  <c r="AA178" s="1"/>
  <c r="L178" i="47" s="1"/>
  <c r="H178" s="1"/>
  <c r="AI50" i="4"/>
  <c r="AD50" i="8" s="1"/>
  <c r="Q50" s="1"/>
  <c r="AI26" i="4"/>
  <c r="AD26" i="8" s="1"/>
  <c r="Q26" s="1"/>
  <c r="AF90"/>
  <c r="AJ79"/>
  <c r="AA79" s="1"/>
  <c r="L79" i="47" s="1"/>
  <c r="H79" s="1"/>
  <c r="AI100" i="4"/>
  <c r="AD100" i="8" s="1"/>
  <c r="Q100" s="1"/>
  <c r="AI43" i="4"/>
  <c r="AD43" i="8" s="1"/>
  <c r="Q43" s="1"/>
  <c r="S62" i="11"/>
  <c r="T62" s="1"/>
  <c r="S59" i="10"/>
  <c r="T59" s="1"/>
  <c r="AI66" i="4"/>
  <c r="AD66" i="8" s="1"/>
  <c r="Q66" s="1"/>
  <c r="AI27" i="4"/>
  <c r="AD27" i="8" s="1"/>
  <c r="Q27" s="1"/>
  <c r="AI25" i="4"/>
  <c r="AD25" i="8" s="1"/>
  <c r="Q25" s="1"/>
  <c r="AI101" i="4"/>
  <c r="AD101" i="8" s="1"/>
  <c r="Q101" s="1"/>
  <c r="AI172" i="4"/>
  <c r="AD172" i="8" s="1"/>
  <c r="Q172" s="1"/>
  <c r="AI78" i="4"/>
  <c r="AD78" i="8" s="1"/>
  <c r="Q78" s="1"/>
  <c r="W170"/>
  <c r="K170" i="47" s="1"/>
  <c r="G170" s="1"/>
  <c r="L170" i="8"/>
  <c r="AF31"/>
  <c r="AI49" i="4"/>
  <c r="AD49" i="8" s="1"/>
  <c r="Q49" s="1"/>
  <c r="AM179"/>
  <c r="S179"/>
  <c r="AI36" i="4"/>
  <c r="AD36" i="8" s="1"/>
  <c r="Q36" s="1"/>
  <c r="W155"/>
  <c r="K155" i="47" s="1"/>
  <c r="G155" s="1"/>
  <c r="I153" s="1"/>
  <c r="L155" i="8"/>
  <c r="AI12" i="4"/>
  <c r="AD12" i="8" s="1"/>
  <c r="Q12" s="1"/>
  <c r="AI24" i="4"/>
  <c r="AD24" i="8" s="1"/>
  <c r="Q24" s="1"/>
  <c r="AA170"/>
  <c r="L170" i="47" s="1"/>
  <c r="H170" s="1"/>
  <c r="AJ21" i="8"/>
  <c r="P21" s="1"/>
  <c r="W39"/>
  <c r="K39" i="47" s="1"/>
  <c r="G39" s="1"/>
  <c r="L39" i="8"/>
  <c r="AI13" i="4"/>
  <c r="AD13" i="8" s="1"/>
  <c r="Q13" s="1"/>
  <c r="AI99" i="4"/>
  <c r="AD99" i="8" s="1"/>
  <c r="Q99" s="1"/>
  <c r="S59" i="9"/>
  <c r="T59" s="1"/>
  <c r="U62" i="11"/>
  <c r="V62" s="1"/>
  <c r="AI46" i="4"/>
  <c r="AD46" i="8" s="1"/>
  <c r="Q46" s="1"/>
  <c r="AF53"/>
  <c r="AI64" i="4"/>
  <c r="AD64" i="8" s="1"/>
  <c r="Q64" s="1"/>
  <c r="AI23" i="4"/>
  <c r="AD23" i="8" s="1"/>
  <c r="Q23" s="1"/>
  <c r="AI28" i="4"/>
  <c r="AD28" i="8" s="1"/>
  <c r="Q28" s="1"/>
  <c r="AJ63"/>
  <c r="P63" s="1"/>
  <c r="AJ102"/>
  <c r="AA102" s="1"/>
  <c r="L102" i="47" s="1"/>
  <c r="H102" s="1"/>
  <c r="AI171" i="4"/>
  <c r="AD171" i="8" s="1"/>
  <c r="Q171" s="1"/>
  <c r="AI77" i="4"/>
  <c r="AD77" i="8" s="1"/>
  <c r="Q77" s="1"/>
  <c r="AA121"/>
  <c r="L121" i="47" s="1"/>
  <c r="H121" s="1"/>
  <c r="J119" s="1"/>
  <c r="AI51" i="4"/>
  <c r="AD51" i="8" s="1"/>
  <c r="Q51" s="1"/>
  <c r="AI37" i="4"/>
  <c r="AD37" i="8" s="1"/>
  <c r="Q37" s="1"/>
  <c r="D60" i="22" l="1"/>
  <c r="D158"/>
  <c r="D156"/>
  <c r="E171"/>
  <c r="I35"/>
  <c r="I98"/>
  <c r="D165"/>
  <c r="H54" i="63"/>
  <c r="G51" i="62"/>
  <c r="Q51"/>
  <c r="H82" i="63"/>
  <c r="R80" s="1"/>
  <c r="Q77" i="62"/>
  <c r="N43" i="63"/>
  <c r="R43" s="1"/>
  <c r="Q42" i="62"/>
  <c r="H30" i="63"/>
  <c r="Q30" i="62"/>
  <c r="Q29"/>
  <c r="N41" i="63"/>
  <c r="R41" s="1"/>
  <c r="Q40" i="62"/>
  <c r="H56" i="63"/>
  <c r="R54" s="1"/>
  <c r="Q53" i="62"/>
  <c r="N42" i="63"/>
  <c r="R42" s="1"/>
  <c r="Q41" i="62"/>
  <c r="N56" i="63"/>
  <c r="R57" s="1"/>
  <c r="Q56" i="62"/>
  <c r="E173" i="22"/>
  <c r="N30" i="63"/>
  <c r="R32" s="1"/>
  <c r="Q32" i="62"/>
  <c r="N60"/>
  <c r="N69"/>
  <c r="N40" i="63"/>
  <c r="Q39" i="62"/>
  <c r="M38"/>
  <c r="H81" i="63"/>
  <c r="R79" s="1"/>
  <c r="Q76" i="62"/>
  <c r="H55" i="63"/>
  <c r="R53" s="1"/>
  <c r="Q52" i="62"/>
  <c r="N74" i="63"/>
  <c r="R74" s="1"/>
  <c r="Q71" i="62"/>
  <c r="N55" i="63"/>
  <c r="R56" s="1"/>
  <c r="Q55" i="62"/>
  <c r="N61"/>
  <c r="N70"/>
  <c r="N53"/>
  <c r="N80" i="63"/>
  <c r="R82" s="1"/>
  <c r="Q79" i="62"/>
  <c r="W137" i="8"/>
  <c r="K137" i="47" s="1"/>
  <c r="G137" s="1"/>
  <c r="L137" i="8"/>
  <c r="D99" i="22"/>
  <c r="D100"/>
  <c r="E64"/>
  <c r="E66"/>
  <c r="E65"/>
  <c r="D138"/>
  <c r="AE138" i="4" s="1"/>
  <c r="D139" i="22"/>
  <c r="AE139" i="4" s="1"/>
  <c r="E165" i="22"/>
  <c r="E167"/>
  <c r="AL167" i="4" s="1"/>
  <c r="S167" i="8" s="1"/>
  <c r="E168" i="22"/>
  <c r="E166"/>
  <c r="E138"/>
  <c r="AL138" i="4" s="1"/>
  <c r="E139" i="22"/>
  <c r="AL139" i="4" s="1"/>
  <c r="E38" i="22"/>
  <c r="E37"/>
  <c r="E36"/>
  <c r="I63"/>
  <c r="I76"/>
  <c r="I170"/>
  <c r="G135"/>
  <c r="AB135" i="4"/>
  <c r="Z135" i="8" s="1"/>
  <c r="M135" s="1"/>
  <c r="D69" i="22"/>
  <c r="D68"/>
  <c r="D70"/>
  <c r="D85"/>
  <c r="D84"/>
  <c r="D88"/>
  <c r="D82"/>
  <c r="D89"/>
  <c r="D83"/>
  <c r="D81"/>
  <c r="D80"/>
  <c r="D87"/>
  <c r="D113"/>
  <c r="D114"/>
  <c r="D38"/>
  <c r="D36"/>
  <c r="D37"/>
  <c r="J134"/>
  <c r="D151"/>
  <c r="D152"/>
  <c r="D150"/>
  <c r="D148"/>
  <c r="D147"/>
  <c r="D149"/>
  <c r="G136"/>
  <c r="AB136" i="4"/>
  <c r="Z136" i="8" s="1"/>
  <c r="M136" s="1"/>
  <c r="D16" i="22"/>
  <c r="D15"/>
  <c r="D18"/>
  <c r="D17"/>
  <c r="D94"/>
  <c r="D91"/>
  <c r="D93"/>
  <c r="D95"/>
  <c r="D92"/>
  <c r="D104"/>
  <c r="D103"/>
  <c r="D106"/>
  <c r="D108"/>
  <c r="D107"/>
  <c r="D105"/>
  <c r="E100"/>
  <c r="E99"/>
  <c r="N74" i="59"/>
  <c r="I118" i="60" s="1"/>
  <c r="Z134" i="8"/>
  <c r="L133" i="4"/>
  <c r="D42" i="22"/>
  <c r="AE42" i="4" s="1"/>
  <c r="AI42" i="8" s="1"/>
  <c r="D40" i="22"/>
  <c r="D41"/>
  <c r="D56"/>
  <c r="D54"/>
  <c r="D57"/>
  <c r="D55"/>
  <c r="I48"/>
  <c r="E51"/>
  <c r="E50"/>
  <c r="E49"/>
  <c r="E52"/>
  <c r="I21"/>
  <c r="E27"/>
  <c r="E23"/>
  <c r="E25"/>
  <c r="E28"/>
  <c r="E22"/>
  <c r="E29"/>
  <c r="E24"/>
  <c r="E26"/>
  <c r="I133" i="47"/>
  <c r="E134"/>
  <c r="AJ134" i="4" s="1"/>
  <c r="E137" i="47"/>
  <c r="AJ137" i="4" s="1"/>
  <c r="J75" i="47"/>
  <c r="E90" s="1"/>
  <c r="D144" i="22"/>
  <c r="AE144" i="4" s="1"/>
  <c r="AB123"/>
  <c r="Z123" i="8" s="1"/>
  <c r="M123" s="1"/>
  <c r="D121" i="47"/>
  <c r="D120"/>
  <c r="I169"/>
  <c r="J169"/>
  <c r="D155"/>
  <c r="AC155" i="4" s="1"/>
  <c r="D154" i="47"/>
  <c r="AC154" i="4" s="1"/>
  <c r="E142" i="47"/>
  <c r="E143"/>
  <c r="I34"/>
  <c r="E111"/>
  <c r="AJ111" i="4" s="1"/>
  <c r="E112" i="47"/>
  <c r="AJ112" i="4" s="1"/>
  <c r="E110" i="47"/>
  <c r="AJ110" i="4" s="1"/>
  <c r="E164" i="47"/>
  <c r="AJ164" i="4" s="1"/>
  <c r="E162" i="47"/>
  <c r="AJ162" i="4" s="1"/>
  <c r="E163" i="47"/>
  <c r="AJ163" i="4" s="1"/>
  <c r="E120" i="47"/>
  <c r="AJ120" i="4" s="1"/>
  <c r="E121" i="47"/>
  <c r="AJ121" i="4" s="1"/>
  <c r="D112" i="47"/>
  <c r="AC112" i="4" s="1"/>
  <c r="D111" i="47"/>
  <c r="AC111" i="4" s="1"/>
  <c r="D110" i="47"/>
  <c r="AC110" i="4" s="1"/>
  <c r="I62" i="47"/>
  <c r="W143" i="8"/>
  <c r="K143" i="47" s="1"/>
  <c r="G143" s="1"/>
  <c r="I141" s="1"/>
  <c r="L143" i="8"/>
  <c r="D131" i="22"/>
  <c r="D130"/>
  <c r="D129"/>
  <c r="D128"/>
  <c r="D127"/>
  <c r="I11"/>
  <c r="E13"/>
  <c r="AL13" i="4" s="1"/>
  <c r="E12" i="22"/>
  <c r="K103" i="55"/>
  <c r="K10"/>
  <c r="K103" i="58"/>
  <c r="K10"/>
  <c r="AL168" i="4"/>
  <c r="AM168" i="8" s="1"/>
  <c r="AL165" i="4"/>
  <c r="AM165" i="8" s="1"/>
  <c r="AE179" i="4"/>
  <c r="O179" i="8" s="1"/>
  <c r="AE32" i="4"/>
  <c r="AI32" i="8" s="1"/>
  <c r="AE73" i="4"/>
  <c r="O74" i="8"/>
  <c r="AE72" i="4"/>
  <c r="AE156"/>
  <c r="AE158"/>
  <c r="AE157"/>
  <c r="AE114"/>
  <c r="AL166"/>
  <c r="AM166" i="8" s="1"/>
  <c r="W102"/>
  <c r="K102" i="47" s="1"/>
  <c r="G102" s="1"/>
  <c r="I97" s="1"/>
  <c r="AB43" i="4"/>
  <c r="Z43" i="8" s="1"/>
  <c r="M43" s="1"/>
  <c r="AB27" i="4"/>
  <c r="Z27" i="8" s="1"/>
  <c r="M27" s="1"/>
  <c r="AB66" i="4"/>
  <c r="Z66" i="8" s="1"/>
  <c r="M66" s="1"/>
  <c r="N34" i="62" s="1"/>
  <c r="AB52" i="4"/>
  <c r="Z52" i="8" s="1"/>
  <c r="M52" s="1"/>
  <c r="AB38" i="4"/>
  <c r="Z38" i="8" s="1"/>
  <c r="M38" s="1"/>
  <c r="AB77" i="4"/>
  <c r="Z77" i="8" s="1"/>
  <c r="M77" s="1"/>
  <c r="AB28" i="4"/>
  <c r="Z28" i="8" s="1"/>
  <c r="M28" s="1"/>
  <c r="AB24" i="4"/>
  <c r="Z24" i="8" s="1"/>
  <c r="M24" s="1"/>
  <c r="AB171" i="4"/>
  <c r="Z171" i="8" s="1"/>
  <c r="M171" s="1"/>
  <c r="AB29" i="4"/>
  <c r="Z29" i="8" s="1"/>
  <c r="M29" s="1"/>
  <c r="AB65" i="4"/>
  <c r="Z65" i="8" s="1"/>
  <c r="M65" s="1"/>
  <c r="AB160" i="4"/>
  <c r="Z160" i="8" s="1"/>
  <c r="AB50" i="4"/>
  <c r="Z50" i="8" s="1"/>
  <c r="M50" s="1"/>
  <c r="AB19" i="4"/>
  <c r="Z19" i="8" s="1"/>
  <c r="M19" s="1"/>
  <c r="AB37" i="4"/>
  <c r="Z37" i="8" s="1"/>
  <c r="M37" s="1"/>
  <c r="AB78" i="4"/>
  <c r="Z78" i="8" s="1"/>
  <c r="M78" s="1"/>
  <c r="AB23" i="4"/>
  <c r="Z23" i="8" s="1"/>
  <c r="M23" s="1"/>
  <c r="AB25" i="4"/>
  <c r="Z25" i="8" s="1"/>
  <c r="M25" s="1"/>
  <c r="AB173" i="4"/>
  <c r="Z173" i="8" s="1"/>
  <c r="M173" s="1"/>
  <c r="AB51" i="4"/>
  <c r="Z51" i="8" s="1"/>
  <c r="M51" s="1"/>
  <c r="AB36" i="4"/>
  <c r="Z36" i="8" s="1"/>
  <c r="M36" s="1"/>
  <c r="H75" i="62" s="1"/>
  <c r="AB12" i="4"/>
  <c r="Z12" i="8" s="1"/>
  <c r="M12" s="1"/>
  <c r="AB100" i="4"/>
  <c r="Z100" i="8" s="1"/>
  <c r="M100" s="1"/>
  <c r="N35" i="62" s="1"/>
  <c r="AB64" i="4"/>
  <c r="Z64" i="8" s="1"/>
  <c r="M64" s="1"/>
  <c r="AB49" i="4"/>
  <c r="Z49" i="8" s="1"/>
  <c r="M49" s="1"/>
  <c r="AB30" i="4"/>
  <c r="Z30" i="8" s="1"/>
  <c r="M30" s="1"/>
  <c r="AB46" i="4"/>
  <c r="Z46" i="8" s="1"/>
  <c r="M46" s="1"/>
  <c r="AB101" i="4"/>
  <c r="Z101" i="8" s="1"/>
  <c r="M101" s="1"/>
  <c r="AB13" i="4"/>
  <c r="Z13" i="8" s="1"/>
  <c r="M13" s="1"/>
  <c r="AB99" i="4"/>
  <c r="Z99" i="8" s="1"/>
  <c r="M99" s="1"/>
  <c r="AB22" i="4"/>
  <c r="Z22" i="8" s="1"/>
  <c r="M22" s="1"/>
  <c r="AB26" i="4"/>
  <c r="Z26" i="8" s="1"/>
  <c r="M26" s="1"/>
  <c r="AB172" i="4"/>
  <c r="Z172" i="8" s="1"/>
  <c r="M172" s="1"/>
  <c r="W146"/>
  <c r="K146" i="47" s="1"/>
  <c r="G146" s="1"/>
  <c r="W48" i="8"/>
  <c r="K48" i="47" s="1"/>
  <c r="G48" s="1"/>
  <c r="AA98" i="8"/>
  <c r="L98" i="47" s="1"/>
  <c r="H98" s="1"/>
  <c r="J97" s="1"/>
  <c r="P98" i="8"/>
  <c r="AA67"/>
  <c r="L67" i="47" s="1"/>
  <c r="H67" s="1"/>
  <c r="P67" i="8"/>
  <c r="AA39"/>
  <c r="L39" i="47" s="1"/>
  <c r="H39" s="1"/>
  <c r="P39" i="8"/>
  <c r="AA11"/>
  <c r="AA35"/>
  <c r="L35" i="47" s="1"/>
  <c r="H35" s="1"/>
  <c r="P35" i="8"/>
  <c r="AA14"/>
  <c r="L14" i="47" s="1"/>
  <c r="H14" s="1"/>
  <c r="J10" s="1"/>
  <c r="E11" s="1"/>
  <c r="P14" i="8"/>
  <c r="AN146"/>
  <c r="T146" s="1"/>
  <c r="X63" i="11" s="1"/>
  <c r="Y63" s="1"/>
  <c r="L21" i="8"/>
  <c r="AL114" i="4"/>
  <c r="AM114" i="8" s="1"/>
  <c r="AL81" i="4"/>
  <c r="AM81" i="8" s="1"/>
  <c r="L98"/>
  <c r="AL18" i="4"/>
  <c r="S18" i="8" s="1"/>
  <c r="AM180"/>
  <c r="AK178" s="1"/>
  <c r="AB178" s="1"/>
  <c r="L178" i="22" s="1"/>
  <c r="H178" s="1"/>
  <c r="AL60" i="4"/>
  <c r="AM60" i="8" s="1"/>
  <c r="AL89" i="4"/>
  <c r="AM89" i="8" s="1"/>
  <c r="AL171" i="4"/>
  <c r="W164" i="8"/>
  <c r="K164" i="47" s="1"/>
  <c r="G164" s="1"/>
  <c r="I161" s="1"/>
  <c r="AL88" i="4"/>
  <c r="AM88" i="8" s="1"/>
  <c r="AL69" i="4"/>
  <c r="AM69" i="8" s="1"/>
  <c r="AL70" i="4"/>
  <c r="S70" i="8" s="1"/>
  <c r="AL16" i="4"/>
  <c r="AM16" i="8" s="1"/>
  <c r="AL15" i="4"/>
  <c r="AM15" i="8" s="1"/>
  <c r="AL82" i="4"/>
  <c r="S82" i="8" s="1"/>
  <c r="AL29" i="4"/>
  <c r="AL77"/>
  <c r="AL80"/>
  <c r="AM80" i="8" s="1"/>
  <c r="AL85" i="4"/>
  <c r="S85" i="8" s="1"/>
  <c r="AL64" i="4"/>
  <c r="AL84"/>
  <c r="AM84" i="8" s="1"/>
  <c r="S32"/>
  <c r="AM32"/>
  <c r="AL108" i="4"/>
  <c r="AL104"/>
  <c r="AL106"/>
  <c r="AL103"/>
  <c r="AL105"/>
  <c r="AL107"/>
  <c r="S68" i="8"/>
  <c r="AM68"/>
  <c r="AL155"/>
  <c r="R155"/>
  <c r="AM33"/>
  <c r="S33"/>
  <c r="W79"/>
  <c r="K79" i="47" s="1"/>
  <c r="G79" s="1"/>
  <c r="L79" i="8"/>
  <c r="AM87"/>
  <c r="S87"/>
  <c r="W90"/>
  <c r="K90" i="47" s="1"/>
  <c r="G90" s="1"/>
  <c r="L90" i="8"/>
  <c r="AC53" i="11"/>
  <c r="AD53" s="1"/>
  <c r="Y50" i="10"/>
  <c r="Z50" s="1"/>
  <c r="AL177" i="4"/>
  <c r="AL175"/>
  <c r="AL176"/>
  <c r="W53" i="8"/>
  <c r="K53" i="47" s="1"/>
  <c r="G53" s="1"/>
  <c r="L53" i="8"/>
  <c r="AA21"/>
  <c r="L21" i="47" s="1"/>
  <c r="H21" s="1"/>
  <c r="J20" s="1"/>
  <c r="AL144" i="4"/>
  <c r="AL145"/>
  <c r="AL130"/>
  <c r="S130" i="8" s="1"/>
  <c r="AL128" i="4"/>
  <c r="S128" i="8" s="1"/>
  <c r="AL129" i="4"/>
  <c r="S129" i="8" s="1"/>
  <c r="AL131" i="4"/>
  <c r="S131" i="8" s="1"/>
  <c r="AL127" i="4"/>
  <c r="S127" i="8" s="1"/>
  <c r="AL92" i="4"/>
  <c r="AL94"/>
  <c r="AL91"/>
  <c r="AL93"/>
  <c r="AL95"/>
  <c r="R154" i="8"/>
  <c r="AL154"/>
  <c r="AC19" i="4"/>
  <c r="AC14"/>
  <c r="AC11"/>
  <c r="AH11" i="8" s="1"/>
  <c r="AL54" i="4"/>
  <c r="AL56"/>
  <c r="AL55"/>
  <c r="AL57"/>
  <c r="AL40"/>
  <c r="AL42"/>
  <c r="AL41"/>
  <c r="AL149"/>
  <c r="AL150"/>
  <c r="AL151"/>
  <c r="AL147"/>
  <c r="AL148"/>
  <c r="AL152"/>
  <c r="AA48" i="8"/>
  <c r="L48" i="47" s="1"/>
  <c r="H48" s="1"/>
  <c r="J47" s="1"/>
  <c r="AA63" i="8"/>
  <c r="L63" i="47" s="1"/>
  <c r="H63" s="1"/>
  <c r="AL72" i="4"/>
  <c r="AL74"/>
  <c r="AL73"/>
  <c r="AM113" i="8"/>
  <c r="S113"/>
  <c r="AM83"/>
  <c r="S83"/>
  <c r="AM59"/>
  <c r="S59"/>
  <c r="W31"/>
  <c r="K31" i="47" s="1"/>
  <c r="G31" s="1"/>
  <c r="I20" s="1"/>
  <c r="L31" i="8"/>
  <c r="S17"/>
  <c r="AM17"/>
  <c r="AL156" i="4"/>
  <c r="AL157"/>
  <c r="AL158"/>
  <c r="S40" i="10"/>
  <c r="N54" i="63" l="1"/>
  <c r="Q54" i="62"/>
  <c r="N51" s="1"/>
  <c r="M51"/>
  <c r="N62" i="63"/>
  <c r="R62" s="1"/>
  <c r="Q61" i="62"/>
  <c r="N72" i="63"/>
  <c r="M68" i="62"/>
  <c r="Q69"/>
  <c r="R52" i="63"/>
  <c r="H52" s="1"/>
  <c r="G52"/>
  <c r="I134" i="22"/>
  <c r="N38" i="62"/>
  <c r="H51"/>
  <c r="N35" i="63"/>
  <c r="R35" s="1"/>
  <c r="Q35" i="62"/>
  <c r="H79" i="63"/>
  <c r="R77" s="1"/>
  <c r="Q74" i="62"/>
  <c r="H80" i="63"/>
  <c r="R78" s="1"/>
  <c r="Q75" i="62"/>
  <c r="N34" i="63"/>
  <c r="R34" s="1"/>
  <c r="Q34" i="62"/>
  <c r="N28" s="1"/>
  <c r="N27" s="1"/>
  <c r="N73" i="63"/>
  <c r="R73" s="1"/>
  <c r="Q70" i="62"/>
  <c r="R40" i="63"/>
  <c r="M38"/>
  <c r="N61"/>
  <c r="M58" i="62"/>
  <c r="M50" s="1"/>
  <c r="Q19" s="1"/>
  <c r="Q60"/>
  <c r="N58" s="1"/>
  <c r="R30" i="63"/>
  <c r="N28" s="1"/>
  <c r="R29"/>
  <c r="M28" s="1"/>
  <c r="M28" i="62"/>
  <c r="M27" s="1"/>
  <c r="Q16" s="1"/>
  <c r="D135" i="22"/>
  <c r="AE135" i="4" s="1"/>
  <c r="D136" i="22"/>
  <c r="AE136" i="4" s="1"/>
  <c r="AM138" i="8"/>
  <c r="S138"/>
  <c r="AM167"/>
  <c r="AK164" s="1"/>
  <c r="AB164" s="1"/>
  <c r="L164" i="22" s="1"/>
  <c r="H164" s="1"/>
  <c r="J161" s="1"/>
  <c r="E136"/>
  <c r="AL136" i="4" s="1"/>
  <c r="E135" i="22"/>
  <c r="AL135" i="4" s="1"/>
  <c r="D172" i="22"/>
  <c r="D171"/>
  <c r="D173"/>
  <c r="AI139" i="8"/>
  <c r="O139"/>
  <c r="D66" i="22"/>
  <c r="D65"/>
  <c r="D64"/>
  <c r="AM139" i="8"/>
  <c r="S139"/>
  <c r="D78" i="22"/>
  <c r="D77"/>
  <c r="AI138" i="8"/>
  <c r="O138"/>
  <c r="I125" i="60"/>
  <c r="E85" i="16" s="1"/>
  <c r="E88" s="1"/>
  <c r="E89" s="1"/>
  <c r="L118" i="60"/>
  <c r="L116" s="1"/>
  <c r="E46" i="15" s="1"/>
  <c r="U40" i="10" s="1"/>
  <c r="Y40" s="1"/>
  <c r="E86" i="47"/>
  <c r="AJ86" i="4" s="1"/>
  <c r="AL86" i="8" s="1"/>
  <c r="R133" i="4"/>
  <c r="R133" i="22" s="1"/>
  <c r="P117" s="1"/>
  <c r="Q133" i="4"/>
  <c r="D51" i="22"/>
  <c r="D50"/>
  <c r="AE50" i="4" s="1"/>
  <c r="O50" i="8" s="1"/>
  <c r="D49" i="22"/>
  <c r="D52"/>
  <c r="D29"/>
  <c r="D22"/>
  <c r="D23"/>
  <c r="D24"/>
  <c r="D25"/>
  <c r="D26"/>
  <c r="D28"/>
  <c r="D27"/>
  <c r="E79" i="47"/>
  <c r="AJ79" i="4" s="1"/>
  <c r="AL79" i="8" s="1"/>
  <c r="AL134"/>
  <c r="R134"/>
  <c r="E76" i="47"/>
  <c r="AJ76" i="4" s="1"/>
  <c r="R76" i="8" s="1"/>
  <c r="D137" i="47"/>
  <c r="AC137" i="4" s="1"/>
  <c r="D134" i="47"/>
  <c r="AC134" i="4" s="1"/>
  <c r="AL137" i="8"/>
  <c r="R137"/>
  <c r="E59" i="15"/>
  <c r="I75" i="47"/>
  <c r="J34"/>
  <c r="E43" s="1"/>
  <c r="AL120" i="8"/>
  <c r="R120"/>
  <c r="AL121"/>
  <c r="R121"/>
  <c r="D123" i="22"/>
  <c r="AE123" i="4" s="1"/>
  <c r="D122" i="22"/>
  <c r="AE122" i="4" s="1"/>
  <c r="D102" i="47"/>
  <c r="AC102" i="4" s="1"/>
  <c r="D101" i="47"/>
  <c r="AC101" i="4" s="1"/>
  <c r="D98" i="47"/>
  <c r="D21"/>
  <c r="AC21" i="4" s="1"/>
  <c r="D31" i="47"/>
  <c r="AC31" i="4" s="1"/>
  <c r="D30" i="47"/>
  <c r="AC30" i="4" s="1"/>
  <c r="J62" i="47"/>
  <c r="E21"/>
  <c r="AJ21" i="4" s="1"/>
  <c r="E31" i="47"/>
  <c r="AJ31" i="4" s="1"/>
  <c r="E30" i="47"/>
  <c r="AJ30" i="4" s="1"/>
  <c r="D67" i="47"/>
  <c r="AC67" i="4" s="1"/>
  <c r="N67" i="8" s="1"/>
  <c r="D71" i="47"/>
  <c r="AC71" i="4" s="1"/>
  <c r="N71" i="8" s="1"/>
  <c r="D63" i="47"/>
  <c r="AC63" i="4" s="1"/>
  <c r="AH63" i="8" s="1"/>
  <c r="E174" i="47"/>
  <c r="AJ174" i="4" s="1"/>
  <c r="E178" i="47"/>
  <c r="AJ178" i="4" s="1"/>
  <c r="E170" i="47"/>
  <c r="AJ170" i="4" s="1"/>
  <c r="AL170" i="8" s="1"/>
  <c r="I47" i="47"/>
  <c r="E58"/>
  <c r="AJ58" i="4" s="1"/>
  <c r="E53" i="47"/>
  <c r="AJ53" i="4" s="1"/>
  <c r="E48" i="47"/>
  <c r="AJ48" i="4" s="1"/>
  <c r="D43" i="47"/>
  <c r="AC43" i="4" s="1"/>
  <c r="AH43" i="8" s="1"/>
  <c r="D39" i="47"/>
  <c r="AC39" i="4" s="1"/>
  <c r="AH39" i="8" s="1"/>
  <c r="D35" i="47"/>
  <c r="AC35" i="4" s="1"/>
  <c r="AH35" i="8" s="1"/>
  <c r="D46" i="47"/>
  <c r="AC46" i="4" s="1"/>
  <c r="N46" i="8" s="1"/>
  <c r="D164" i="47"/>
  <c r="D163"/>
  <c r="D162"/>
  <c r="E101"/>
  <c r="AJ101" i="4" s="1"/>
  <c r="E98" i="47"/>
  <c r="AJ98" i="4" s="1"/>
  <c r="E102" i="47"/>
  <c r="AJ102" i="4" s="1"/>
  <c r="D143" i="47"/>
  <c r="AC143" i="4" s="1"/>
  <c r="AH143" i="8" s="1"/>
  <c r="D142" i="47"/>
  <c r="AC142" i="4" s="1"/>
  <c r="N142" i="8" s="1"/>
  <c r="D178" i="47"/>
  <c r="AC178" i="4" s="1"/>
  <c r="AH178" i="8" s="1"/>
  <c r="D170" i="47"/>
  <c r="AC170" i="4" s="1"/>
  <c r="AH170" i="8" s="1"/>
  <c r="D174" i="47"/>
  <c r="AC174" i="4" s="1"/>
  <c r="AH174" i="8" s="1"/>
  <c r="AC121" i="4"/>
  <c r="AC120"/>
  <c r="N120" i="8" s="1"/>
  <c r="AJ143" i="4"/>
  <c r="R143" i="8" s="1"/>
  <c r="AJ142" i="4"/>
  <c r="D12" i="22"/>
  <c r="D13"/>
  <c r="K104" i="58"/>
  <c r="L104" s="1"/>
  <c r="K106"/>
  <c r="L106" s="1"/>
  <c r="K109"/>
  <c r="L109" s="1"/>
  <c r="K111"/>
  <c r="L111" s="1"/>
  <c r="K107"/>
  <c r="L107" s="1"/>
  <c r="K108"/>
  <c r="L108" s="1"/>
  <c r="K105"/>
  <c r="L105" s="1"/>
  <c r="K110"/>
  <c r="L110" s="1"/>
  <c r="L103"/>
  <c r="K11" i="55"/>
  <c r="K17"/>
  <c r="K13"/>
  <c r="K26"/>
  <c r="L26" s="1"/>
  <c r="R26" s="1"/>
  <c r="K16"/>
  <c r="L10"/>
  <c r="K12"/>
  <c r="K15"/>
  <c r="K18"/>
  <c r="K14"/>
  <c r="K15" i="58"/>
  <c r="K12"/>
  <c r="K16"/>
  <c r="K11"/>
  <c r="K17"/>
  <c r="K13"/>
  <c r="K26"/>
  <c r="L26" s="1"/>
  <c r="R26" s="1"/>
  <c r="K18"/>
  <c r="K14"/>
  <c r="L10"/>
  <c r="K111" i="55"/>
  <c r="L111" s="1"/>
  <c r="K110"/>
  <c r="L110" s="1"/>
  <c r="K107"/>
  <c r="L107" s="1"/>
  <c r="K106"/>
  <c r="L106" s="1"/>
  <c r="K109"/>
  <c r="L109" s="1"/>
  <c r="K108"/>
  <c r="L108" s="1"/>
  <c r="K105"/>
  <c r="L105" s="1"/>
  <c r="K104"/>
  <c r="L104" s="1"/>
  <c r="L103"/>
  <c r="AE100" i="4"/>
  <c r="O100" i="8" s="1"/>
  <c r="S168"/>
  <c r="AE33" i="4"/>
  <c r="O33" i="8" s="1"/>
  <c r="O32"/>
  <c r="AE41" i="4"/>
  <c r="O41" i="8" s="1"/>
  <c r="O42"/>
  <c r="S165"/>
  <c r="AI179"/>
  <c r="AE180" i="4"/>
  <c r="AI180" i="8" s="1"/>
  <c r="AE40" i="4"/>
  <c r="AI40" i="8" s="1"/>
  <c r="O73"/>
  <c r="AI73"/>
  <c r="O72"/>
  <c r="AI72"/>
  <c r="AE145" i="4"/>
  <c r="AI145" i="8" s="1"/>
  <c r="O158"/>
  <c r="AI158"/>
  <c r="S166"/>
  <c r="AE113" i="4"/>
  <c r="O156" i="8"/>
  <c r="AI156"/>
  <c r="O157"/>
  <c r="AI157"/>
  <c r="AI144"/>
  <c r="O144"/>
  <c r="O114"/>
  <c r="AI114"/>
  <c r="AE59" i="4"/>
  <c r="AE60"/>
  <c r="AE54"/>
  <c r="AE55"/>
  <c r="AE57"/>
  <c r="AE56"/>
  <c r="AE83"/>
  <c r="AE85"/>
  <c r="AE84"/>
  <c r="AE82"/>
  <c r="AE81"/>
  <c r="AE80"/>
  <c r="AE150"/>
  <c r="AE151"/>
  <c r="AE149"/>
  <c r="AE147"/>
  <c r="AE152"/>
  <c r="AE148"/>
  <c r="AE89"/>
  <c r="AE87"/>
  <c r="AE88"/>
  <c r="AE175"/>
  <c r="AE176"/>
  <c r="AE177"/>
  <c r="AE18"/>
  <c r="AE17"/>
  <c r="AE16"/>
  <c r="AE15"/>
  <c r="AE69"/>
  <c r="AE70"/>
  <c r="AE68"/>
  <c r="AE128"/>
  <c r="O128" i="8" s="1"/>
  <c r="AE129" i="4"/>
  <c r="O129" i="8" s="1"/>
  <c r="AE127" i="4"/>
  <c r="O127" i="8" s="1"/>
  <c r="AE131" i="4"/>
  <c r="O131" i="8" s="1"/>
  <c r="AE130" i="4"/>
  <c r="O130" i="8" s="1"/>
  <c r="AE103" i="4"/>
  <c r="AE105"/>
  <c r="AE106"/>
  <c r="AE104"/>
  <c r="AE108"/>
  <c r="AE107"/>
  <c r="AE167"/>
  <c r="AE166"/>
  <c r="AE168"/>
  <c r="AE165"/>
  <c r="AE92"/>
  <c r="AE94"/>
  <c r="AE95"/>
  <c r="AE91"/>
  <c r="AE93"/>
  <c r="W126" i="8"/>
  <c r="V60" i="10"/>
  <c r="W60" s="1"/>
  <c r="S81" i="8"/>
  <c r="AL100" i="4"/>
  <c r="S100" i="8" s="1"/>
  <c r="S114"/>
  <c r="AL66" i="4"/>
  <c r="AM66" i="8" s="1"/>
  <c r="AM82"/>
  <c r="AJ90" i="4"/>
  <c r="AL90" i="8" s="1"/>
  <c r="W125"/>
  <c r="K125" i="47" s="1"/>
  <c r="G125" s="1"/>
  <c r="AM18" i="8"/>
  <c r="AK14" s="1"/>
  <c r="S16"/>
  <c r="S60"/>
  <c r="AM70"/>
  <c r="AK67" s="1"/>
  <c r="S80"/>
  <c r="AL28" i="4"/>
  <c r="S28" i="8" s="1"/>
  <c r="S69"/>
  <c r="AL27" i="4"/>
  <c r="S27" i="8" s="1"/>
  <c r="S89"/>
  <c r="S84"/>
  <c r="AL173" i="4"/>
  <c r="S173" i="8" s="1"/>
  <c r="AL12" i="4"/>
  <c r="AM12" i="8" s="1"/>
  <c r="AJ153"/>
  <c r="AA153" s="1"/>
  <c r="L153" i="47" s="1"/>
  <c r="H153" s="1"/>
  <c r="AL172" i="4"/>
  <c r="AM172" i="8" s="1"/>
  <c r="S88"/>
  <c r="S15"/>
  <c r="AM85"/>
  <c r="AK112"/>
  <c r="AL99" i="4"/>
  <c r="S99" i="8" s="1"/>
  <c r="AL65" i="4"/>
  <c r="AM65" i="8" s="1"/>
  <c r="AL78" i="4"/>
  <c r="S78" i="8" s="1"/>
  <c r="AK58"/>
  <c r="AB58" s="1"/>
  <c r="L58" i="22" s="1"/>
  <c r="H58" s="1"/>
  <c r="AL26" i="4"/>
  <c r="S26" i="8" s="1"/>
  <c r="AL24" i="4"/>
  <c r="S24" i="8" s="1"/>
  <c r="AL23" i="4"/>
  <c r="S23" i="8" s="1"/>
  <c r="AL25" i="4"/>
  <c r="AM25" i="8" s="1"/>
  <c r="AK31"/>
  <c r="AL22" i="4"/>
  <c r="AM22" i="8" s="1"/>
  <c r="AM156"/>
  <c r="S156"/>
  <c r="AM73"/>
  <c r="S73"/>
  <c r="AM152"/>
  <c r="S152"/>
  <c r="AM54"/>
  <c r="S54"/>
  <c r="AM91"/>
  <c r="S91"/>
  <c r="AM129"/>
  <c r="AK86"/>
  <c r="AB86" s="1"/>
  <c r="L86" i="22" s="1"/>
  <c r="H86" s="1"/>
  <c r="S103" i="8"/>
  <c r="AM103"/>
  <c r="N111"/>
  <c r="AH111"/>
  <c r="AL36" i="4"/>
  <c r="AL38"/>
  <c r="AL37"/>
  <c r="AM74" i="8"/>
  <c r="S74"/>
  <c r="AM148"/>
  <c r="S148"/>
  <c r="AM149"/>
  <c r="S149"/>
  <c r="S40"/>
  <c r="AM40"/>
  <c r="S57"/>
  <c r="AM57"/>
  <c r="R162"/>
  <c r="AL162"/>
  <c r="N19"/>
  <c r="AH19"/>
  <c r="AM94"/>
  <c r="S94"/>
  <c r="AM128"/>
  <c r="AM145"/>
  <c r="S145"/>
  <c r="AM77"/>
  <c r="S77"/>
  <c r="AM176"/>
  <c r="S176"/>
  <c r="AL110"/>
  <c r="R110"/>
  <c r="AH155"/>
  <c r="N155"/>
  <c r="AM106"/>
  <c r="S106"/>
  <c r="N112"/>
  <c r="AH112"/>
  <c r="S150"/>
  <c r="AM150"/>
  <c r="S42"/>
  <c r="AM42"/>
  <c r="S29"/>
  <c r="AM29"/>
  <c r="AC98" i="4"/>
  <c r="AM158" i="8"/>
  <c r="S158"/>
  <c r="AH110"/>
  <c r="N110"/>
  <c r="AM72"/>
  <c r="S72"/>
  <c r="AM147"/>
  <c r="S147"/>
  <c r="AM55"/>
  <c r="S55"/>
  <c r="R163"/>
  <c r="AL163"/>
  <c r="AM95"/>
  <c r="S95"/>
  <c r="AM92"/>
  <c r="S92"/>
  <c r="AM127"/>
  <c r="AM130"/>
  <c r="AM144"/>
  <c r="S144"/>
  <c r="S175"/>
  <c r="AM175"/>
  <c r="AM13"/>
  <c r="S13"/>
  <c r="AL112"/>
  <c r="R112"/>
  <c r="AH154"/>
  <c r="N154"/>
  <c r="S107"/>
  <c r="AM107"/>
  <c r="AM104"/>
  <c r="S104"/>
  <c r="AM171"/>
  <c r="S171"/>
  <c r="S170"/>
  <c r="AH14"/>
  <c r="N14"/>
  <c r="S157"/>
  <c r="AM157"/>
  <c r="AL50" i="4"/>
  <c r="AL52"/>
  <c r="AL49"/>
  <c r="AL51"/>
  <c r="AM151" i="8"/>
  <c r="S151"/>
  <c r="AM41"/>
  <c r="S41"/>
  <c r="AM56"/>
  <c r="S56"/>
  <c r="AL164"/>
  <c r="R164"/>
  <c r="N11"/>
  <c r="S93"/>
  <c r="AM93"/>
  <c r="AM131"/>
  <c r="AM177"/>
  <c r="S177"/>
  <c r="AM64"/>
  <c r="S64"/>
  <c r="AL111"/>
  <c r="R111"/>
  <c r="S105"/>
  <c r="AM105"/>
  <c r="AM108"/>
  <c r="S108"/>
  <c r="N50" i="62" l="1"/>
  <c r="Q20" s="1"/>
  <c r="R61" i="63"/>
  <c r="N59" s="1"/>
  <c r="M59"/>
  <c r="N38"/>
  <c r="K38"/>
  <c r="R55"/>
  <c r="N52" s="1"/>
  <c r="M52"/>
  <c r="AG137" i="8"/>
  <c r="X137" s="1"/>
  <c r="K137" i="22" s="1"/>
  <c r="G137" s="1"/>
  <c r="M27" i="63"/>
  <c r="R16" s="1"/>
  <c r="N51"/>
  <c r="M70"/>
  <c r="R72"/>
  <c r="N70" s="1"/>
  <c r="Q17" i="62"/>
  <c r="N27" i="63"/>
  <c r="M51"/>
  <c r="R19" s="1"/>
  <c r="N68" i="62"/>
  <c r="L125" i="60"/>
  <c r="L123" s="1"/>
  <c r="AM135" i="8"/>
  <c r="S135"/>
  <c r="AK137"/>
  <c r="AB137" s="1"/>
  <c r="L137" i="22" s="1"/>
  <c r="H137" s="1"/>
  <c r="AI135" i="8"/>
  <c r="O135"/>
  <c r="AM136"/>
  <c r="S136"/>
  <c r="AI136"/>
  <c r="O136"/>
  <c r="R79"/>
  <c r="N119" i="22"/>
  <c r="AB119" i="4" s="1"/>
  <c r="Z119" i="8" s="1"/>
  <c r="N118" i="22"/>
  <c r="N133"/>
  <c r="AB133" i="4" s="1"/>
  <c r="Z133" i="8" s="1"/>
  <c r="N124" i="22"/>
  <c r="AB124" i="4" s="1"/>
  <c r="Z124" i="8" s="1"/>
  <c r="M124" s="1"/>
  <c r="AH67"/>
  <c r="AJ119"/>
  <c r="AH134"/>
  <c r="N134"/>
  <c r="AJ133"/>
  <c r="L135" i="60"/>
  <c r="L136" s="1"/>
  <c r="E47" i="15"/>
  <c r="AH137" i="8"/>
  <c r="N137"/>
  <c r="N174"/>
  <c r="E46" i="47"/>
  <c r="AJ46" i="4" s="1"/>
  <c r="E39" i="47"/>
  <c r="AJ39" i="4" s="1"/>
  <c r="N43" i="8"/>
  <c r="AG71"/>
  <c r="M71" s="1"/>
  <c r="E35" i="47"/>
  <c r="AJ35" i="4" s="1"/>
  <c r="AH121" i="8"/>
  <c r="N121"/>
  <c r="D59" i="15"/>
  <c r="D59" i="12"/>
  <c r="K126" i="47"/>
  <c r="G126" s="1"/>
  <c r="I124" s="1"/>
  <c r="AH120" i="8"/>
  <c r="AH142"/>
  <c r="AF141" s="1"/>
  <c r="AL143"/>
  <c r="D90" i="47"/>
  <c r="AC90" i="4" s="1"/>
  <c r="N90" i="8" s="1"/>
  <c r="D79" i="47"/>
  <c r="AC79" i="4" s="1"/>
  <c r="D86" i="47"/>
  <c r="AC86" i="4" s="1"/>
  <c r="N86" i="8" s="1"/>
  <c r="D76" i="47"/>
  <c r="AC76" i="4" s="1"/>
  <c r="AH76" i="8" s="1"/>
  <c r="E67" i="47"/>
  <c r="AJ67" i="4" s="1"/>
  <c r="R67" i="8" s="1"/>
  <c r="E63" i="47"/>
  <c r="AJ63" i="4" s="1"/>
  <c r="R63" i="8" s="1"/>
  <c r="E71" i="47"/>
  <c r="AJ71" i="4" s="1"/>
  <c r="E14" i="47"/>
  <c r="AJ14" i="4" s="1"/>
  <c r="AL14" i="8" s="1"/>
  <c r="E19" i="47"/>
  <c r="AJ19" i="4" s="1"/>
  <c r="AL19" i="8" s="1"/>
  <c r="AJ11" i="4"/>
  <c r="AL11" i="8" s="1"/>
  <c r="D58" i="47"/>
  <c r="AC58" i="4" s="1"/>
  <c r="N58" i="8" s="1"/>
  <c r="D48" i="47"/>
  <c r="AC48" i="4" s="1"/>
  <c r="AH48" i="8" s="1"/>
  <c r="D53" i="47"/>
  <c r="AC53" i="4" s="1"/>
  <c r="AH53" i="8" s="1"/>
  <c r="R142"/>
  <c r="AL142"/>
  <c r="N143"/>
  <c r="AC163" i="4"/>
  <c r="AC164"/>
  <c r="N164" i="8" s="1"/>
  <c r="AC162" i="4"/>
  <c r="N162" i="8" s="1"/>
  <c r="E164" i="22"/>
  <c r="E163"/>
  <c r="E162"/>
  <c r="AH71" i="8"/>
  <c r="AG178"/>
  <c r="M178" s="1"/>
  <c r="K34" i="58"/>
  <c r="L34" s="1"/>
  <c r="R34" s="1"/>
  <c r="L18"/>
  <c r="K27"/>
  <c r="L11"/>
  <c r="L14" i="55"/>
  <c r="K30"/>
  <c r="K33"/>
  <c r="L17"/>
  <c r="AE99" i="4"/>
  <c r="O99" i="8" s="1"/>
  <c r="L113" i="55"/>
  <c r="L134" s="1"/>
  <c r="E34" i="12" s="1"/>
  <c r="T40" i="9" s="1"/>
  <c r="K32" i="58"/>
  <c r="L16"/>
  <c r="K34" i="55"/>
  <c r="L34" s="1"/>
  <c r="R34" s="1"/>
  <c r="L18"/>
  <c r="K32"/>
  <c r="L16"/>
  <c r="K27"/>
  <c r="L11"/>
  <c r="AI100" i="8"/>
  <c r="K29" i="58"/>
  <c r="L13"/>
  <c r="K28"/>
  <c r="L12"/>
  <c r="K31" i="55"/>
  <c r="L31" s="1"/>
  <c r="R31" s="1"/>
  <c r="L35" s="1"/>
  <c r="E8" i="12" s="1"/>
  <c r="L15" i="55"/>
  <c r="L113" i="58"/>
  <c r="L134" s="1"/>
  <c r="K30"/>
  <c r="L14"/>
  <c r="K33"/>
  <c r="L17"/>
  <c r="K31"/>
  <c r="L31" s="1"/>
  <c r="R31" s="1"/>
  <c r="L35" s="1"/>
  <c r="L15"/>
  <c r="L12" i="55"/>
  <c r="K28"/>
  <c r="L13"/>
  <c r="K29"/>
  <c r="AI33" i="8"/>
  <c r="AG31" s="1"/>
  <c r="X31" s="1"/>
  <c r="K31" i="22" s="1"/>
  <c r="G31" s="1"/>
  <c r="O180" i="8"/>
  <c r="AI41"/>
  <c r="AG39" s="1"/>
  <c r="N63"/>
  <c r="O40"/>
  <c r="AE51" i="4"/>
  <c r="O51" i="8" s="1"/>
  <c r="O145"/>
  <c r="AG143"/>
  <c r="X143" s="1"/>
  <c r="K143" i="22" s="1"/>
  <c r="AE52" i="4"/>
  <c r="AE49"/>
  <c r="AI50" i="8"/>
  <c r="AG155"/>
  <c r="AI113"/>
  <c r="AG112" s="1"/>
  <c r="O113"/>
  <c r="X126"/>
  <c r="K126" i="22" s="1"/>
  <c r="G126" s="1"/>
  <c r="AB31" i="8"/>
  <c r="L31" i="22" s="1"/>
  <c r="H31" s="1"/>
  <c r="Q31" i="8"/>
  <c r="AB67"/>
  <c r="L67" i="22" s="1"/>
  <c r="H67" s="1"/>
  <c r="Q67" i="8"/>
  <c r="AB14"/>
  <c r="L14" i="22" s="1"/>
  <c r="H14" s="1"/>
  <c r="Q14" i="8"/>
  <c r="AI122"/>
  <c r="O122"/>
  <c r="AI60"/>
  <c r="O60"/>
  <c r="AE13" i="4"/>
  <c r="AE12"/>
  <c r="AI59" i="8"/>
  <c r="O59"/>
  <c r="AE37" i="4"/>
  <c r="AE36"/>
  <c r="AE38"/>
  <c r="O123" i="8"/>
  <c r="AI123"/>
  <c r="AE66" i="4"/>
  <c r="AE65"/>
  <c r="AE64"/>
  <c r="AI166" i="8"/>
  <c r="O166"/>
  <c r="AE78" i="4"/>
  <c r="AE77"/>
  <c r="AI15" i="8"/>
  <c r="O15"/>
  <c r="O87"/>
  <c r="AI87"/>
  <c r="O152"/>
  <c r="AI152"/>
  <c r="AI84"/>
  <c r="O84"/>
  <c r="AI93"/>
  <c r="O93"/>
  <c r="AI92"/>
  <c r="O92"/>
  <c r="O167"/>
  <c r="AI167"/>
  <c r="AI106"/>
  <c r="O106"/>
  <c r="AI129"/>
  <c r="AE172" i="4"/>
  <c r="AE171"/>
  <c r="AE173"/>
  <c r="AE22"/>
  <c r="AE24"/>
  <c r="AE26"/>
  <c r="AE25"/>
  <c r="AE28"/>
  <c r="AE27"/>
  <c r="AE23"/>
  <c r="AE29"/>
  <c r="O16" i="8"/>
  <c r="AI16"/>
  <c r="O176"/>
  <c r="AI176"/>
  <c r="AI89"/>
  <c r="O89"/>
  <c r="O147"/>
  <c r="AI147"/>
  <c r="AI80"/>
  <c r="O80"/>
  <c r="O85"/>
  <c r="AI85"/>
  <c r="AI55"/>
  <c r="O55"/>
  <c r="AI94"/>
  <c r="O94"/>
  <c r="AI127"/>
  <c r="O69"/>
  <c r="AI69"/>
  <c r="O177"/>
  <c r="AI177"/>
  <c r="O57"/>
  <c r="AI57"/>
  <c r="O91"/>
  <c r="AI91"/>
  <c r="AI165"/>
  <c r="O165"/>
  <c r="O107"/>
  <c r="AI107"/>
  <c r="O105"/>
  <c r="AI105"/>
  <c r="AI130"/>
  <c r="AI128"/>
  <c r="O68"/>
  <c r="AI68"/>
  <c r="O17"/>
  <c r="AI17"/>
  <c r="O175"/>
  <c r="AI175"/>
  <c r="AI149"/>
  <c r="O149"/>
  <c r="O81"/>
  <c r="AI81"/>
  <c r="AI83"/>
  <c r="O83"/>
  <c r="O54"/>
  <c r="AI54"/>
  <c r="AI104"/>
  <c r="O104"/>
  <c r="AI150"/>
  <c r="O150"/>
  <c r="O95"/>
  <c r="AI95"/>
  <c r="AI168"/>
  <c r="O168"/>
  <c r="AI108"/>
  <c r="O108"/>
  <c r="O103"/>
  <c r="AI103"/>
  <c r="AI131"/>
  <c r="AI70"/>
  <c r="O70"/>
  <c r="AI18"/>
  <c r="O18"/>
  <c r="AI88"/>
  <c r="O88"/>
  <c r="O148"/>
  <c r="AI148"/>
  <c r="O151"/>
  <c r="AI151"/>
  <c r="AI82"/>
  <c r="O82"/>
  <c r="O56"/>
  <c r="AI56"/>
  <c r="AJ43" i="4"/>
  <c r="AH46" i="8"/>
  <c r="AF34" s="1"/>
  <c r="N39"/>
  <c r="AM100"/>
  <c r="AM173"/>
  <c r="AK170" s="1"/>
  <c r="AK79"/>
  <c r="AB79" s="1"/>
  <c r="L79" i="22" s="1"/>
  <c r="H79" s="1"/>
  <c r="S66" i="8"/>
  <c r="AM28"/>
  <c r="AL76"/>
  <c r="AJ75" s="1"/>
  <c r="R90"/>
  <c r="R86"/>
  <c r="N35"/>
  <c r="N169"/>
  <c r="N178"/>
  <c r="S172"/>
  <c r="AM27"/>
  <c r="AM24"/>
  <c r="S12"/>
  <c r="S65"/>
  <c r="AM99"/>
  <c r="AB112"/>
  <c r="L112" i="22" s="1"/>
  <c r="H112" s="1"/>
  <c r="J109" s="1"/>
  <c r="AM23" i="8"/>
  <c r="AF153"/>
  <c r="AN153" s="1"/>
  <c r="T153" s="1"/>
  <c r="V61" i="10" s="1"/>
  <c r="W61" s="1"/>
  <c r="AM26" i="8"/>
  <c r="S25"/>
  <c r="AK71"/>
  <c r="AB71" s="1"/>
  <c r="L71" i="22" s="1"/>
  <c r="H71" s="1"/>
  <c r="AM78" i="8"/>
  <c r="AK76" s="1"/>
  <c r="AK146"/>
  <c r="AB146" s="1"/>
  <c r="L146" i="22" s="1"/>
  <c r="H146" s="1"/>
  <c r="S22" i="8"/>
  <c r="AF169"/>
  <c r="W169" s="1"/>
  <c r="K169" i="47" s="1"/>
  <c r="G169" s="1"/>
  <c r="X125" i="8"/>
  <c r="K125" i="22" s="1"/>
  <c r="G125" s="1"/>
  <c r="AK63" i="8"/>
  <c r="Q63" s="1"/>
  <c r="AM52"/>
  <c r="S52"/>
  <c r="AK143"/>
  <c r="AB143" s="1"/>
  <c r="L143" i="22" s="1"/>
  <c r="H143" s="1"/>
  <c r="J141" s="1"/>
  <c r="N101" i="8"/>
  <c r="AH101"/>
  <c r="AL102"/>
  <c r="R102"/>
  <c r="AJ161"/>
  <c r="AK39"/>
  <c r="AM36"/>
  <c r="S36"/>
  <c r="AH31"/>
  <c r="N31"/>
  <c r="AL31"/>
  <c r="R31"/>
  <c r="AH98"/>
  <c r="N98"/>
  <c r="R174"/>
  <c r="AL174"/>
  <c r="AL101"/>
  <c r="R101"/>
  <c r="AL53"/>
  <c r="R53"/>
  <c r="AM38"/>
  <c r="S38"/>
  <c r="AK90"/>
  <c r="AB90" s="1"/>
  <c r="L90" i="22" s="1"/>
  <c r="H90" s="1"/>
  <c r="AM51" i="8"/>
  <c r="S51"/>
  <c r="AM50"/>
  <c r="S50"/>
  <c r="AL30"/>
  <c r="R30"/>
  <c r="AK174"/>
  <c r="AB174" s="1"/>
  <c r="L174" i="22" s="1"/>
  <c r="H174" s="1"/>
  <c r="R178" i="8"/>
  <c r="AL178"/>
  <c r="AL98"/>
  <c r="R98"/>
  <c r="AL48"/>
  <c r="R48"/>
  <c r="AK102"/>
  <c r="AB102" s="1"/>
  <c r="L102" i="22" s="1"/>
  <c r="H102" s="1"/>
  <c r="AK53" i="8"/>
  <c r="AK155"/>
  <c r="AB155" s="1"/>
  <c r="L155" i="22" s="1"/>
  <c r="H155" s="1"/>
  <c r="J153" s="1"/>
  <c r="AH30" i="8"/>
  <c r="N30"/>
  <c r="AF10"/>
  <c r="S49"/>
  <c r="AM49"/>
  <c r="AL21"/>
  <c r="R21"/>
  <c r="AN109"/>
  <c r="N102"/>
  <c r="AH102"/>
  <c r="AL58"/>
  <c r="R58"/>
  <c r="AM37"/>
  <c r="S37"/>
  <c r="AH21"/>
  <c r="N21"/>
  <c r="R20" i="63" l="1"/>
  <c r="AK134" i="8"/>
  <c r="AB134" s="1"/>
  <c r="L134" i="22" s="1"/>
  <c r="H134" s="1"/>
  <c r="J133" s="1"/>
  <c r="E134" s="1"/>
  <c r="AL134" i="4" s="1"/>
  <c r="R17" i="63"/>
  <c r="L137" i="60"/>
  <c r="L139" s="1"/>
  <c r="J94" i="62"/>
  <c r="J94" i="61"/>
  <c r="AG134" i="8"/>
  <c r="E137" i="22"/>
  <c r="AL137" i="4" s="1"/>
  <c r="AF62" i="8"/>
  <c r="L62" s="1"/>
  <c r="G118" i="22"/>
  <c r="AB118" i="4"/>
  <c r="Z118" i="8" s="1"/>
  <c r="M118" s="1"/>
  <c r="AF133"/>
  <c r="AN133" s="1"/>
  <c r="T133" s="1"/>
  <c r="AA133"/>
  <c r="L133" i="47" s="1"/>
  <c r="H133" s="1"/>
  <c r="AH164" i="8"/>
  <c r="E52" i="15"/>
  <c r="W42" i="10" s="1"/>
  <c r="V41"/>
  <c r="AL71" i="8"/>
  <c r="R71"/>
  <c r="AH162"/>
  <c r="X71"/>
  <c r="K71" i="22" s="1"/>
  <c r="G71" s="1"/>
  <c r="AJ141" i="8"/>
  <c r="AA141" s="1"/>
  <c r="L141" i="47" s="1"/>
  <c r="H141" s="1"/>
  <c r="J140" s="1"/>
  <c r="E153" s="1"/>
  <c r="AJ153" i="4" s="1"/>
  <c r="AL153" i="8" s="1"/>
  <c r="AF119"/>
  <c r="L119" s="1"/>
  <c r="N75" i="61" s="1"/>
  <c r="AH58" i="8"/>
  <c r="AF47" s="1"/>
  <c r="D46" i="12"/>
  <c r="U39" i="9" s="1"/>
  <c r="Y39" s="1"/>
  <c r="D46" i="15"/>
  <c r="U39" i="10" s="1"/>
  <c r="Y39" s="1"/>
  <c r="D132" i="47"/>
  <c r="AC132" i="4" s="1"/>
  <c r="N132" i="8" s="1"/>
  <c r="D125" i="47"/>
  <c r="AC125" i="4" s="1"/>
  <c r="D126" i="47"/>
  <c r="AC126" i="4" s="1"/>
  <c r="AH126" i="8" s="1"/>
  <c r="I124" i="22"/>
  <c r="D132" s="1"/>
  <c r="G143"/>
  <c r="I141" s="1"/>
  <c r="R19" i="8"/>
  <c r="AH79"/>
  <c r="N79"/>
  <c r="AH163"/>
  <c r="N163"/>
  <c r="E155" i="22"/>
  <c r="AL155" i="4" s="1"/>
  <c r="E154" i="22"/>
  <c r="AL154" i="4" s="1"/>
  <c r="E112" i="22"/>
  <c r="E111"/>
  <c r="E110"/>
  <c r="E143"/>
  <c r="AL143" i="4" s="1"/>
  <c r="E142" i="22"/>
  <c r="AL142" i="4" s="1"/>
  <c r="AL164"/>
  <c r="S164" i="8" s="1"/>
  <c r="AL162" i="4"/>
  <c r="AL163"/>
  <c r="X178" i="8"/>
  <c r="K178" i="22" s="1"/>
  <c r="G178" s="1"/>
  <c r="M31" i="8"/>
  <c r="N53"/>
  <c r="AL63"/>
  <c r="AB11"/>
  <c r="L11" i="22" s="1"/>
  <c r="H11" s="1"/>
  <c r="J10" s="1"/>
  <c r="L24" i="55"/>
  <c r="L133" s="1"/>
  <c r="E9" i="12" s="1"/>
  <c r="AI99" i="8"/>
  <c r="AG98" s="1"/>
  <c r="X98" s="1"/>
  <c r="K98" i="22" s="1"/>
  <c r="G98" s="1"/>
  <c r="L24" i="58"/>
  <c r="L133" s="1"/>
  <c r="L136" s="1"/>
  <c r="M39" i="8"/>
  <c r="X39"/>
  <c r="K39" i="22" s="1"/>
  <c r="G39" s="1"/>
  <c r="M143" i="8"/>
  <c r="AL67"/>
  <c r="AI51"/>
  <c r="N48"/>
  <c r="M112"/>
  <c r="X112"/>
  <c r="K112" i="22" s="1"/>
  <c r="G112" s="1"/>
  <c r="I109" s="1"/>
  <c r="AO112" i="8"/>
  <c r="U112" s="1"/>
  <c r="AI49"/>
  <c r="O49"/>
  <c r="X155"/>
  <c r="K155" i="22" s="1"/>
  <c r="G155" s="1"/>
  <c r="I153" s="1"/>
  <c r="M155" i="8"/>
  <c r="O52"/>
  <c r="AI52"/>
  <c r="AB53"/>
  <c r="L53" i="22" s="1"/>
  <c r="H53" s="1"/>
  <c r="Q53" i="8"/>
  <c r="AB39"/>
  <c r="L39" i="22" s="1"/>
  <c r="H39" s="1"/>
  <c r="Q39" i="8"/>
  <c r="AI36"/>
  <c r="O36"/>
  <c r="AG53"/>
  <c r="X53" s="1"/>
  <c r="K53" i="22" s="1"/>
  <c r="G53" s="1"/>
  <c r="O37" i="8"/>
  <c r="AI37"/>
  <c r="AI12"/>
  <c r="O12"/>
  <c r="AI66"/>
  <c r="O66"/>
  <c r="AG90"/>
  <c r="M90" s="1"/>
  <c r="AG14"/>
  <c r="AI64"/>
  <c r="O64"/>
  <c r="AI13"/>
  <c r="O13"/>
  <c r="R14"/>
  <c r="AI65"/>
  <c r="O65"/>
  <c r="AI38"/>
  <c r="O38"/>
  <c r="AG58"/>
  <c r="AI27"/>
  <c r="O27"/>
  <c r="AI172"/>
  <c r="O172"/>
  <c r="AG79"/>
  <c r="AI28"/>
  <c r="O28"/>
  <c r="O22"/>
  <c r="AI22"/>
  <c r="AI78"/>
  <c r="O78"/>
  <c r="AI24"/>
  <c r="O24"/>
  <c r="AG86"/>
  <c r="X86" s="1"/>
  <c r="K86" i="22" s="1"/>
  <c r="G86" s="1"/>
  <c r="AG146" i="8"/>
  <c r="AO146" s="1"/>
  <c r="U146" s="1"/>
  <c r="V60" i="9" s="1"/>
  <c r="W60" s="1"/>
  <c r="AI29" i="8"/>
  <c r="O29"/>
  <c r="AI25"/>
  <c r="O25"/>
  <c r="O173"/>
  <c r="AI173"/>
  <c r="O77"/>
  <c r="AI77"/>
  <c r="AG102"/>
  <c r="AG174"/>
  <c r="AG67"/>
  <c r="AG164"/>
  <c r="AI23"/>
  <c r="O23"/>
  <c r="O26"/>
  <c r="AI26"/>
  <c r="O170"/>
  <c r="O171"/>
  <c r="AI171"/>
  <c r="AJ10"/>
  <c r="P10" s="1"/>
  <c r="R11"/>
  <c r="R43"/>
  <c r="AL43"/>
  <c r="R46"/>
  <c r="AL46"/>
  <c r="AH86"/>
  <c r="R35"/>
  <c r="AL35"/>
  <c r="AL39"/>
  <c r="R39"/>
  <c r="AK98"/>
  <c r="AH90"/>
  <c r="W62"/>
  <c r="K62" i="47" s="1"/>
  <c r="G62" s="1"/>
  <c r="L153" i="8"/>
  <c r="AK21"/>
  <c r="X64" i="11"/>
  <c r="Y64" s="1"/>
  <c r="W153" i="8"/>
  <c r="K153" i="47" s="1"/>
  <c r="G153" s="1"/>
  <c r="AJ169" i="8"/>
  <c r="AN169" s="1"/>
  <c r="T169" s="1"/>
  <c r="AF20"/>
  <c r="W20" s="1"/>
  <c r="K20" i="47" s="1"/>
  <c r="G20" s="1"/>
  <c r="AJ97" i="8"/>
  <c r="AA97" s="1"/>
  <c r="L97" i="47" s="1"/>
  <c r="H97" s="1"/>
  <c r="AJ20" i="8"/>
  <c r="AA20" s="1"/>
  <c r="L20" i="47" s="1"/>
  <c r="H20" s="1"/>
  <c r="L169" i="8"/>
  <c r="N76"/>
  <c r="AB76"/>
  <c r="L76" i="22" s="1"/>
  <c r="H76" s="1"/>
  <c r="J75" s="1"/>
  <c r="E86" s="1"/>
  <c r="W34" i="8"/>
  <c r="K34" i="47" s="1"/>
  <c r="G34" s="1"/>
  <c r="L34" i="8"/>
  <c r="P75"/>
  <c r="AA75"/>
  <c r="L75" i="47" s="1"/>
  <c r="H75" s="1"/>
  <c r="AF97" i="8"/>
  <c r="AB63"/>
  <c r="L63" i="22" s="1"/>
  <c r="H63" s="1"/>
  <c r="J62" s="1"/>
  <c r="AA119" i="8"/>
  <c r="L119" i="47" s="1"/>
  <c r="H119" s="1"/>
  <c r="T109" i="8"/>
  <c r="Z45" i="10"/>
  <c r="AD48" i="11"/>
  <c r="AB170" i="8"/>
  <c r="L170" i="22" s="1"/>
  <c r="H170" s="1"/>
  <c r="J169" s="1"/>
  <c r="AK48" i="8"/>
  <c r="Q48" s="1"/>
  <c r="W10"/>
  <c r="K10" i="47" s="1"/>
  <c r="G10" s="1"/>
  <c r="L10" i="8"/>
  <c r="AJ47"/>
  <c r="W141"/>
  <c r="K141" i="47" s="1"/>
  <c r="G141" s="1"/>
  <c r="L141" i="8"/>
  <c r="AK35"/>
  <c r="Q35" s="1"/>
  <c r="AA161"/>
  <c r="L161" i="47" s="1"/>
  <c r="H161" s="1"/>
  <c r="E141" l="1"/>
  <c r="AJ141" i="4" s="1"/>
  <c r="AL141" i="8" s="1"/>
  <c r="M79" i="63"/>
  <c r="Q78" i="61"/>
  <c r="N74" s="1"/>
  <c r="N67" s="1"/>
  <c r="M74"/>
  <c r="M67" s="1"/>
  <c r="Q22" s="1"/>
  <c r="N125" i="8"/>
  <c r="I101" i="63"/>
  <c r="J96" i="61"/>
  <c r="J101" i="63"/>
  <c r="J96" i="62"/>
  <c r="X134" i="8"/>
  <c r="K134" i="22" s="1"/>
  <c r="G134" s="1"/>
  <c r="I133" s="1"/>
  <c r="M134" i="8"/>
  <c r="AM134"/>
  <c r="S134"/>
  <c r="AM137"/>
  <c r="S137"/>
  <c r="AN141"/>
  <c r="E146" i="47"/>
  <c r="AJ146" i="4" s="1"/>
  <c r="AL146" i="8" s="1"/>
  <c r="S62" i="10"/>
  <c r="T62" s="1"/>
  <c r="S65" i="11"/>
  <c r="T65" s="1"/>
  <c r="S41"/>
  <c r="V41" s="1"/>
  <c r="Y41" i="10"/>
  <c r="X41" s="1"/>
  <c r="T35" s="1"/>
  <c r="AF161" i="8"/>
  <c r="AN161" s="1"/>
  <c r="T161" s="1"/>
  <c r="Y60" i="10" s="1"/>
  <c r="Z60" s="1"/>
  <c r="Y42"/>
  <c r="X42" s="1"/>
  <c r="T43" i="11"/>
  <c r="V43" s="1"/>
  <c r="W133" i="8"/>
  <c r="K133" i="47" s="1"/>
  <c r="G133" s="1"/>
  <c r="L133" i="8"/>
  <c r="I140" i="47"/>
  <c r="D153" s="1"/>
  <c r="X90" i="8"/>
  <c r="K90" i="22" s="1"/>
  <c r="G90" s="1"/>
  <c r="X14" i="8"/>
  <c r="K14" i="22" s="1"/>
  <c r="G14" s="1"/>
  <c r="M14" i="8"/>
  <c r="W119"/>
  <c r="K119" i="47" s="1"/>
  <c r="G119" s="1"/>
  <c r="AN119" i="8"/>
  <c r="T119" s="1"/>
  <c r="S63" i="11" s="1"/>
  <c r="T63" s="1"/>
  <c r="N126" i="8"/>
  <c r="X40" i="10"/>
  <c r="D126" i="22"/>
  <c r="AH132" i="8"/>
  <c r="D125" i="22"/>
  <c r="D143"/>
  <c r="AE143" i="4" s="1"/>
  <c r="O143" i="8" s="1"/>
  <c r="D142" i="22"/>
  <c r="AE142" i="4" s="1"/>
  <c r="O142" i="8" s="1"/>
  <c r="D120" i="22"/>
  <c r="AJ62" i="8"/>
  <c r="P62" s="1"/>
  <c r="D155" i="22"/>
  <c r="AE155" i="4" s="1"/>
  <c r="D154" i="22"/>
  <c r="AE154" i="4" s="1"/>
  <c r="D112" i="22"/>
  <c r="AE112" i="4" s="1"/>
  <c r="D111" i="22"/>
  <c r="AE111" i="4" s="1"/>
  <c r="D110" i="22"/>
  <c r="AE110" i="4" s="1"/>
  <c r="E67" i="22"/>
  <c r="AL67" i="4" s="1"/>
  <c r="E63" i="22"/>
  <c r="AL63" i="4" s="1"/>
  <c r="E71" i="22"/>
  <c r="AL71" i="4" s="1"/>
  <c r="E178" i="22"/>
  <c r="AL178" i="4" s="1"/>
  <c r="E170" i="22"/>
  <c r="AL170" i="4" s="1"/>
  <c r="AM170" i="8" s="1"/>
  <c r="E174" i="22"/>
  <c r="AL174" i="4" s="1"/>
  <c r="E90" i="22"/>
  <c r="AL90" i="4" s="1"/>
  <c r="E79" i="22"/>
  <c r="AL79" i="4" s="1"/>
  <c r="E76" i="22"/>
  <c r="AL76" i="4" s="1"/>
  <c r="E14" i="22"/>
  <c r="AL14" i="4" s="1"/>
  <c r="E19" i="22"/>
  <c r="AL19" i="4" s="1"/>
  <c r="E11" i="22"/>
  <c r="AL11" i="4" s="1"/>
  <c r="AM11" i="8" s="1"/>
  <c r="AM164"/>
  <c r="AL112" i="4"/>
  <c r="AL111"/>
  <c r="AM111" i="8" s="1"/>
  <c r="AL110" i="4"/>
  <c r="S110" i="8" s="1"/>
  <c r="AM143"/>
  <c r="S143"/>
  <c r="AM163"/>
  <c r="S163"/>
  <c r="AM142"/>
  <c r="S142"/>
  <c r="AM162"/>
  <c r="S162"/>
  <c r="AL86" i="4"/>
  <c r="AH125" i="8"/>
  <c r="M98"/>
  <c r="AG76"/>
  <c r="X76" s="1"/>
  <c r="K76" i="22" s="1"/>
  <c r="G76" s="1"/>
  <c r="AG48" i="8"/>
  <c r="M53"/>
  <c r="Y50" i="9"/>
  <c r="Z50" s="1"/>
  <c r="AE53" i="11"/>
  <c r="AF53" s="1"/>
  <c r="AB21" i="8"/>
  <c r="L21" i="22" s="1"/>
  <c r="H21" s="1"/>
  <c r="J20" s="1"/>
  <c r="Q21" i="8"/>
  <c r="Q98"/>
  <c r="AG21"/>
  <c r="X121"/>
  <c r="AG170"/>
  <c r="X170" s="1"/>
  <c r="K170" i="22" s="1"/>
  <c r="G170" s="1"/>
  <c r="X58" i="8"/>
  <c r="K58" i="22" s="1"/>
  <c r="G58" s="1"/>
  <c r="M58" i="8"/>
  <c r="AG63"/>
  <c r="AG35"/>
  <c r="AA10"/>
  <c r="L10" i="47" s="1"/>
  <c r="H10" s="1"/>
  <c r="S40" i="9"/>
  <c r="M102" i="8"/>
  <c r="X102"/>
  <c r="K102" i="22" s="1"/>
  <c r="G102" s="1"/>
  <c r="I97" s="1"/>
  <c r="AN10" i="8"/>
  <c r="T10" s="1"/>
  <c r="X164"/>
  <c r="K164" i="22" s="1"/>
  <c r="G164" s="1"/>
  <c r="I161" s="1"/>
  <c r="M164" i="8"/>
  <c r="X146"/>
  <c r="K146" i="22" s="1"/>
  <c r="G146" s="1"/>
  <c r="M146" i="8"/>
  <c r="M79"/>
  <c r="X79"/>
  <c r="K79" i="22" s="1"/>
  <c r="G79" s="1"/>
  <c r="M174" i="8"/>
  <c r="X174"/>
  <c r="K174" i="22" s="1"/>
  <c r="G174" s="1"/>
  <c r="M67" i="8"/>
  <c r="X67"/>
  <c r="K67" i="22" s="1"/>
  <c r="G67" s="1"/>
  <c r="AJ34" i="8"/>
  <c r="AN34" s="1"/>
  <c r="T34" s="1"/>
  <c r="S53" i="11" s="1"/>
  <c r="T53" s="1"/>
  <c r="AF75" i="8"/>
  <c r="W75" s="1"/>
  <c r="K75" i="47" s="1"/>
  <c r="G75" s="1"/>
  <c r="AB98" i="8"/>
  <c r="L98" i="22" s="1"/>
  <c r="H98" s="1"/>
  <c r="J97" s="1"/>
  <c r="Z63" i="11"/>
  <c r="AA63" s="1"/>
  <c r="AN97" i="8"/>
  <c r="T97" s="1"/>
  <c r="X53" i="11" s="1"/>
  <c r="Y53" s="1"/>
  <c r="L20" i="8"/>
  <c r="AA169"/>
  <c r="L169" i="47" s="1"/>
  <c r="H169" s="1"/>
  <c r="J159" s="1"/>
  <c r="P97" i="8"/>
  <c r="P20"/>
  <c r="AN20"/>
  <c r="T20" s="1"/>
  <c r="S52" i="11" s="1"/>
  <c r="T52" s="1"/>
  <c r="W124" i="8"/>
  <c r="K124" i="47" s="1"/>
  <c r="G124" s="1"/>
  <c r="X124" i="8"/>
  <c r="K124" i="22" s="1"/>
  <c r="G124" s="1"/>
  <c r="T141" i="8"/>
  <c r="W47"/>
  <c r="K47" i="47" s="1"/>
  <c r="G47" s="1"/>
  <c r="I9" s="1"/>
  <c r="D10" s="1"/>
  <c r="L47" i="8"/>
  <c r="AB48"/>
  <c r="L48" i="22" s="1"/>
  <c r="H48" s="1"/>
  <c r="J47" s="1"/>
  <c r="AM154" i="8"/>
  <c r="S154"/>
  <c r="P47"/>
  <c r="AN47"/>
  <c r="T47" s="1"/>
  <c r="AA47"/>
  <c r="L47" i="47" s="1"/>
  <c r="H47" s="1"/>
  <c r="AC48" i="11"/>
  <c r="Y45" i="10"/>
  <c r="AB35" i="8"/>
  <c r="L35" i="22" s="1"/>
  <c r="H35" s="1"/>
  <c r="J34" s="1"/>
  <c r="AM155" i="8"/>
  <c r="S155"/>
  <c r="W97"/>
  <c r="K97" i="47" s="1"/>
  <c r="G97" s="1"/>
  <c r="L97" i="8"/>
  <c r="AC64" i="11"/>
  <c r="AD64" s="1"/>
  <c r="Y61" i="10"/>
  <c r="Z61" s="1"/>
  <c r="Q81" i="63" l="1"/>
  <c r="K77" s="1"/>
  <c r="K69" s="1"/>
  <c r="J77"/>
  <c r="J69" s="1"/>
  <c r="Q22" s="1"/>
  <c r="Q23" i="61"/>
  <c r="J103" i="63"/>
  <c r="M102" s="1"/>
  <c r="M94" i="62"/>
  <c r="M94" i="61"/>
  <c r="I103" i="63"/>
  <c r="M100" s="1"/>
  <c r="AK133" i="8"/>
  <c r="D137" i="22"/>
  <c r="AE137" i="4" s="1"/>
  <c r="D134" i="22"/>
  <c r="AE134" i="4" s="1"/>
  <c r="L161" i="8"/>
  <c r="M104" i="56"/>
  <c r="N104" s="1"/>
  <c r="L74" s="1"/>
  <c r="Q74" s="1"/>
  <c r="M104" i="54"/>
  <c r="N104" s="1"/>
  <c r="L74" s="1"/>
  <c r="N74" s="1"/>
  <c r="I118" i="55" s="1"/>
  <c r="W161" i="8"/>
  <c r="K161" i="47" s="1"/>
  <c r="G161" s="1"/>
  <c r="AI143" i="8"/>
  <c r="D146" i="47"/>
  <c r="AC63" i="11"/>
  <c r="AD63" s="1"/>
  <c r="D141" i="47"/>
  <c r="AC141" i="4" s="1"/>
  <c r="N141" i="8" s="1"/>
  <c r="S60" i="10"/>
  <c r="T60" s="1"/>
  <c r="I61" i="47"/>
  <c r="D62" s="1"/>
  <c r="I117"/>
  <c r="D133" s="1"/>
  <c r="AA62" i="8"/>
  <c r="L62" i="47" s="1"/>
  <c r="H62" s="1"/>
  <c r="J61" s="1"/>
  <c r="E75" s="1"/>
  <c r="AJ75" i="4" s="1"/>
  <c r="AL75" i="8" s="1"/>
  <c r="AN62"/>
  <c r="T62" s="1"/>
  <c r="X21"/>
  <c r="K21" i="22" s="1"/>
  <c r="G21" s="1"/>
  <c r="I20" s="1"/>
  <c r="D31" s="1"/>
  <c r="AE31" i="4" s="1"/>
  <c r="M21" i="8"/>
  <c r="S38" i="11"/>
  <c r="S36" s="1"/>
  <c r="S37" s="1"/>
  <c r="S35" i="10"/>
  <c r="S36" s="1"/>
  <c r="AI142" i="8"/>
  <c r="K121" i="22"/>
  <c r="G121" s="1"/>
  <c r="D34" i="47"/>
  <c r="AC34" i="4" s="1"/>
  <c r="D20" i="47"/>
  <c r="AC20" i="4" s="1"/>
  <c r="D47" i="47"/>
  <c r="AC47" i="4" s="1"/>
  <c r="E161" i="47"/>
  <c r="E160"/>
  <c r="AJ160" i="4" s="1"/>
  <c r="AL160" i="8" s="1"/>
  <c r="E169" i="47"/>
  <c r="AJ169" i="4" s="1"/>
  <c r="AL169" i="8" s="1"/>
  <c r="AJ161" i="4"/>
  <c r="AL161" i="8" s="1"/>
  <c r="AC10" i="4"/>
  <c r="AC153"/>
  <c r="AH153" i="8" s="1"/>
  <c r="D102" i="22"/>
  <c r="AE102" i="4" s="1"/>
  <c r="D101" i="22"/>
  <c r="AE101" i="4" s="1"/>
  <c r="D98" i="22"/>
  <c r="AE98" i="4" s="1"/>
  <c r="E46" i="22"/>
  <c r="AL46" i="4" s="1"/>
  <c r="E39" i="22"/>
  <c r="AL39" i="4" s="1"/>
  <c r="E43" i="22"/>
  <c r="AL43" i="4" s="1"/>
  <c r="E35" i="22"/>
  <c r="AL35" i="4" s="1"/>
  <c r="AE120"/>
  <c r="E102" i="22"/>
  <c r="AL102" i="4" s="1"/>
  <c r="E101" i="22"/>
  <c r="AL101" i="4" s="1"/>
  <c r="E98" i="22"/>
  <c r="AL98" i="4" s="1"/>
  <c r="D164" i="22"/>
  <c r="AE164" i="4" s="1"/>
  <c r="D163" i="22"/>
  <c r="AE163" i="4" s="1"/>
  <c r="D162" i="22"/>
  <c r="AE162" i="4" s="1"/>
  <c r="E21" i="22"/>
  <c r="AL21" i="4" s="1"/>
  <c r="E31" i="22"/>
  <c r="AL31" i="4" s="1"/>
  <c r="E30" i="22"/>
  <c r="AL30" i="4" s="1"/>
  <c r="E58" i="22"/>
  <c r="AL58" i="4" s="1"/>
  <c r="E48" i="22"/>
  <c r="AL48" i="4" s="1"/>
  <c r="E53" i="22"/>
  <c r="AL53" i="4" s="1"/>
  <c r="I169" i="22"/>
  <c r="I75"/>
  <c r="D86" s="1"/>
  <c r="AK161" i="8"/>
  <c r="AB161" s="1"/>
  <c r="L161" i="22" s="1"/>
  <c r="H161" s="1"/>
  <c r="AK141" i="8"/>
  <c r="AB141" s="1"/>
  <c r="L141" i="22" s="1"/>
  <c r="H141" s="1"/>
  <c r="S111" i="8"/>
  <c r="S67"/>
  <c r="AM67"/>
  <c r="S11"/>
  <c r="AM110"/>
  <c r="AM76"/>
  <c r="S76"/>
  <c r="AM19"/>
  <c r="S19"/>
  <c r="AM79"/>
  <c r="S79"/>
  <c r="AM86"/>
  <c r="S86"/>
  <c r="AM71"/>
  <c r="S71"/>
  <c r="AM90"/>
  <c r="S90"/>
  <c r="S14"/>
  <c r="AM14"/>
  <c r="S63"/>
  <c r="AM63"/>
  <c r="S112"/>
  <c r="AM112"/>
  <c r="L75"/>
  <c r="M76"/>
  <c r="X48"/>
  <c r="K48" i="22" s="1"/>
  <c r="G48" s="1"/>
  <c r="I47" s="1"/>
  <c r="M48" i="8"/>
  <c r="AI112"/>
  <c r="O112"/>
  <c r="AI110"/>
  <c r="O110"/>
  <c r="AI111"/>
  <c r="O111"/>
  <c r="AI155"/>
  <c r="O155"/>
  <c r="M170"/>
  <c r="AI154"/>
  <c r="O154"/>
  <c r="M63"/>
  <c r="X63"/>
  <c r="K63" i="22" s="1"/>
  <c r="G63" s="1"/>
  <c r="I62" s="1"/>
  <c r="AN75" i="8"/>
  <c r="T75" s="1"/>
  <c r="V49" i="10" s="1"/>
  <c r="W49" s="1"/>
  <c r="X11" i="8"/>
  <c r="K11" i="22" s="1"/>
  <c r="G11" s="1"/>
  <c r="I10" s="1"/>
  <c r="M35" i="8"/>
  <c r="X35"/>
  <c r="K35" i="22" s="1"/>
  <c r="G35" s="1"/>
  <c r="I34" s="1"/>
  <c r="P34" i="8"/>
  <c r="AA34"/>
  <c r="L34" i="47" s="1"/>
  <c r="H34" s="1"/>
  <c r="J9" s="1"/>
  <c r="E10" s="1"/>
  <c r="S50" i="10"/>
  <c r="T50" s="1"/>
  <c r="AC146" i="4"/>
  <c r="AH146" i="8" s="1"/>
  <c r="V50" i="10"/>
  <c r="W50" s="1"/>
  <c r="S49"/>
  <c r="T49" s="1"/>
  <c r="AM174" i="8"/>
  <c r="S174"/>
  <c r="Z10" i="11"/>
  <c r="S54"/>
  <c r="T54" s="1"/>
  <c r="S51" i="10"/>
  <c r="T51" s="1"/>
  <c r="S51" i="11"/>
  <c r="T51" s="1"/>
  <c r="S48" i="10"/>
  <c r="T48" s="1"/>
  <c r="O42"/>
  <c r="Z10"/>
  <c r="S178" i="8"/>
  <c r="AM178"/>
  <c r="AK153"/>
  <c r="X62" i="11"/>
  <c r="Y62" s="1"/>
  <c r="V59" i="10"/>
  <c r="W59" s="1"/>
  <c r="AG141" i="8" l="1"/>
  <c r="Q23" i="63"/>
  <c r="AI134" i="8"/>
  <c r="O134"/>
  <c r="L118" i="55"/>
  <c r="L116" s="1"/>
  <c r="E46" i="12" s="1"/>
  <c r="U40" i="9" s="1"/>
  <c r="Y40" s="1"/>
  <c r="X40" s="1"/>
  <c r="I125" i="55"/>
  <c r="AI137" i="8"/>
  <c r="O137"/>
  <c r="T74" i="56"/>
  <c r="H118" i="58"/>
  <c r="O118" s="1"/>
  <c r="O116" s="1"/>
  <c r="O135" s="1"/>
  <c r="O136" s="1"/>
  <c r="L137" s="1"/>
  <c r="L139" s="1"/>
  <c r="AF160" i="8" s="1"/>
  <c r="AB133"/>
  <c r="L133" i="22" s="1"/>
  <c r="H133" s="1"/>
  <c r="D75" i="47"/>
  <c r="AC75" i="4" s="1"/>
  <c r="D124" i="47"/>
  <c r="AC124" i="4" s="1"/>
  <c r="AH124" i="8" s="1"/>
  <c r="E62" i="47"/>
  <c r="AJ62" i="4" s="1"/>
  <c r="AL62" i="8" s="1"/>
  <c r="D97" i="47"/>
  <c r="AC97" i="4" s="1"/>
  <c r="AH97" i="8" s="1"/>
  <c r="E97" i="47"/>
  <c r="AJ97" i="4" s="1"/>
  <c r="AL97" i="8" s="1"/>
  <c r="D21" i="22"/>
  <c r="AE21" i="4" s="1"/>
  <c r="AI21" i="8" s="1"/>
  <c r="D118" i="47"/>
  <c r="AC118" i="4" s="1"/>
  <c r="N118" i="8" s="1"/>
  <c r="D119" i="47"/>
  <c r="AC119" i="4" s="1"/>
  <c r="N119" i="8" s="1"/>
  <c r="N153"/>
  <c r="D30" i="22"/>
  <c r="AE30" i="4" s="1"/>
  <c r="AI30" i="8" s="1"/>
  <c r="AI120"/>
  <c r="O120"/>
  <c r="I119" i="22"/>
  <c r="D121"/>
  <c r="AE121" i="4" s="1"/>
  <c r="E34" i="47"/>
  <c r="AJ34" i="4" s="1"/>
  <c r="AL34" i="8" s="1"/>
  <c r="AJ10" i="4"/>
  <c r="AL10" i="8" s="1"/>
  <c r="E20" i="47"/>
  <c r="AJ20" i="4" s="1"/>
  <c r="AL20" i="8" s="1"/>
  <c r="E47" i="47"/>
  <c r="AJ47" i="4" s="1"/>
  <c r="AL47" i="8" s="1"/>
  <c r="D67" i="22"/>
  <c r="AE67" i="4" s="1"/>
  <c r="D63" i="22"/>
  <c r="AE63" i="4" s="1"/>
  <c r="D71" i="22"/>
  <c r="AE71" i="4" s="1"/>
  <c r="D19" i="22"/>
  <c r="AE19" i="4" s="1"/>
  <c r="D11" i="22"/>
  <c r="AE11" i="4" s="1"/>
  <c r="AI11" i="8" s="1"/>
  <c r="D14" i="22"/>
  <c r="AE14" i="4" s="1"/>
  <c r="D90" i="22"/>
  <c r="AE90" i="4" s="1"/>
  <c r="O90" i="8" s="1"/>
  <c r="D79" i="22"/>
  <c r="AE79" i="4" s="1"/>
  <c r="D76" i="22"/>
  <c r="AE76" i="4" s="1"/>
  <c r="D178" i="22"/>
  <c r="AE178" i="4" s="1"/>
  <c r="D170" i="22"/>
  <c r="AE170" i="4" s="1"/>
  <c r="D174" i="22"/>
  <c r="AE174" i="4" s="1"/>
  <c r="D43" i="22"/>
  <c r="AE43" i="4" s="1"/>
  <c r="D35" i="22"/>
  <c r="AE35" i="4" s="1"/>
  <c r="D46" i="22"/>
  <c r="AE46" i="4" s="1"/>
  <c r="D39" i="22"/>
  <c r="AE39" i="4" s="1"/>
  <c r="D58" i="22"/>
  <c r="AE58" i="4" s="1"/>
  <c r="O58" i="8" s="1"/>
  <c r="D48" i="22"/>
  <c r="AE48" i="4" s="1"/>
  <c r="AI48" i="8" s="1"/>
  <c r="D53" i="22"/>
  <c r="AE53" i="4" s="1"/>
  <c r="O53" i="8" s="1"/>
  <c r="AK10"/>
  <c r="AE86" i="4"/>
  <c r="O86" i="8" s="1"/>
  <c r="AK62"/>
  <c r="AB62" s="1"/>
  <c r="L62" i="22" s="1"/>
  <c r="H62" s="1"/>
  <c r="S101" i="8"/>
  <c r="AM101"/>
  <c r="S53"/>
  <c r="AM53"/>
  <c r="S98"/>
  <c r="AM98"/>
  <c r="AM58"/>
  <c r="S58"/>
  <c r="AM30"/>
  <c r="S30"/>
  <c r="S102"/>
  <c r="AM102"/>
  <c r="S39"/>
  <c r="AM39"/>
  <c r="AM48"/>
  <c r="S48"/>
  <c r="S21"/>
  <c r="AM21"/>
  <c r="AK75"/>
  <c r="AB75" s="1"/>
  <c r="L75" i="22" s="1"/>
  <c r="H75" s="1"/>
  <c r="S35" i="8"/>
  <c r="AM35"/>
  <c r="AM43"/>
  <c r="S43"/>
  <c r="Q62"/>
  <c r="AM31"/>
  <c r="S31"/>
  <c r="S46"/>
  <c r="AM46"/>
  <c r="AC133" i="4"/>
  <c r="AH133" i="8" s="1"/>
  <c r="X52" i="11"/>
  <c r="Y52" s="1"/>
  <c r="AG153" i="8"/>
  <c r="AO153" s="1"/>
  <c r="U153" s="1"/>
  <c r="AO109"/>
  <c r="AO141"/>
  <c r="U141" s="1"/>
  <c r="X141"/>
  <c r="K141" i="22" s="1"/>
  <c r="G141" s="1"/>
  <c r="M141" i="8"/>
  <c r="AH141"/>
  <c r="AN140" s="1"/>
  <c r="Y59" i="11" s="1"/>
  <c r="AI164" i="8"/>
  <c r="O164"/>
  <c r="AI102"/>
  <c r="O102"/>
  <c r="O163"/>
  <c r="AI163"/>
  <c r="O21"/>
  <c r="AI98"/>
  <c r="O98"/>
  <c r="AI101"/>
  <c r="O101"/>
  <c r="AI162"/>
  <c r="O162"/>
  <c r="O31"/>
  <c r="AI31"/>
  <c r="N146"/>
  <c r="AC62" i="4"/>
  <c r="N62" i="8" s="1"/>
  <c r="AK169"/>
  <c r="AH34"/>
  <c r="N34"/>
  <c r="V48" i="10"/>
  <c r="W48" s="1"/>
  <c r="X51" i="11"/>
  <c r="Y51" s="1"/>
  <c r="AH47" i="8"/>
  <c r="N47"/>
  <c r="N20"/>
  <c r="AH20"/>
  <c r="AB153"/>
  <c r="L153" i="22" s="1"/>
  <c r="H153" s="1"/>
  <c r="J140" s="1"/>
  <c r="AH10" i="8"/>
  <c r="N10"/>
  <c r="N75"/>
  <c r="AH75"/>
  <c r="AB10" l="1"/>
  <c r="L10" i="22" s="1"/>
  <c r="H10" s="1"/>
  <c r="Q10" i="8"/>
  <c r="AG133"/>
  <c r="L160"/>
  <c r="W160"/>
  <c r="K160" i="47" s="1"/>
  <c r="G160" s="1"/>
  <c r="I159" s="1"/>
  <c r="AN160" i="8"/>
  <c r="T160" s="1"/>
  <c r="E59" i="12"/>
  <c r="L125" i="55"/>
  <c r="L123" s="1"/>
  <c r="E85" i="13"/>
  <c r="E88" s="1"/>
  <c r="E89" s="1"/>
  <c r="N124" i="8"/>
  <c r="AH118"/>
  <c r="O30"/>
  <c r="AH119"/>
  <c r="AI121"/>
  <c r="AG119" s="1"/>
  <c r="M119" s="1"/>
  <c r="N75" i="62" s="1"/>
  <c r="O121" i="8"/>
  <c r="N133"/>
  <c r="O79"/>
  <c r="AI79"/>
  <c r="E153" i="22"/>
  <c r="AL153" i="4" s="1"/>
  <c r="AM153" i="8" s="1"/>
  <c r="E141" i="22"/>
  <c r="AL141" i="4" s="1"/>
  <c r="AM141" i="8" s="1"/>
  <c r="E146" i="22"/>
  <c r="AL146" i="4" s="1"/>
  <c r="AM146" i="8" s="1"/>
  <c r="AI90"/>
  <c r="O14"/>
  <c r="AI14"/>
  <c r="AK20"/>
  <c r="AI19"/>
  <c r="O19"/>
  <c r="AK34"/>
  <c r="O11"/>
  <c r="AK47"/>
  <c r="AK97"/>
  <c r="AI86"/>
  <c r="AI76"/>
  <c r="O76"/>
  <c r="O48"/>
  <c r="AI53"/>
  <c r="AI58"/>
  <c r="AF48" i="11"/>
  <c r="Z45" i="9"/>
  <c r="X109" i="8"/>
  <c r="K109" i="22" s="1"/>
  <c r="G109" s="1"/>
  <c r="W109" i="8"/>
  <c r="K109" i="47" s="1"/>
  <c r="G109" s="1"/>
  <c r="U109" i="8"/>
  <c r="X153"/>
  <c r="K153" i="22" s="1"/>
  <c r="G153" s="1"/>
  <c r="I140" s="1"/>
  <c r="M153" i="8"/>
  <c r="V59" i="9"/>
  <c r="W59" s="1"/>
  <c r="Z62" i="11"/>
  <c r="AA62" s="1"/>
  <c r="AI43" i="8"/>
  <c r="O43"/>
  <c r="O63"/>
  <c r="AI63"/>
  <c r="O46"/>
  <c r="AI46"/>
  <c r="O35"/>
  <c r="AI35"/>
  <c r="AI71"/>
  <c r="O71"/>
  <c r="O39"/>
  <c r="AI39"/>
  <c r="AI67"/>
  <c r="O67"/>
  <c r="AG20"/>
  <c r="AI170"/>
  <c r="O169"/>
  <c r="O174"/>
  <c r="AI174"/>
  <c r="AI178"/>
  <c r="O178"/>
  <c r="AG161"/>
  <c r="AG97"/>
  <c r="AH62"/>
  <c r="AN61" s="1"/>
  <c r="N97"/>
  <c r="W56" i="10"/>
  <c r="AB169" i="8"/>
  <c r="L169" i="22" s="1"/>
  <c r="H169" s="1"/>
  <c r="J159" s="1"/>
  <c r="T140" i="8"/>
  <c r="V56" i="10" s="1"/>
  <c r="V61" i="9"/>
  <c r="W61" s="1"/>
  <c r="Z64" i="11"/>
  <c r="AA64" s="1"/>
  <c r="AN9" i="8"/>
  <c r="N79" i="63" l="1"/>
  <c r="M74" i="62"/>
  <c r="M67" s="1"/>
  <c r="Q22" s="1"/>
  <c r="Q78"/>
  <c r="N74" s="1"/>
  <c r="N67" s="1"/>
  <c r="D169" i="47"/>
  <c r="AC169" i="4" s="1"/>
  <c r="AH169" i="8" s="1"/>
  <c r="D161" i="47"/>
  <c r="AC161" i="4" s="1"/>
  <c r="D160" i="47"/>
  <c r="AC160" i="4" s="1"/>
  <c r="AC62" i="11"/>
  <c r="AD62" s="1"/>
  <c r="Y59" i="10"/>
  <c r="Z59" s="1"/>
  <c r="L135" i="55"/>
  <c r="L136" s="1"/>
  <c r="L137" s="1"/>
  <c r="L139" s="1"/>
  <c r="AG160" i="8" s="1"/>
  <c r="E47" i="12"/>
  <c r="M133" i="8"/>
  <c r="X133"/>
  <c r="K133" i="22" s="1"/>
  <c r="G133" s="1"/>
  <c r="AO133" i="8"/>
  <c r="U133" s="1"/>
  <c r="D153" i="22"/>
  <c r="AE153" i="4" s="1"/>
  <c r="D146" i="22"/>
  <c r="AE146" i="4" s="1"/>
  <c r="D141" i="22"/>
  <c r="AE141" i="4" s="1"/>
  <c r="E169" i="22"/>
  <c r="E161"/>
  <c r="E160"/>
  <c r="AG10" i="8"/>
  <c r="M10" s="1"/>
  <c r="Q97"/>
  <c r="AB97"/>
  <c r="L97" i="22" s="1"/>
  <c r="H97" s="1"/>
  <c r="J61" s="1"/>
  <c r="Q34" i="8"/>
  <c r="AB34"/>
  <c r="L34" i="22" s="1"/>
  <c r="H34" s="1"/>
  <c r="Q47" i="8"/>
  <c r="AB47"/>
  <c r="L47" i="22" s="1"/>
  <c r="H47" s="1"/>
  <c r="Q20" i="8"/>
  <c r="AB20"/>
  <c r="L20" i="22" s="1"/>
  <c r="H20" s="1"/>
  <c r="AG75" i="8"/>
  <c r="M75" s="1"/>
  <c r="AG47"/>
  <c r="X47" s="1"/>
  <c r="K47" i="22" s="1"/>
  <c r="G47" s="1"/>
  <c r="X119" i="8"/>
  <c r="K119" i="22" s="1"/>
  <c r="G119" s="1"/>
  <c r="AE48" i="11"/>
  <c r="Y45" i="9"/>
  <c r="AG34" i="8"/>
  <c r="AG62"/>
  <c r="AO97"/>
  <c r="U97" s="1"/>
  <c r="M97"/>
  <c r="X97"/>
  <c r="K97" i="22" s="1"/>
  <c r="G97" s="1"/>
  <c r="AG169" i="8"/>
  <c r="AO161"/>
  <c r="U161" s="1"/>
  <c r="M161"/>
  <c r="X161"/>
  <c r="K161" i="22" s="1"/>
  <c r="G161" s="1"/>
  <c r="X20" i="8"/>
  <c r="K20" i="22" s="1"/>
  <c r="G20" s="1"/>
  <c r="AO20" i="8"/>
  <c r="U20" s="1"/>
  <c r="M20"/>
  <c r="X59" i="11"/>
  <c r="Z12" s="1"/>
  <c r="Z12" i="10"/>
  <c r="K53"/>
  <c r="T45"/>
  <c r="T9" i="8"/>
  <c r="T48" i="11"/>
  <c r="K83" s="1"/>
  <c r="AJ9" i="8"/>
  <c r="AA9" s="1"/>
  <c r="L9" i="47" s="1"/>
  <c r="H9" s="1"/>
  <c r="J8" s="1"/>
  <c r="AF9" i="8"/>
  <c r="W9" s="1"/>
  <c r="K9" i="47" s="1"/>
  <c r="G9" s="1"/>
  <c r="W61" i="8"/>
  <c r="K61" i="47" s="1"/>
  <c r="G61" s="1"/>
  <c r="T61" i="8"/>
  <c r="W45" i="10"/>
  <c r="Y48" i="11"/>
  <c r="Q23" i="62" l="1"/>
  <c r="M77" i="63"/>
  <c r="M69" s="1"/>
  <c r="R22" s="1"/>
  <c r="R81"/>
  <c r="N77" s="1"/>
  <c r="N69" s="1"/>
  <c r="E52" i="12"/>
  <c r="W42" i="9" s="1"/>
  <c r="V41"/>
  <c r="N160" i="8"/>
  <c r="AH160"/>
  <c r="U65" i="11"/>
  <c r="V65" s="1"/>
  <c r="S62" i="9"/>
  <c r="T62" s="1"/>
  <c r="AO160" i="8"/>
  <c r="U160" s="1"/>
  <c r="M160"/>
  <c r="X160"/>
  <c r="K160" i="22" s="1"/>
  <c r="G160" s="1"/>
  <c r="AH161" i="8"/>
  <c r="N161"/>
  <c r="J9" i="22"/>
  <c r="E20" s="1"/>
  <c r="I117"/>
  <c r="D119" s="1"/>
  <c r="I8" i="47"/>
  <c r="E109"/>
  <c r="AJ109" i="4" s="1"/>
  <c r="AL109" i="8" s="1"/>
  <c r="E61" i="47"/>
  <c r="AJ61" i="4" s="1"/>
  <c r="AL61" i="8" s="1"/>
  <c r="E9" i="47"/>
  <c r="AJ9" i="4" s="1"/>
  <c r="AL9" i="8" s="1"/>
  <c r="E97" i="22"/>
  <c r="AL97" i="4" s="1"/>
  <c r="AM97" i="8" s="1"/>
  <c r="E75" i="22"/>
  <c r="AL75" i="4" s="1"/>
  <c r="AM75" i="8" s="1"/>
  <c r="E62" i="22"/>
  <c r="AL62" i="4" s="1"/>
  <c r="AM62" i="8" s="1"/>
  <c r="X10"/>
  <c r="K10" i="22" s="1"/>
  <c r="G10" s="1"/>
  <c r="AO10" i="8"/>
  <c r="U10" s="1"/>
  <c r="S48" i="9" s="1"/>
  <c r="T48" s="1"/>
  <c r="AO75" i="8"/>
  <c r="U75" s="1"/>
  <c r="V49" i="9" s="1"/>
  <c r="W49" s="1"/>
  <c r="AL169" i="4"/>
  <c r="AM169" i="8" s="1"/>
  <c r="AL161" i="4"/>
  <c r="AM161" i="8" s="1"/>
  <c r="AL160" i="4"/>
  <c r="AM160" i="8" s="1"/>
  <c r="X75"/>
  <c r="K75" i="22" s="1"/>
  <c r="G75" s="1"/>
  <c r="AO47" i="8"/>
  <c r="U47" s="1"/>
  <c r="U54" i="11" s="1"/>
  <c r="V54" s="1"/>
  <c r="M47" i="8"/>
  <c r="AA10" i="11"/>
  <c r="O42"/>
  <c r="O141" i="8"/>
  <c r="AI141"/>
  <c r="AI153"/>
  <c r="O153"/>
  <c r="Z10" i="9"/>
  <c r="O42"/>
  <c r="O146" i="8"/>
  <c r="AI146"/>
  <c r="AO62"/>
  <c r="U62" s="1"/>
  <c r="V48" i="9" s="1"/>
  <c r="W48" s="1"/>
  <c r="X62" i="8"/>
  <c r="K62" i="22" s="1"/>
  <c r="G62" s="1"/>
  <c r="M62" i="8"/>
  <c r="M34"/>
  <c r="X34"/>
  <c r="K34" i="22" s="1"/>
  <c r="G34" s="1"/>
  <c r="AO34" i="8"/>
  <c r="U34" s="1"/>
  <c r="U52" i="11"/>
  <c r="V52" s="1"/>
  <c r="S49" i="9"/>
  <c r="T49" s="1"/>
  <c r="Y60"/>
  <c r="Z60" s="1"/>
  <c r="AE63" i="11"/>
  <c r="AF63" s="1"/>
  <c r="M169" i="8"/>
  <c r="X169"/>
  <c r="K169" i="22" s="1"/>
  <c r="G169" s="1"/>
  <c r="AO169" i="8"/>
  <c r="U169" s="1"/>
  <c r="V50" i="9"/>
  <c r="W50" s="1"/>
  <c r="Z53" i="11"/>
  <c r="AA53" s="1"/>
  <c r="V45" i="10"/>
  <c r="X48" i="11"/>
  <c r="S45" i="10"/>
  <c r="S48" i="11"/>
  <c r="T80"/>
  <c r="R23" i="63" l="1"/>
  <c r="AN159" i="8"/>
  <c r="AD59" i="11" s="1"/>
  <c r="Y42" i="9"/>
  <c r="X42" s="1"/>
  <c r="T44" i="11"/>
  <c r="V44" s="1"/>
  <c r="U44" s="1"/>
  <c r="Y59" i="9"/>
  <c r="Z59" s="1"/>
  <c r="AE62" i="11"/>
  <c r="AF62" s="1"/>
  <c r="I159" i="22"/>
  <c r="D160" s="1"/>
  <c r="AE160" i="4" s="1"/>
  <c r="Y41" i="9"/>
  <c r="X41" s="1"/>
  <c r="T35" s="1"/>
  <c r="S42" i="11"/>
  <c r="V42" s="1"/>
  <c r="U42" s="1"/>
  <c r="E10" i="22"/>
  <c r="AL10" i="4" s="1"/>
  <c r="AM10" i="8" s="1"/>
  <c r="E34" i="22"/>
  <c r="AL34" i="4" s="1"/>
  <c r="AM34" i="8" s="1"/>
  <c r="E47" i="22"/>
  <c r="AL47" i="4" s="1"/>
  <c r="AM47" i="8" s="1"/>
  <c r="D133" i="22"/>
  <c r="D124"/>
  <c r="D118"/>
  <c r="D109" i="47"/>
  <c r="AC109" i="4" s="1"/>
  <c r="D61" i="47"/>
  <c r="AC61" i="4" s="1"/>
  <c r="D9" i="47"/>
  <c r="AC9" i="4" s="1"/>
  <c r="I61" i="22"/>
  <c r="D75" s="1"/>
  <c r="D97"/>
  <c r="I9"/>
  <c r="Z52" i="11"/>
  <c r="AA52" s="1"/>
  <c r="U51"/>
  <c r="V51" s="1"/>
  <c r="AL20" i="4"/>
  <c r="AM20" i="8" s="1"/>
  <c r="S51" i="9"/>
  <c r="T51" s="1"/>
  <c r="Z51" i="11"/>
  <c r="AA51" s="1"/>
  <c r="AO140" i="8"/>
  <c r="U53" i="11"/>
  <c r="V53" s="1"/>
  <c r="S50" i="9"/>
  <c r="T50" s="1"/>
  <c r="AE64" i="11"/>
  <c r="AF64" s="1"/>
  <c r="Y61" i="9"/>
  <c r="Z61" s="1"/>
  <c r="Z14" i="11"/>
  <c r="Z9" i="10"/>
  <c r="K42"/>
  <c r="U82" i="11"/>
  <c r="T82"/>
  <c r="Z14" i="10"/>
  <c r="G42"/>
  <c r="Z9" i="11"/>
  <c r="T159" i="8" l="1"/>
  <c r="AC59" i="11" s="1"/>
  <c r="Z11" s="1"/>
  <c r="D161" i="22"/>
  <c r="AE161" i="4" s="1"/>
  <c r="O161" i="8" s="1"/>
  <c r="D169" i="22"/>
  <c r="AE169" i="4" s="1"/>
  <c r="AI169" i="8" s="1"/>
  <c r="Z56" i="10"/>
  <c r="T38" i="11"/>
  <c r="T36" s="1"/>
  <c r="T37" s="1"/>
  <c r="S35" i="9"/>
  <c r="S36" s="1"/>
  <c r="Y56" i="10"/>
  <c r="D62" i="22"/>
  <c r="AE62" i="4" s="1"/>
  <c r="AI62" i="8" s="1"/>
  <c r="D20" i="22"/>
  <c r="AE20" i="4" s="1"/>
  <c r="AI20" i="8" s="1"/>
  <c r="D47" i="22"/>
  <c r="AE47" i="4" s="1"/>
  <c r="D34" i="22"/>
  <c r="AE34" i="4" s="1"/>
  <c r="D10" i="22"/>
  <c r="AE10" i="4" s="1"/>
  <c r="AE97"/>
  <c r="AI97" i="8" s="1"/>
  <c r="AE75" i="4"/>
  <c r="AI75" i="8" s="1"/>
  <c r="W56" i="9"/>
  <c r="X140" i="8"/>
  <c r="K140" i="22" s="1"/>
  <c r="G140" s="1"/>
  <c r="W140" i="8"/>
  <c r="K140" i="47" s="1"/>
  <c r="G140" s="1"/>
  <c r="U140" i="8"/>
  <c r="AA59" i="11"/>
  <c r="O97" i="8"/>
  <c r="AI160"/>
  <c r="O160"/>
  <c r="AH9"/>
  <c r="N9"/>
  <c r="N61"/>
  <c r="AH61"/>
  <c r="N109"/>
  <c r="AH109"/>
  <c r="AI161" l="1"/>
  <c r="O53" i="10"/>
  <c r="Z11"/>
  <c r="O34" i="8"/>
  <c r="AI34"/>
  <c r="AI47"/>
  <c r="O47"/>
  <c r="AI10"/>
  <c r="O10"/>
  <c r="O20"/>
  <c r="O62"/>
  <c r="O75"/>
  <c r="AO61"/>
  <c r="W45" i="9" s="1"/>
  <c r="V56"/>
  <c r="Z59" i="11"/>
  <c r="AO159" i="8"/>
  <c r="AF59" i="11" s="1"/>
  <c r="AN8" i="8"/>
  <c r="AO9" l="1"/>
  <c r="AK9" s="1"/>
  <c r="AB9" s="1"/>
  <c r="L9" i="22" s="1"/>
  <c r="H9" s="1"/>
  <c r="J8" s="1"/>
  <c r="U61" i="8"/>
  <c r="V45" i="9" s="1"/>
  <c r="AA48" i="11"/>
  <c r="X61" i="8"/>
  <c r="K61" i="22" s="1"/>
  <c r="G61" s="1"/>
  <c r="Z56" i="9"/>
  <c r="U159" i="8"/>
  <c r="AE59" i="11" s="1"/>
  <c r="W159" i="8"/>
  <c r="K159" i="47" s="1"/>
  <c r="G159" s="1"/>
  <c r="X159" i="8"/>
  <c r="K159" i="22" s="1"/>
  <c r="G159" s="1"/>
  <c r="AA12" i="11"/>
  <c r="K53"/>
  <c r="Z12" i="9"/>
  <c r="K53"/>
  <c r="S8" i="11"/>
  <c r="S8" i="10"/>
  <c r="S10" s="1"/>
  <c r="T8" i="8"/>
  <c r="N40" i="10" s="1"/>
  <c r="T45" i="9" l="1"/>
  <c r="V48" i="11"/>
  <c r="K80" s="1"/>
  <c r="X80" s="1"/>
  <c r="U9" i="8"/>
  <c r="S45" i="9" s="1"/>
  <c r="AG9" i="8"/>
  <c r="X9" s="1"/>
  <c r="K9" i="22" s="1"/>
  <c r="G9" s="1"/>
  <c r="I8" s="1"/>
  <c r="E109"/>
  <c r="AL109" i="4" s="1"/>
  <c r="AM109" i="8" s="1"/>
  <c r="E61" i="22"/>
  <c r="AL61" i="4" s="1"/>
  <c r="AM61" i="8" s="1"/>
  <c r="E9" i="22"/>
  <c r="AL9" i="4" s="1"/>
  <c r="AM9" i="8" s="1"/>
  <c r="Z48" i="11"/>
  <c r="K42" s="1"/>
  <c r="Y56" i="9"/>
  <c r="Z11" s="1"/>
  <c r="K42"/>
  <c r="Z9"/>
  <c r="O53" i="11"/>
  <c r="AA11"/>
  <c r="T24" i="10"/>
  <c r="S10" i="11"/>
  <c r="U48" l="1"/>
  <c r="AA14" s="1"/>
  <c r="D9" i="22"/>
  <c r="AE9" i="4" s="1"/>
  <c r="AI9" i="8" s="1"/>
  <c r="D61" i="22"/>
  <c r="AE61" i="4" s="1"/>
  <c r="AI61" i="8" s="1"/>
  <c r="D109" i="22"/>
  <c r="AE109" i="4" s="1"/>
  <c r="AI109" i="8" s="1"/>
  <c r="AA9" i="11"/>
  <c r="O53" i="9"/>
  <c r="Y82" i="11"/>
  <c r="X82"/>
  <c r="Z14" i="9"/>
  <c r="G42"/>
  <c r="U26" i="10"/>
  <c r="T26"/>
  <c r="T24" i="11"/>
  <c r="G42" l="1"/>
  <c r="O61" i="8"/>
  <c r="O109"/>
  <c r="O9"/>
  <c r="AO8"/>
  <c r="U26" i="11"/>
  <c r="T26"/>
  <c r="T8" l="1"/>
  <c r="S8" i="9"/>
  <c r="S10" s="1"/>
  <c r="U8" i="8"/>
  <c r="N40" i="9" s="1"/>
  <c r="T24" l="1"/>
  <c r="T10" i="11"/>
  <c r="N40"/>
  <c r="T26" i="9" l="1"/>
  <c r="U26"/>
  <c r="X24" i="11"/>
  <c r="X26" l="1"/>
  <c r="Y26"/>
  <c r="AE126" i="4" l="1"/>
  <c r="AE132" l="1"/>
  <c r="O132" i="8" s="1"/>
  <c r="AE125" i="4"/>
  <c r="AI126" i="8"/>
  <c r="O126"/>
  <c r="O125" l="1"/>
  <c r="AI125"/>
  <c r="AI132"/>
  <c r="AE124" i="4" l="1"/>
  <c r="AE118"/>
  <c r="O118" i="8" s="1"/>
  <c r="AE119" i="4"/>
  <c r="O119" i="8" s="1"/>
  <c r="AE133" i="4"/>
  <c r="AI133" i="8" s="1"/>
  <c r="AI119" l="1"/>
  <c r="O133"/>
  <c r="AI118"/>
  <c r="O124"/>
  <c r="AI124"/>
  <c r="E123" i="22" l="1"/>
  <c r="AL123" i="4" s="1"/>
  <c r="E122" i="22"/>
  <c r="AL122" i="4" s="1"/>
  <c r="S122" i="8" l="1"/>
  <c r="AM122"/>
  <c r="AM123"/>
  <c r="S123"/>
  <c r="AB121" l="1"/>
  <c r="L121" i="22" s="1"/>
  <c r="H121" s="1"/>
  <c r="J119" s="1"/>
  <c r="AL132" i="4" l="1"/>
  <c r="S132" i="8" s="1"/>
  <c r="AM132"/>
  <c r="AK126" s="1"/>
  <c r="AB126" s="1"/>
  <c r="L126" i="22" s="1"/>
  <c r="H126" s="1"/>
  <c r="J124" s="1"/>
  <c r="E121" l="1"/>
  <c r="AL121" i="4" s="1"/>
  <c r="E125" i="22"/>
  <c r="AL125" i="4" s="1"/>
  <c r="E126" i="22"/>
  <c r="AL126" i="4" s="1"/>
  <c r="E120" i="22"/>
  <c r="AL120" i="4" s="1"/>
  <c r="S120" i="8" l="1"/>
  <c r="AM120"/>
  <c r="S126"/>
  <c r="AM126"/>
  <c r="S125"/>
  <c r="AM125"/>
  <c r="AM121"/>
  <c r="S121"/>
  <c r="AK124" l="1"/>
  <c r="AK119"/>
  <c r="AB119" l="1"/>
  <c r="L119" i="22" s="1"/>
  <c r="H119" s="1"/>
  <c r="AO119" i="8"/>
  <c r="U119" s="1"/>
  <c r="AO124"/>
  <c r="U124" s="1"/>
  <c r="AB124"/>
  <c r="L124" i="22" s="1"/>
  <c r="H124" s="1"/>
  <c r="S61" i="9" l="1"/>
  <c r="T61" s="1"/>
  <c r="U64" i="11"/>
  <c r="V64" s="1"/>
  <c r="AO117" i="8"/>
  <c r="J117" i="22"/>
  <c r="E119" l="1"/>
  <c r="AL119" i="4" s="1"/>
  <c r="S119" i="8" s="1"/>
  <c r="E118" i="22"/>
  <c r="AL118" i="4" s="1"/>
  <c r="E124" i="22"/>
  <c r="AL124" i="4" s="1"/>
  <c r="E133" i="22"/>
  <c r="AL133" i="4" s="1"/>
  <c r="U117" i="8"/>
  <c r="W117"/>
  <c r="K117" i="47" s="1"/>
  <c r="G117" s="1"/>
  <c r="I116" s="1"/>
  <c r="X117" i="8"/>
  <c r="K117" i="22" s="1"/>
  <c r="G117" s="1"/>
  <c r="I116" s="1"/>
  <c r="V59" i="11"/>
  <c r="K81" s="1"/>
  <c r="T56" i="9"/>
  <c r="S60"/>
  <c r="T60" s="1"/>
  <c r="U63" i="11"/>
  <c r="V63" s="1"/>
  <c r="AM133" i="8" l="1"/>
  <c r="S133"/>
  <c r="S124"/>
  <c r="AM124"/>
  <c r="D117" i="47"/>
  <c r="AC117" i="4" s="1"/>
  <c r="D140" i="47"/>
  <c r="AC140" i="4" s="1"/>
  <c r="D159" i="47"/>
  <c r="AC159" i="4" s="1"/>
  <c r="AM118" i="8"/>
  <c r="S118"/>
  <c r="M80" i="11"/>
  <c r="X79"/>
  <c r="D117" i="22"/>
  <c r="AE117" i="4" s="1"/>
  <c r="D159" i="22"/>
  <c r="AE159" i="4" s="1"/>
  <c r="D140" i="22"/>
  <c r="AE140" i="4" s="1"/>
  <c r="S56" i="9"/>
  <c r="U59" i="11"/>
  <c r="AM119" i="8"/>
  <c r="AA13" i="11" l="1"/>
  <c r="O117" i="8"/>
  <c r="AI117"/>
  <c r="G53" i="9"/>
  <c r="Z13"/>
  <c r="W81" i="11"/>
  <c r="X81"/>
  <c r="N159" i="8"/>
  <c r="AH159"/>
  <c r="O140"/>
  <c r="AI140"/>
  <c r="AH140"/>
  <c r="N140"/>
  <c r="O159"/>
  <c r="AI159"/>
  <c r="AH117"/>
  <c r="N117"/>
  <c r="AO116" l="1"/>
  <c r="X116" l="1"/>
  <c r="K116" i="22" s="1"/>
  <c r="G116" s="1"/>
  <c r="T9" i="11"/>
  <c r="T11" s="1"/>
  <c r="U116" i="8"/>
  <c r="N51" i="9" s="1"/>
  <c r="S9"/>
  <c r="S11" s="1"/>
  <c r="W116" i="8"/>
  <c r="K116" i="47" s="1"/>
  <c r="G116" s="1"/>
  <c r="S12" i="9" l="1"/>
  <c r="T23"/>
  <c r="T12" i="11"/>
  <c r="X23"/>
  <c r="T25" i="9" l="1"/>
  <c r="S25"/>
  <c r="X25" i="11"/>
  <c r="W25"/>
  <c r="T13"/>
  <c r="T15" s="1"/>
  <c r="T16" s="1"/>
  <c r="S13" i="9"/>
  <c r="C24" l="1"/>
  <c r="J10" i="63"/>
  <c r="S15" i="9"/>
  <c r="D25" i="11"/>
  <c r="R132" i="8"/>
  <c r="AJ132" i="4"/>
  <c r="AL132" i="8"/>
  <c r="AJ126" s="1"/>
  <c r="AA126" s="1"/>
  <c r="L126" i="47" s="1"/>
  <c r="H126" s="1"/>
  <c r="J124" s="1"/>
  <c r="S16" i="9" l="1"/>
  <c r="K10" i="63"/>
  <c r="L10" s="1"/>
  <c r="K9" i="62"/>
  <c r="L9" s="1"/>
  <c r="E126" i="47"/>
  <c r="AJ126" i="4" s="1"/>
  <c r="E125" i="47"/>
  <c r="AJ125" i="4" s="1"/>
  <c r="AL125" i="8" l="1"/>
  <c r="R125"/>
  <c r="R126"/>
  <c r="AL126"/>
  <c r="AJ124" l="1"/>
  <c r="AN124" s="1"/>
  <c r="AA124" l="1"/>
  <c r="L124" i="47" s="1"/>
  <c r="H124" s="1"/>
  <c r="J117" s="1"/>
  <c r="E124" s="1"/>
  <c r="AJ124" i="4" s="1"/>
  <c r="T124" i="8"/>
  <c r="AN117"/>
  <c r="E133" i="47" l="1"/>
  <c r="AJ133" i="4" s="1"/>
  <c r="AL133" i="8" s="1"/>
  <c r="E118" i="47"/>
  <c r="AJ118" i="4" s="1"/>
  <c r="AL118" i="8" s="1"/>
  <c r="E119" i="47"/>
  <c r="AJ119" i="4" s="1"/>
  <c r="R119" i="8" s="1"/>
  <c r="R118"/>
  <c r="AL119"/>
  <c r="AL124"/>
  <c r="R124"/>
  <c r="T56" i="10"/>
  <c r="AN116" i="8"/>
  <c r="T59" i="11"/>
  <c r="K84" s="1"/>
  <c r="T117" i="8"/>
  <c r="S61" i="10"/>
  <c r="T61" s="1"/>
  <c r="S64" i="11"/>
  <c r="T64" s="1"/>
  <c r="R133" i="8" l="1"/>
  <c r="S59" i="11"/>
  <c r="S56" i="10"/>
  <c r="M83" i="11"/>
  <c r="M78" s="1"/>
  <c r="T79"/>
  <c r="T116" i="8"/>
  <c r="N51" i="10" s="1"/>
  <c r="S9" i="11"/>
  <c r="S9" i="10"/>
  <c r="S11" s="1"/>
  <c r="S81" i="11" l="1"/>
  <c r="T81"/>
  <c r="S12" i="10"/>
  <c r="T23"/>
  <c r="N51" i="11"/>
  <c r="S11"/>
  <c r="Z13" i="10"/>
  <c r="G53"/>
  <c r="G53" i="11"/>
  <c r="Z13"/>
  <c r="T25" i="10" l="1"/>
  <c r="S25"/>
  <c r="S13"/>
  <c r="J9" i="61" s="1"/>
  <c r="S12" i="11"/>
  <c r="T23"/>
  <c r="C24" i="10" l="1"/>
  <c r="J9" i="63"/>
  <c r="S15" i="10"/>
  <c r="S25" i="11"/>
  <c r="T25"/>
  <c r="S13"/>
  <c r="S15" s="1"/>
  <c r="S16" s="1"/>
  <c r="S16" i="10" l="1"/>
  <c r="K9" i="63"/>
  <c r="L9" s="1"/>
  <c r="K9" i="61"/>
  <c r="L9" s="1"/>
  <c r="F38" i="11"/>
  <c r="D24"/>
  <c r="E38"/>
</calcChain>
</file>

<file path=xl/comments1.xml><?xml version="1.0" encoding="utf-8"?>
<comments xmlns="http://schemas.openxmlformats.org/spreadsheetml/2006/main">
  <authors>
    <author xml:space="preserve">日建設計 </author>
    <author>Junko ENDO</author>
  </authors>
  <commentList>
    <comment ref="C15" authorId="0">
      <text>
        <r>
          <rPr>
            <sz val="9"/>
            <color indexed="81"/>
            <rFont val="ＭＳ Ｐゴシック"/>
            <family val="3"/>
            <charset val="128"/>
          </rPr>
          <t>2003/6等と入力して下さい。
2003年6月と表示されます。</t>
        </r>
      </text>
    </comment>
    <comment ref="H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2003/6等と入力して下さい。
2003年6月と表示されます。</t>
        </r>
      </text>
    </comment>
    <comment ref="H39" authorId="0">
      <text>
        <r>
          <rPr>
            <sz val="9"/>
            <color indexed="81"/>
            <rFont val="ＭＳ Ｐゴシック"/>
            <family val="3"/>
            <charset val="128"/>
          </rPr>
          <t>2003/6等と入力して下さい。
2003年6月と表示されます。</t>
        </r>
      </text>
    </comment>
    <comment ref="B41" authorId="1">
      <text>
        <r>
          <rPr>
            <sz val="9"/>
            <color indexed="81"/>
            <rFont val="ＭＳ Ｐゴシック"/>
            <family val="3"/>
            <charset val="128"/>
          </rPr>
          <t>第３者による評価結果の確認
などを行っている場合は記述
する。</t>
        </r>
      </text>
    </comment>
    <comment ref="C41" authorId="0">
      <text>
        <r>
          <rPr>
            <sz val="9"/>
            <color indexed="81"/>
            <rFont val="ＭＳ Ｐゴシック"/>
            <family val="3"/>
            <charset val="128"/>
          </rPr>
          <t>2003/6等と入力して下さい。
2003年6月と表示されます。</t>
        </r>
      </text>
    </comment>
    <comment ref="H41" authorId="0">
      <text>
        <r>
          <rPr>
            <sz val="9"/>
            <color indexed="81"/>
            <rFont val="ＭＳ Ｐゴシック"/>
            <family val="3"/>
            <charset val="128"/>
          </rPr>
          <t>2003/6等と入力して下さい。
2003年6月と表示されます。</t>
        </r>
      </text>
    </comment>
    <comment ref="E68" authorId="0">
      <text>
        <r>
          <rPr>
            <sz val="9"/>
            <color indexed="81"/>
            <rFont val="ＭＳ Ｐゴシック"/>
            <family val="3"/>
            <charset val="128"/>
          </rPr>
          <t>小数値(「0.9」など)で
比率を入力して下さい。</t>
        </r>
      </text>
    </comment>
    <comment ref="J68" authorId="0">
      <text>
        <r>
          <rPr>
            <sz val="9"/>
            <color indexed="81"/>
            <rFont val="ＭＳ Ｐゴシック"/>
            <family val="3"/>
            <charset val="128"/>
          </rPr>
          <t>小数値(「0.9」など)で
比率を入力して下さい。</t>
        </r>
      </text>
    </comment>
    <comment ref="E69" authorId="0">
      <text>
        <r>
          <rPr>
            <sz val="9"/>
            <color indexed="81"/>
            <rFont val="ＭＳ Ｐゴシック"/>
            <family val="3"/>
            <charset val="128"/>
          </rPr>
          <t>小数値(「0.9」など)で
比率を入力して下さい。</t>
        </r>
      </text>
    </comment>
    <comment ref="J69" author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共通</author>
    <author>Junko ENDO</author>
    <author xml:space="preserve"> </author>
  </authors>
  <commentList>
    <comment ref="M6" authorId="0">
      <text>
        <r>
          <rPr>
            <sz val="11"/>
            <color indexed="81"/>
            <rFont val="ＭＳ Ｐゴシック"/>
            <family val="3"/>
            <charset val="128"/>
          </rPr>
          <t>改修前の建物の評価を入力
（改修工事の対象部分、改修しない部分とも）。
改修前後の比較をする場合のみ記入。</t>
        </r>
      </text>
    </comment>
    <comment ref="T6" authorId="0">
      <text>
        <r>
          <rPr>
            <sz val="11"/>
            <color indexed="81"/>
            <rFont val="ＭＳ Ｐゴシック"/>
            <family val="3"/>
            <charset val="128"/>
          </rPr>
          <t>改修前の建物の評価を入力
（改修工事の対象部分、改修しない部分とも）。
改修前後の比較をする場合のみ記入。</t>
        </r>
      </text>
    </comment>
    <comment ref="P32" authorId="1">
      <text>
        <r>
          <rPr>
            <b/>
            <sz val="10"/>
            <color indexed="81"/>
            <rFont val="ＭＳ Ｐゴシック"/>
            <family val="3"/>
            <charset val="128"/>
          </rPr>
          <t>NCで評価するときは、
2.3.1 と 2.3.2 に
同じスコアを入力</t>
        </r>
      </text>
    </comment>
    <comment ref="W32" authorId="2">
      <text>
        <r>
          <rPr>
            <b/>
            <sz val="9"/>
            <color indexed="81"/>
            <rFont val="ＭＳ Ｐゴシック"/>
            <family val="3"/>
            <charset val="128"/>
          </rPr>
          <t>NCで評価するときは、
2.3.1 と 2.3.2 に
同じスコアを入力</t>
        </r>
      </text>
    </comment>
  </commentList>
</comments>
</file>

<file path=xl/comments3.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 ref="L101" authorId="0">
      <text>
        <r>
          <rPr>
            <b/>
            <sz val="9"/>
            <color indexed="81"/>
            <rFont val="ＭＳ Ｐゴシック"/>
            <family val="3"/>
            <charset val="128"/>
          </rPr>
          <t>年間の直接利用量（㎡あたり）を入力します</t>
        </r>
      </text>
    </comment>
  </commentList>
</comments>
</file>

<file path=xl/comments4.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 ref="L101" authorId="0">
      <text>
        <r>
          <rPr>
            <b/>
            <sz val="9"/>
            <color indexed="81"/>
            <rFont val="ＭＳ Ｐゴシック"/>
            <family val="3"/>
            <charset val="128"/>
          </rPr>
          <t>年間の直接利用量（㎡あたり）を入力します</t>
        </r>
      </text>
    </comment>
  </commentList>
</comments>
</file>

<file path=xl/comments5.xml><?xml version="1.0" encoding="utf-8"?>
<comments xmlns="http://schemas.openxmlformats.org/spreadsheetml/2006/main">
  <authors>
    <author>-</author>
  </authors>
  <commentList>
    <comment ref="H57" authorId="0">
      <text>
        <r>
          <rPr>
            <b/>
            <sz val="9"/>
            <color indexed="81"/>
            <rFont val="ＭＳ Ｐゴシック"/>
            <family val="3"/>
            <charset val="128"/>
          </rPr>
          <t>合計が１になるよう、住戸の大きさ各区分の面積比率を入力します。</t>
        </r>
      </text>
    </comment>
    <comment ref="L101" authorId="0">
      <text>
        <r>
          <rPr>
            <b/>
            <sz val="9"/>
            <color indexed="81"/>
            <rFont val="ＭＳ Ｐゴシック"/>
            <family val="3"/>
            <charset val="128"/>
          </rPr>
          <t>年間の直接利用量（㎡あたり）を入力します</t>
        </r>
      </text>
    </comment>
  </commentList>
</comments>
</file>

<file path=xl/comments6.xml><?xml version="1.0" encoding="utf-8"?>
<comments xmlns="http://schemas.openxmlformats.org/spreadsheetml/2006/main">
  <authors>
    <author>-</author>
    <author>Junko ENDO</author>
    <author>柳井　崇</author>
  </authors>
  <commentList>
    <comment ref="J8" authorId="0">
      <text>
        <r>
          <rPr>
            <b/>
            <sz val="9"/>
            <color indexed="81"/>
            <rFont val="ＭＳ Ｐゴシック"/>
            <family val="3"/>
            <charset val="128"/>
          </rPr>
          <t>以下のいずれかで算定
ア）330MJ/年×工場部分の床面積
イ）評価者による計算
ウ）実測値</t>
        </r>
      </text>
    </comment>
    <comment ref="I14" authorId="0">
      <text>
        <r>
          <rPr>
            <b/>
            <sz val="9"/>
            <color indexed="81"/>
            <rFont val="ＭＳ Ｐゴシック"/>
            <family val="3"/>
            <charset val="128"/>
          </rPr>
          <t>80％以上の場合、実績評価は対象外とする。</t>
        </r>
      </text>
    </comment>
    <comment ref="I15" authorId="0">
      <text>
        <r>
          <rPr>
            <b/>
            <sz val="9"/>
            <color indexed="81"/>
            <rFont val="ＭＳ Ｐゴシック"/>
            <family val="3"/>
            <charset val="128"/>
          </rPr>
          <t>各々20%以下であれば除外してよい。</t>
        </r>
      </text>
    </comment>
    <comment ref="H24" authorId="1">
      <text>
        <r>
          <rPr>
            <b/>
            <sz val="10"/>
            <color indexed="81"/>
            <rFont val="ＭＳ Ｐゴシック"/>
            <family val="3"/>
            <charset val="128"/>
          </rPr>
          <t>小数値（「0.9」など）で</t>
        </r>
        <r>
          <rPr>
            <b/>
            <sz val="10"/>
            <color indexed="10"/>
            <rFont val="ＭＳ Ｐゴシック"/>
            <family val="3"/>
            <charset val="128"/>
          </rPr>
          <t>比率を入力</t>
        </r>
        <r>
          <rPr>
            <b/>
            <sz val="10"/>
            <color indexed="81"/>
            <rFont val="ＭＳ Ｐゴシック"/>
            <family val="3"/>
            <charset val="128"/>
          </rPr>
          <t>します。メインシートの用途別面積を参考に、使用実態に合わせて入力してください。
（省エネ法の区分とはリンクしない）</t>
        </r>
      </text>
    </comment>
    <comment ref="H44" authorId="0">
      <text>
        <r>
          <rPr>
            <b/>
            <sz val="9"/>
            <color indexed="81"/>
            <rFont val="ＭＳ Ｐゴシック"/>
            <family val="3"/>
            <charset val="128"/>
          </rPr>
          <t>合計が1.0になるように比率を入力</t>
        </r>
      </text>
    </comment>
    <comment ref="I48" authorId="2">
      <text>
        <r>
          <rPr>
            <b/>
            <sz val="9"/>
            <color indexed="81"/>
            <rFont val="ＭＳ Ｐゴシック"/>
            <family val="3"/>
            <charset val="128"/>
          </rPr>
          <t>工場、集合住宅は除く</t>
        </r>
      </text>
    </comment>
  </commentList>
</comments>
</file>

<file path=xl/comments7.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comments8.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<sst xmlns="http://schemas.openxmlformats.org/spreadsheetml/2006/main" count="8530" uniqueCount="2073">
  <si>
    <t>非再生性材料の削減</t>
    <rPh sb="0" eb="1">
      <t>ヒ</t>
    </rPh>
    <rPh sb="1" eb="3">
      <t>サイセイ</t>
    </rPh>
    <rPh sb="3" eb="4">
      <t>セイ</t>
    </rPh>
    <rPh sb="4" eb="6">
      <t>ザイリョウ</t>
    </rPh>
    <rPh sb="7" eb="9">
      <t>サクゲン</t>
    </rPh>
    <phoneticPr fontId="20"/>
  </si>
  <si>
    <t>地域環境への配慮</t>
    <rPh sb="0" eb="2">
      <t>チイキ</t>
    </rPh>
    <rPh sb="2" eb="4">
      <t>カンキョウ</t>
    </rPh>
    <rPh sb="6" eb="8">
      <t>ハイリョ</t>
    </rPh>
    <phoneticPr fontId="20"/>
  </si>
  <si>
    <t>設備の効率的利用</t>
    <rPh sb="0" eb="2">
      <t>セツビ</t>
    </rPh>
    <rPh sb="3" eb="5">
      <t>コウリツ</t>
    </rPh>
    <rPh sb="5" eb="6">
      <t>テキ</t>
    </rPh>
    <rPh sb="6" eb="8">
      <t>リヨウ</t>
    </rPh>
    <phoneticPr fontId="20"/>
  </si>
  <si>
    <t>汚染物質回避</t>
    <rPh sb="0" eb="2">
      <t>オセン</t>
    </rPh>
    <rPh sb="2" eb="4">
      <t>ブッシツ</t>
    </rPh>
    <rPh sb="4" eb="6">
      <t>カイヒ</t>
    </rPh>
    <phoneticPr fontId="20"/>
  </si>
  <si>
    <t>周辺環境への配慮</t>
    <rPh sb="0" eb="2">
      <t>シュウヘン</t>
    </rPh>
    <rPh sb="2" eb="4">
      <t>カンキョウ</t>
    </rPh>
    <rPh sb="6" eb="8">
      <t>ハイリョ</t>
    </rPh>
    <phoneticPr fontId="20"/>
  </si>
  <si>
    <t>運用ﾏﾈｼﾞﾒﾝﾄ</t>
    <rPh sb="0" eb="2">
      <t>ウンヨウ</t>
    </rPh>
    <phoneticPr fontId="20"/>
  </si>
  <si>
    <r>
      <t>3</t>
    </r>
    <r>
      <rPr>
        <b/>
        <sz val="12"/>
        <color indexed="9"/>
        <rFont val="ＭＳ Ｐゴシック"/>
        <family val="3"/>
        <charset val="128"/>
      </rPr>
      <t>　設計上の配慮事項</t>
    </r>
    <rPh sb="2" eb="4">
      <t>セッケイ</t>
    </rPh>
    <rPh sb="4" eb="5">
      <t>ジョウ</t>
    </rPh>
    <rPh sb="6" eb="8">
      <t>ハイリョ</t>
    </rPh>
    <rPh sb="8" eb="10">
      <t>ジコウ</t>
    </rPh>
    <phoneticPr fontId="20"/>
  </si>
  <si>
    <t>総合</t>
    <rPh sb="0" eb="2">
      <t>ｿｳｺﾞｳ</t>
    </rPh>
    <phoneticPr fontId="30" type="noConversion"/>
  </si>
  <si>
    <t>その他</t>
    <rPh sb="2" eb="3">
      <t>ﾀ</t>
    </rPh>
    <phoneticPr fontId="30"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</si>
  <si>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0" type="noConversion"/>
  </si>
  <si>
    <t>注3</t>
    <rPh sb="0" eb="1">
      <t>チュウ</t>
    </rPh>
    <phoneticPr fontId="20"/>
  </si>
  <si>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0" type="noConversion"/>
  </si>
  <si>
    <t>年間延床面積あたり指標</t>
    <rPh sb="0" eb="2">
      <t>ネンカン</t>
    </rPh>
    <rPh sb="2" eb="3">
      <t>ノ</t>
    </rPh>
    <rPh sb="3" eb="6">
      <t>ユカメンセキ</t>
    </rPh>
    <rPh sb="9" eb="11">
      <t>シヒョウ</t>
    </rPh>
    <phoneticPr fontId="20"/>
  </si>
  <si>
    <t>人・時間あたり指標</t>
    <rPh sb="0" eb="1">
      <t>ニン</t>
    </rPh>
    <rPh sb="2" eb="4">
      <t>ジカン</t>
    </rPh>
    <rPh sb="7" eb="9">
      <t>シヒョウ</t>
    </rPh>
    <phoneticPr fontId="20"/>
  </si>
  <si>
    <t>年間延床面積あたり削減量</t>
    <rPh sb="0" eb="2">
      <t>ネンカン</t>
    </rPh>
    <rPh sb="2" eb="3">
      <t>ノ</t>
    </rPh>
    <rPh sb="3" eb="6">
      <t>ユカメンセキ</t>
    </rPh>
    <rPh sb="9" eb="11">
      <t>サクゲン</t>
    </rPh>
    <rPh sb="11" eb="12">
      <t>リョウ</t>
    </rPh>
    <phoneticPr fontId="20"/>
  </si>
  <si>
    <t>削減率　％</t>
    <rPh sb="0" eb="2">
      <t>サクゲン</t>
    </rPh>
    <rPh sb="2" eb="3">
      <t>リツ</t>
    </rPh>
    <phoneticPr fontId="20"/>
  </si>
  <si>
    <t>%</t>
    <phoneticPr fontId="20"/>
  </si>
  <si>
    <t>運用エネルギー消費量</t>
    <rPh sb="0" eb="2">
      <t>ｳﾝﾖｳ</t>
    </rPh>
    <rPh sb="7" eb="10">
      <t>ｼｮｳﾋﾘｮｳ</t>
    </rPh>
    <phoneticPr fontId="30" type="noConversion"/>
  </si>
  <si>
    <r>
      <t>ＭＪ</t>
    </r>
    <r>
      <rPr>
        <sz val="10"/>
        <rFont val="Arial"/>
        <family val="2"/>
      </rPr>
      <t>/</t>
    </r>
    <r>
      <rPr>
        <sz val="10"/>
        <rFont val="ＭＳ Ｐゴシック"/>
        <family val="3"/>
        <charset val="128"/>
      </rPr>
      <t>年㎡</t>
    </r>
    <rPh sb="3" eb="4">
      <t>ネン</t>
    </rPh>
    <phoneticPr fontId="20"/>
  </si>
  <si>
    <r>
      <t>ＭＪ</t>
    </r>
    <r>
      <rPr>
        <sz val="10"/>
        <rFont val="Arial"/>
        <family val="2"/>
      </rPr>
      <t>/</t>
    </r>
    <r>
      <rPr>
        <sz val="10"/>
        <rFont val="ＭＳ Ｐゴシック"/>
        <family val="3"/>
        <charset val="128"/>
      </rPr>
      <t>人時</t>
    </r>
    <rPh sb="3" eb="4">
      <t>ニン</t>
    </rPh>
    <rPh sb="4" eb="5">
      <t>ジ</t>
    </rPh>
    <phoneticPr fontId="20"/>
  </si>
  <si>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0"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</si>
  <si>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0"/>
  </si>
  <si>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0"/>
  </si>
  <si>
    <t>水消費量</t>
    <rPh sb="0" eb="1">
      <t>ﾐｽﾞ</t>
    </rPh>
    <rPh sb="1" eb="4">
      <t>ｼｮｳﾋﾘｮｳ</t>
    </rPh>
    <phoneticPr fontId="30"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</si>
  <si>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0"/>
  </si>
  <si>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0"/>
  </si>
  <si>
    <r>
      <t>LCCO</t>
    </r>
    <r>
      <rPr>
        <vertAlign val="subscript"/>
        <sz val="10"/>
        <rFont val="Arial"/>
        <family val="2"/>
      </rPr>
      <t>2</t>
    </r>
    <r>
      <rPr>
        <sz val="10"/>
        <rFont val="ＭＳ Ｐゴシック"/>
        <family val="3"/>
        <charset val="128"/>
      </rPr>
      <t>排出量</t>
    </r>
    <rPh sb="5" eb="7">
      <t>ハイシュツ</t>
    </rPh>
    <rPh sb="7" eb="8">
      <t>リョウ</t>
    </rPh>
    <phoneticPr fontId="20"/>
  </si>
  <si>
    <r>
      <t>LC</t>
    </r>
    <r>
      <rPr>
        <sz val="10"/>
        <rFont val="ＭＳ Ｐゴシック"/>
        <family val="3"/>
        <charset val="128"/>
      </rPr>
      <t>廃棄物量</t>
    </r>
    <rPh sb="2" eb="5">
      <t>ハイキブツ</t>
    </rPh>
    <rPh sb="5" eb="6">
      <t>リョウ</t>
    </rPh>
    <phoneticPr fontId="20"/>
  </si>
  <si>
    <r>
      <t>ｔ</t>
    </r>
    <r>
      <rPr>
        <sz val="10"/>
        <rFont val="Arial"/>
        <family val="2"/>
      </rPr>
      <t>/</t>
    </r>
    <r>
      <rPr>
        <sz val="10"/>
        <rFont val="ＭＳ Ｐゴシック"/>
        <family val="3"/>
        <charset val="128"/>
      </rPr>
      <t>年㎡</t>
    </r>
    <rPh sb="2" eb="3">
      <t>ネン</t>
    </rPh>
    <phoneticPr fontId="20"/>
  </si>
  <si>
    <r>
      <t>ｔ</t>
    </r>
    <r>
      <rPr>
        <sz val="10"/>
        <rFont val="Arial"/>
        <family val="2"/>
      </rPr>
      <t>/</t>
    </r>
    <r>
      <rPr>
        <sz val="10"/>
        <rFont val="ＭＳ Ｐゴシック"/>
        <family val="3"/>
        <charset val="128"/>
      </rPr>
      <t>人時</t>
    </r>
    <rPh sb="2" eb="3">
      <t>ニン</t>
    </rPh>
    <rPh sb="3" eb="4">
      <t>ジ</t>
    </rPh>
    <phoneticPr fontId="20"/>
  </si>
  <si>
    <r>
      <t>LC</t>
    </r>
    <r>
      <rPr>
        <sz val="10"/>
        <rFont val="ＭＳ Ｐゴシック"/>
        <family val="3"/>
        <charset val="128"/>
      </rPr>
      <t>資源消費量</t>
    </r>
    <rPh sb="2" eb="4">
      <t>シゲン</t>
    </rPh>
    <rPh sb="4" eb="6">
      <t>ショウヒ</t>
    </rPh>
    <rPh sb="6" eb="7">
      <t>リョウ</t>
    </rPh>
    <phoneticPr fontId="20"/>
  </si>
  <si>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0" type="noConversion"/>
  </si>
  <si>
    <t>設計段階</t>
    <rPh sb="0" eb="2">
      <t>ｾｯｹｲ</t>
    </rPh>
    <rPh sb="2" eb="4">
      <t>ﾀﾞﾝｶｲ</t>
    </rPh>
    <phoneticPr fontId="30" type="noConversion"/>
  </si>
  <si>
    <t>建設段階</t>
    <rPh sb="0" eb="2">
      <t>ｹﾝｾﾂ</t>
    </rPh>
    <rPh sb="2" eb="4">
      <t>ﾀﾞﾝｶｲ</t>
    </rPh>
    <phoneticPr fontId="30" type="noConversion"/>
  </si>
  <si>
    <t>有資格者による設計</t>
    <rPh sb="0" eb="4">
      <t>ﾕｳｼｶｸｼｬ</t>
    </rPh>
    <rPh sb="7" eb="9">
      <t>ｾｯｹｲ</t>
    </rPh>
    <phoneticPr fontId="30" type="noConversion"/>
  </si>
  <si>
    <t>環境管理計画</t>
    <rPh sb="0" eb="2">
      <t>ｶﾝｷｮｳ</t>
    </rPh>
    <rPh sb="2" eb="4">
      <t>ｶﾝﾘ</t>
    </rPh>
    <rPh sb="4" eb="6">
      <t>ｹｲｶｸ</t>
    </rPh>
    <phoneticPr fontId="30" type="noConversion"/>
  </si>
  <si>
    <r>
      <t>凡例　　　　　</t>
    </r>
    <r>
      <rPr>
        <sz val="8"/>
        <color indexed="10"/>
        <rFont val="Arial"/>
        <family val="2"/>
      </rPr>
      <t>Q</t>
    </r>
    <r>
      <rPr>
        <sz val="8"/>
        <color indexed="10"/>
        <rFont val="ＭＳ Ｐゴシック"/>
        <family val="3"/>
        <charset val="128"/>
      </rPr>
      <t>：</t>
    </r>
    <rPh sb="0" eb="2">
      <t>ハンレイ</t>
    </rPh>
    <phoneticPr fontId="20"/>
  </si>
  <si>
    <t>Quality</t>
    <phoneticPr fontId="20"/>
  </si>
  <si>
    <r>
      <t>L</t>
    </r>
    <r>
      <rPr>
        <sz val="8"/>
        <color indexed="10"/>
        <rFont val="ＭＳ Ｐゴシック"/>
        <family val="3"/>
        <charset val="128"/>
      </rPr>
      <t>：</t>
    </r>
    <r>
      <rPr>
        <sz val="8"/>
        <color indexed="10"/>
        <rFont val="Arial"/>
        <family val="2"/>
      </rPr>
      <t>Load</t>
    </r>
    <phoneticPr fontId="20"/>
  </si>
  <si>
    <r>
      <t>LR</t>
    </r>
    <r>
      <rPr>
        <sz val="8"/>
        <color indexed="10"/>
        <rFont val="ＭＳ Ｐゴシック"/>
        <family val="3"/>
        <charset val="128"/>
      </rPr>
      <t>：</t>
    </r>
    <r>
      <rPr>
        <sz val="8"/>
        <color indexed="10"/>
        <rFont val="Arial"/>
        <family val="2"/>
      </rPr>
      <t>Load Reduction</t>
    </r>
    <phoneticPr fontId="20"/>
  </si>
  <si>
    <r>
      <t>SQ</t>
    </r>
    <r>
      <rPr>
        <sz val="8"/>
        <color indexed="10"/>
        <rFont val="ＭＳ Ｐゴシック"/>
        <family val="3"/>
        <charset val="128"/>
      </rPr>
      <t>：</t>
    </r>
    <r>
      <rPr>
        <sz val="8"/>
        <color indexed="10"/>
        <rFont val="Arial"/>
        <family val="2"/>
      </rPr>
      <t>Score of Q category</t>
    </r>
    <phoneticPr fontId="20"/>
  </si>
  <si>
    <r>
      <t>SLR</t>
    </r>
    <r>
      <rPr>
        <sz val="8"/>
        <color indexed="10"/>
        <rFont val="ＭＳ Ｐゴシック"/>
        <family val="3"/>
        <charset val="128"/>
      </rPr>
      <t>：</t>
    </r>
    <r>
      <rPr>
        <sz val="8"/>
        <color indexed="10"/>
        <rFont val="Arial"/>
        <family val="2"/>
      </rPr>
      <t>Score of LR category</t>
    </r>
    <phoneticPr fontId="20"/>
  </si>
  <si>
    <r>
      <t>BEE</t>
    </r>
    <r>
      <rPr>
        <sz val="8"/>
        <color indexed="10"/>
        <rFont val="ＭＳ Ｐゴシック"/>
        <family val="3"/>
        <charset val="128"/>
      </rPr>
      <t>：</t>
    </r>
    <r>
      <rPr>
        <sz val="8"/>
        <color indexed="10"/>
        <rFont val="Arial"/>
        <family val="2"/>
      </rPr>
      <t>Building Environmental Efficiency</t>
    </r>
    <phoneticPr fontId="20"/>
  </si>
  <si>
    <t>備考　　　　注1：</t>
    <rPh sb="6" eb="7">
      <t>チュウ</t>
    </rPh>
    <phoneticPr fontId="20"/>
  </si>
  <si>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0"/>
  </si>
  <si>
    <t>注2：</t>
    <rPh sb="0" eb="1">
      <t>チュウ</t>
    </rPh>
    <phoneticPr fontId="20"/>
  </si>
  <si>
    <t>注3：</t>
    <rPh sb="0" eb="1">
      <t>チュウ</t>
    </rPh>
    <phoneticPr fontId="20"/>
  </si>
  <si>
    <t>シートの保護を解除してください</t>
    <phoneticPr fontId="20"/>
  </si>
  <si>
    <t>BEE(Round)</t>
    <phoneticPr fontId="20"/>
  </si>
  <si>
    <t>LR1</t>
    <phoneticPr fontId="20"/>
  </si>
  <si>
    <t>LR1 
エネルギー</t>
    <phoneticPr fontId="20"/>
  </si>
  <si>
    <t>経過年数</t>
    <rPh sb="0" eb="2">
      <t>ケイカ</t>
    </rPh>
    <rPh sb="2" eb="4">
      <t>ネンスウ</t>
    </rPh>
    <phoneticPr fontId="20"/>
  </si>
  <si>
    <t>Q1</t>
    <phoneticPr fontId="20"/>
  </si>
  <si>
    <t>Rank(red star)</t>
    <phoneticPr fontId="20"/>
  </si>
  <si>
    <t>(blank star)</t>
    <phoneticPr fontId="20"/>
  </si>
  <si>
    <r>
      <t>Q</t>
    </r>
    <r>
      <rPr>
        <b/>
        <i/>
        <sz val="14"/>
        <color indexed="9"/>
        <rFont val="ＭＳ Ｐゴシック"/>
        <family val="3"/>
        <charset val="128"/>
      </rPr>
      <t>のスコア</t>
    </r>
    <r>
      <rPr>
        <b/>
        <i/>
        <sz val="14"/>
        <color indexed="9"/>
        <rFont val="Arial"/>
        <family val="2"/>
      </rPr>
      <t>=</t>
    </r>
    <phoneticPr fontId="20"/>
  </si>
  <si>
    <t>Score</t>
    <phoneticPr fontId="20"/>
  </si>
  <si>
    <t>BEE rank</t>
    <phoneticPr fontId="20"/>
  </si>
  <si>
    <t>before</t>
    <phoneticPr fontId="20"/>
  </si>
  <si>
    <t>after</t>
    <phoneticPr fontId="20"/>
  </si>
  <si>
    <t>radar chart</t>
    <phoneticPr fontId="20"/>
  </si>
  <si>
    <t>Score(RoundDown)</t>
    <phoneticPr fontId="20"/>
  </si>
  <si>
    <t>改修の概要</t>
    <rPh sb="0" eb="2">
      <t>カイシュウ</t>
    </rPh>
    <rPh sb="3" eb="5">
      <t>ガイヨウ</t>
    </rPh>
    <phoneticPr fontId="20"/>
  </si>
  <si>
    <t>SQ</t>
    <phoneticPr fontId="20"/>
  </si>
  <si>
    <t>background</t>
    <phoneticPr fontId="20"/>
  </si>
  <si>
    <t>before</t>
    <phoneticPr fontId="20"/>
  </si>
  <si>
    <t>after</t>
    <phoneticPr fontId="20"/>
  </si>
  <si>
    <t>std</t>
    <phoneticPr fontId="20"/>
  </si>
  <si>
    <t>SLR</t>
    <phoneticPr fontId="20"/>
  </si>
  <si>
    <t>Q2</t>
    <phoneticPr fontId="20"/>
  </si>
  <si>
    <t>Q2 サービス性能</t>
    <phoneticPr fontId="20"/>
  </si>
  <si>
    <t>Q</t>
    <phoneticPr fontId="20"/>
  </si>
  <si>
    <t>Q3</t>
    <phoneticPr fontId="20"/>
  </si>
  <si>
    <t>新築時の竣工年</t>
  </si>
  <si>
    <t>改修竣工年</t>
  </si>
  <si>
    <t>改修後の想定使用年数</t>
  </si>
  <si>
    <t>L</t>
    <phoneticPr fontId="20"/>
  </si>
  <si>
    <t>LR3</t>
    <phoneticPr fontId="20"/>
  </si>
  <si>
    <t>建築面積</t>
  </si>
  <si>
    <t>BEE</t>
    <phoneticPr fontId="20"/>
  </si>
  <si>
    <t>LR2</t>
    <phoneticPr fontId="20"/>
  </si>
  <si>
    <t>延床面積</t>
  </si>
  <si>
    <t>BEE(Round)</t>
    <phoneticPr fontId="20"/>
  </si>
  <si>
    <t>LR1</t>
    <phoneticPr fontId="20"/>
  </si>
  <si>
    <t>LR1 
エネルギー</t>
    <phoneticPr fontId="20"/>
  </si>
  <si>
    <t>階数</t>
  </si>
  <si>
    <t>改修対象項目</t>
    <rPh sb="0" eb="2">
      <t>カイシュウ</t>
    </rPh>
    <rPh sb="2" eb="4">
      <t>タイショウ</t>
    </rPh>
    <rPh sb="4" eb="6">
      <t>コウモク</t>
    </rPh>
    <phoneticPr fontId="20"/>
  </si>
  <si>
    <t>Q1</t>
    <phoneticPr fontId="20"/>
  </si>
  <si>
    <t>構造</t>
  </si>
  <si>
    <t>(blank star)</t>
    <phoneticPr fontId="20"/>
  </si>
  <si>
    <t>C</t>
    <phoneticPr fontId="20"/>
  </si>
  <si>
    <t>befoer</t>
  </si>
  <si>
    <t>after</t>
  </si>
  <si>
    <t>Score(RoundDown)</t>
  </si>
  <si>
    <t>Score</t>
  </si>
  <si>
    <t>Q-2 サービス性能</t>
  </si>
  <si>
    <t>NA</t>
  </si>
  <si>
    <t>まちなみ景観</t>
  </si>
  <si>
    <t>LR-1 エネルギー</t>
  </si>
  <si>
    <r>
      <t>4  BEE</t>
    </r>
    <r>
      <rPr>
        <b/>
        <vertAlign val="subscript"/>
        <sz val="12"/>
        <color indexed="9"/>
        <rFont val="Arial"/>
        <family val="2"/>
      </rPr>
      <t>ES</t>
    </r>
    <r>
      <rPr>
        <b/>
        <sz val="12"/>
        <color indexed="9"/>
        <rFont val="ＭＳ Ｐゴシック"/>
        <family val="3"/>
        <charset val="128"/>
      </rPr>
      <t>　による省エネルギー改修評価</t>
    </r>
    <rPh sb="12" eb="13">
      <t>ｼｮｳ</t>
    </rPh>
    <rPh sb="18" eb="20">
      <t>ｶｲｼｭｳ</t>
    </rPh>
    <rPh sb="20" eb="22">
      <t>ﾋｮｳｶ</t>
    </rPh>
    <phoneticPr fontId="30" type="noConversion"/>
  </si>
  <si>
    <r>
      <t>BEE</t>
    </r>
    <r>
      <rPr>
        <sz val="11"/>
        <rFont val="ＭＳ Ｐゴシック"/>
        <family val="3"/>
        <charset val="128"/>
      </rPr>
      <t>グラフ</t>
    </r>
    <phoneticPr fontId="20"/>
  </si>
  <si>
    <r>
      <t>省エネ改修評価における建築物の環境負荷　</t>
    </r>
    <r>
      <rPr>
        <b/>
        <sz val="10"/>
        <rFont val="Arial"/>
        <family val="2"/>
      </rPr>
      <t>L</t>
    </r>
    <r>
      <rPr>
        <b/>
        <vertAlign val="subscript"/>
        <sz val="10"/>
        <rFont val="Arial"/>
        <family val="2"/>
      </rPr>
      <t>ES</t>
    </r>
    <phoneticPr fontId="20"/>
  </si>
  <si>
    <t>＝</t>
    <phoneticPr fontId="20"/>
  </si>
  <si>
    <r>
      <t xml:space="preserve">   25 </t>
    </r>
    <r>
      <rPr>
        <sz val="9"/>
        <color indexed="8"/>
        <rFont val="ＭＳ Ｐゴシック"/>
        <family val="3"/>
        <charset val="128"/>
      </rPr>
      <t>×</t>
    </r>
    <r>
      <rPr>
        <sz val="9"/>
        <color indexed="8"/>
        <rFont val="Arial"/>
        <family val="2"/>
      </rPr>
      <t xml:space="preserve"> (SQ1 - 1)</t>
    </r>
    <phoneticPr fontId="20"/>
  </si>
  <si>
    <r>
      <t xml:space="preserve">   25 </t>
    </r>
    <r>
      <rPr>
        <sz val="9"/>
        <color indexed="8"/>
        <rFont val="ＭＳ Ｐゴシック"/>
        <family val="3"/>
        <charset val="128"/>
      </rPr>
      <t>×</t>
    </r>
    <r>
      <rPr>
        <sz val="9"/>
        <color indexed="8"/>
        <rFont val="Arial"/>
        <family val="2"/>
      </rPr>
      <t xml:space="preserve"> (5 - SLR1)</t>
    </r>
    <phoneticPr fontId="20"/>
  </si>
  <si>
    <r>
      <t>⊿BEE</t>
    </r>
    <r>
      <rPr>
        <b/>
        <vertAlign val="subscript"/>
        <sz val="13"/>
        <rFont val="ＭＳ Ｐゴシック"/>
        <family val="3"/>
        <charset val="128"/>
      </rPr>
      <t>ES</t>
    </r>
    <phoneticPr fontId="20"/>
  </si>
  <si>
    <r>
      <t>改修前 BEE</t>
    </r>
    <r>
      <rPr>
        <vertAlign val="subscript"/>
        <sz val="12"/>
        <rFont val="ＭＳ Ｐゴシック"/>
        <family val="3"/>
        <charset val="128"/>
      </rPr>
      <t>ES</t>
    </r>
    <rPh sb="0" eb="2">
      <t>カイシュウ</t>
    </rPh>
    <rPh sb="2" eb="3">
      <t>マエ</t>
    </rPh>
    <phoneticPr fontId="20"/>
  </si>
  <si>
    <t>＝</t>
    <phoneticPr fontId="20"/>
  </si>
  <si>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0"/>
  </si>
  <si>
    <t>項目</t>
    <rPh sb="0" eb="2">
      <t>コウモク</t>
    </rPh>
    <phoneticPr fontId="20"/>
  </si>
  <si>
    <t>参照値（参照建物）</t>
    <rPh sb="0" eb="2">
      <t>サンショウ</t>
    </rPh>
    <rPh sb="2" eb="3">
      <t>チ</t>
    </rPh>
    <rPh sb="4" eb="6">
      <t>サンショウ</t>
    </rPh>
    <rPh sb="6" eb="8">
      <t>タテモノ</t>
    </rPh>
    <phoneticPr fontId="20"/>
  </si>
  <si>
    <t>評価対象</t>
    <rPh sb="0" eb="2">
      <t>ヒョウカ</t>
    </rPh>
    <rPh sb="2" eb="4">
      <t>タイショウ</t>
    </rPh>
    <phoneticPr fontId="20"/>
  </si>
  <si>
    <t>建物
概要</t>
    <rPh sb="0" eb="2">
      <t>タテモノ</t>
    </rPh>
    <rPh sb="3" eb="5">
      <t>ガイヨウ</t>
    </rPh>
    <phoneticPr fontId="20"/>
  </si>
  <si>
    <t>建物規模</t>
    <rPh sb="0" eb="2">
      <t>タテモノ</t>
    </rPh>
    <rPh sb="2" eb="4">
      <t>キボ</t>
    </rPh>
    <phoneticPr fontId="20"/>
  </si>
  <si>
    <t>構造種別</t>
    <rPh sb="0" eb="2">
      <t>コウゾウ</t>
    </rPh>
    <rPh sb="2" eb="4">
      <t>シュベツ</t>
    </rPh>
    <phoneticPr fontId="20"/>
  </si>
  <si>
    <t>ライフサイクル設定</t>
    <rPh sb="7" eb="9">
      <t>セッテイ</t>
    </rPh>
    <phoneticPr fontId="20"/>
  </si>
  <si>
    <t>想定耐用年数</t>
    <rPh sb="0" eb="2">
      <t>ソウテイ</t>
    </rPh>
    <rPh sb="2" eb="4">
      <t>タイヨウ</t>
    </rPh>
    <rPh sb="4" eb="6">
      <t>ネンスウ</t>
    </rPh>
    <phoneticPr fontId="20"/>
  </si>
  <si>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</si>
  <si>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</si>
  <si>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 xml:space="preserve"> ④上記+
　オフサイト手法</t>
    <phoneticPr fontId="20"/>
  </si>
  <si>
    <t>建設
段階</t>
    <rPh sb="0" eb="2">
      <t>ケンセツ</t>
    </rPh>
    <rPh sb="3" eb="5">
      <t>ダンカイ</t>
    </rPh>
    <phoneticPr fontId="20"/>
  </si>
  <si>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0"/>
  </si>
  <si>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0"/>
  </si>
  <si>
    <t>同左</t>
  </si>
  <si>
    <t>国内消費支出分</t>
    <rPh sb="0" eb="2">
      <t>コクナイ</t>
    </rPh>
    <rPh sb="2" eb="4">
      <t>ショウヒ</t>
    </rPh>
    <rPh sb="4" eb="6">
      <t>シシュツ</t>
    </rPh>
    <rPh sb="6" eb="7">
      <t>ブン</t>
    </rPh>
    <phoneticPr fontId="20"/>
  </si>
  <si>
    <t>代表的な資材量</t>
    <rPh sb="0" eb="3">
      <t>ダイヒョウテキ</t>
    </rPh>
    <rPh sb="4" eb="6">
      <t>シザイ</t>
    </rPh>
    <rPh sb="6" eb="7">
      <t>リョウ</t>
    </rPh>
    <phoneticPr fontId="20"/>
  </si>
  <si>
    <t>普通コンクリート</t>
    <rPh sb="0" eb="2">
      <t>フツウ</t>
    </rPh>
    <phoneticPr fontId="20"/>
  </si>
  <si>
    <r>
      <t>ｍ</t>
    </r>
    <r>
      <rPr>
        <vertAlign val="superscript"/>
        <sz val="10"/>
        <rFont val="ＭＳ Ｐゴシック"/>
        <family val="3"/>
        <charset val="128"/>
      </rPr>
      <t>3</t>
    </r>
    <r>
      <rPr>
        <sz val="10"/>
        <rFont val="ＭＳ Ｐゴシック"/>
        <family val="3"/>
        <charset val="128"/>
      </rPr>
      <t>/㎡</t>
    </r>
    <phoneticPr fontId="20"/>
  </si>
  <si>
    <t>高炉セメントコンクリート</t>
    <rPh sb="0" eb="2">
      <t>コウロ</t>
    </rPh>
    <phoneticPr fontId="20"/>
  </si>
  <si>
    <t>鉄　骨</t>
    <rPh sb="0" eb="1">
      <t>テツ</t>
    </rPh>
    <rPh sb="2" eb="3">
      <t>ホネ</t>
    </rPh>
    <phoneticPr fontId="20"/>
  </si>
  <si>
    <t>ｔ/㎡</t>
  </si>
  <si>
    <t>鉄骨 (電炉）</t>
    <rPh sb="0" eb="1">
      <t>テツ</t>
    </rPh>
    <rPh sb="1" eb="2">
      <t>ホネ</t>
    </rPh>
    <rPh sb="4" eb="6">
      <t>デンロ</t>
    </rPh>
    <phoneticPr fontId="20"/>
  </si>
  <si>
    <t>鉄　筋</t>
    <rPh sb="0" eb="1">
      <t>テツ</t>
    </rPh>
    <rPh sb="2" eb="3">
      <t>スジ</t>
    </rPh>
    <phoneticPr fontId="20"/>
  </si>
  <si>
    <t>木　材</t>
    <rPh sb="0" eb="1">
      <t>キ</t>
    </rPh>
    <rPh sb="2" eb="3">
      <t>ザイ</t>
    </rPh>
    <phoneticPr fontId="20"/>
  </si>
  <si>
    <t>□　□</t>
    <phoneticPr fontId="20"/>
  </si>
  <si>
    <t>○○</t>
    <phoneticPr fontId="20"/>
  </si>
  <si>
    <t>集合住宅の評価</t>
    <rPh sb="0" eb="2">
      <t>シュウゴウ</t>
    </rPh>
    <rPh sb="2" eb="4">
      <t>ジュウタク</t>
    </rPh>
    <rPh sb="5" eb="7">
      <t>ヒョウカ</t>
    </rPh>
    <phoneticPr fontId="20"/>
  </si>
  <si>
    <t>NC</t>
    <phoneticPr fontId="20"/>
  </si>
  <si>
    <t>〃</t>
  </si>
  <si>
    <t>kg/㎡</t>
    <phoneticPr fontId="20"/>
  </si>
  <si>
    <t>代表的な資材の環境負荷</t>
    <rPh sb="0" eb="3">
      <t>ダイヒョウテキ</t>
    </rPh>
    <rPh sb="4" eb="6">
      <t>シザイ</t>
    </rPh>
    <rPh sb="7" eb="9">
      <t>カンキョウ</t>
    </rPh>
    <rPh sb="9" eb="11">
      <t>フカ</t>
    </rPh>
    <phoneticPr fontId="20"/>
  </si>
  <si>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0"/>
  </si>
  <si>
    <r>
      <t>kg-CO</t>
    </r>
    <r>
      <rPr>
        <vertAlign val="subscript"/>
        <sz val="10"/>
        <rFont val="ＭＳ Ｐゴシック"/>
        <family val="3"/>
        <charset val="128"/>
      </rPr>
      <t>2</t>
    </r>
    <r>
      <rPr>
        <sz val="10"/>
        <rFont val="ＭＳ Ｐゴシック"/>
        <family val="3"/>
        <charset val="128"/>
      </rPr>
      <t>/ｔ</t>
    </r>
    <phoneticPr fontId="20"/>
  </si>
  <si>
    <r>
      <t>kg-CO</t>
    </r>
    <r>
      <rPr>
        <vertAlign val="subscript"/>
        <sz val="10"/>
        <rFont val="ＭＳ Ｐゴシック"/>
        <family val="3"/>
        <charset val="128"/>
      </rPr>
      <t>2</t>
    </r>
    <r>
      <rPr>
        <sz val="10"/>
        <rFont val="ＭＳ Ｐゴシック"/>
        <family val="3"/>
        <charset val="128"/>
      </rPr>
      <t>/ｔ</t>
    </r>
    <phoneticPr fontId="20"/>
  </si>
  <si>
    <t>型　枠</t>
    <rPh sb="0" eb="1">
      <t>カタ</t>
    </rPh>
    <rPh sb="2" eb="3">
      <t>ワク</t>
    </rPh>
    <phoneticPr fontId="20"/>
  </si>
  <si>
    <t>〃</t>
    <phoneticPr fontId="20"/>
  </si>
  <si>
    <r>
      <t>kg-CO</t>
    </r>
    <r>
      <rPr>
        <vertAlign val="subscript"/>
        <sz val="10"/>
        <rFont val="ＭＳ Ｐゴシック"/>
        <family val="3"/>
        <charset val="128"/>
      </rPr>
      <t>2</t>
    </r>
    <r>
      <rPr>
        <sz val="10"/>
        <rFont val="ＭＳ Ｐゴシック"/>
        <family val="3"/>
        <charset val="128"/>
      </rPr>
      <t>/kg</t>
    </r>
    <phoneticPr fontId="20"/>
  </si>
  <si>
    <t>主要なリサイクル建材と利用利率</t>
    <rPh sb="0" eb="2">
      <t>シュヨウ</t>
    </rPh>
    <rPh sb="8" eb="10">
      <t>ケンザイ</t>
    </rPh>
    <rPh sb="11" eb="13">
      <t>リヨウ</t>
    </rPh>
    <rPh sb="13" eb="15">
      <t>リリツ</t>
    </rPh>
    <phoneticPr fontId="20"/>
  </si>
  <si>
    <t>高炉セメント
（躯体での利用率）</t>
    <rPh sb="0" eb="2">
      <t>コウロ</t>
    </rPh>
    <rPh sb="8" eb="10">
      <t>クタイ</t>
    </rPh>
    <rPh sb="12" eb="14">
      <t>リヨウ</t>
    </rPh>
    <rPh sb="14" eb="15">
      <t>リツ</t>
    </rPh>
    <phoneticPr fontId="20"/>
  </si>
  <si>
    <t>既存躯体の再利用
（躯体での利用率）</t>
    <rPh sb="0" eb="2">
      <t>キソン</t>
    </rPh>
    <rPh sb="2" eb="4">
      <t>クタイ</t>
    </rPh>
    <rPh sb="5" eb="8">
      <t>サイリヨウ</t>
    </rPh>
    <rPh sb="10" eb="12">
      <t>クタイ</t>
    </rPh>
    <rPh sb="14" eb="17">
      <t>リヨウリツ</t>
    </rPh>
    <phoneticPr fontId="20"/>
  </si>
  <si>
    <t>電炉鋼材（鉄筋）</t>
    <rPh sb="0" eb="2">
      <t>デンロ</t>
    </rPh>
    <rPh sb="2" eb="4">
      <t>コウザイ</t>
    </rPh>
    <phoneticPr fontId="20"/>
  </si>
  <si>
    <t>電炉鋼材（鋼材）</t>
    <rPh sb="0" eb="2">
      <t>デンロ</t>
    </rPh>
    <rPh sb="2" eb="4">
      <t>コウザイ</t>
    </rPh>
    <rPh sb="5" eb="7">
      <t>コウザイ</t>
    </rPh>
    <phoneticPr fontId="20"/>
  </si>
  <si>
    <t>更新周期（年）</t>
    <rPh sb="0" eb="2">
      <t>コウシン</t>
    </rPh>
    <rPh sb="2" eb="4">
      <t>シュウキ</t>
    </rPh>
    <rPh sb="5" eb="6">
      <t>ネン</t>
    </rPh>
    <phoneticPr fontId="20"/>
  </si>
  <si>
    <t>解体段階</t>
    <phoneticPr fontId="20"/>
  </si>
  <si>
    <t>屋根</t>
    <rPh sb="0" eb="2">
      <t>ヤネ</t>
    </rPh>
    <phoneticPr fontId="20"/>
  </si>
  <si>
    <t>設備</t>
    <rPh sb="0" eb="2">
      <t>セツビ</t>
    </rPh>
    <phoneticPr fontId="20"/>
  </si>
  <si>
    <t>平均修繕率（％/年）</t>
    <rPh sb="0" eb="2">
      <t>ヘイキン</t>
    </rPh>
    <rPh sb="2" eb="4">
      <t>シュウゼン</t>
    </rPh>
    <rPh sb="4" eb="5">
      <t>リツ</t>
    </rPh>
    <rPh sb="8" eb="9">
      <t>ネン</t>
    </rPh>
    <phoneticPr fontId="20"/>
  </si>
  <si>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0"/>
  </si>
  <si>
    <t>同左</t>
    <rPh sb="0" eb="2">
      <t>ドウサ</t>
    </rPh>
    <phoneticPr fontId="20"/>
  </si>
  <si>
    <t>運用
段階</t>
    <rPh sb="0" eb="2">
      <t>ウンヨウ</t>
    </rPh>
    <rPh sb="3" eb="5">
      <t>ダンカイ</t>
    </rPh>
    <phoneticPr fontId="20"/>
  </si>
  <si>
    <t>エネルギー
消費量の算定方法</t>
    <rPh sb="6" eb="9">
      <t>ショウヒリョウ</t>
    </rPh>
    <rPh sb="10" eb="12">
      <t>サンテイ</t>
    </rPh>
    <rPh sb="12" eb="14">
      <t>ホウホウ</t>
    </rPh>
    <phoneticPr fontId="20"/>
  </si>
  <si>
    <t>一次ｴﾈﾙｷﾞｰ消費量
（集合住宅分を除く）</t>
    <rPh sb="0" eb="2">
      <t>イチジ</t>
    </rPh>
    <rPh sb="8" eb="11">
      <t>ショウヒリョウ</t>
    </rPh>
    <rPh sb="13" eb="15">
      <t>シュウゴウ</t>
    </rPh>
    <rPh sb="15" eb="17">
      <t>ジュウタク</t>
    </rPh>
    <rPh sb="17" eb="18">
      <t>ブン</t>
    </rPh>
    <rPh sb="19" eb="20">
      <t>ノゾ</t>
    </rPh>
    <phoneticPr fontId="20"/>
  </si>
  <si>
    <t>電力</t>
    <rPh sb="0" eb="2">
      <t>デンリョク</t>
    </rPh>
    <phoneticPr fontId="20"/>
  </si>
  <si>
    <t>ガス</t>
    <phoneticPr fontId="20"/>
  </si>
  <si>
    <t>その他の燃料
（　　　）</t>
    <rPh sb="2" eb="3">
      <t>タ</t>
    </rPh>
    <rPh sb="4" eb="6">
      <t>ネンリョウ</t>
    </rPh>
    <phoneticPr fontId="20"/>
  </si>
  <si>
    <t>上水使用</t>
    <rPh sb="0" eb="1">
      <t>ウエ</t>
    </rPh>
    <rPh sb="1" eb="2">
      <t>ミズ</t>
    </rPh>
    <rPh sb="2" eb="4">
      <t>シヨウ</t>
    </rPh>
    <phoneticPr fontId="20"/>
  </si>
  <si>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0"/>
  </si>
  <si>
    <t>バウンダリー</t>
    <phoneticPr fontId="20"/>
  </si>
  <si>
    <t>○○　</t>
    <phoneticPr fontId="20"/>
  </si>
  <si>
    <t>〃</t>
    <phoneticPr fontId="20"/>
  </si>
  <si>
    <t>○○</t>
    <phoneticPr fontId="20"/>
  </si>
  <si>
    <t>○○</t>
    <phoneticPr fontId="20"/>
  </si>
  <si>
    <t>kg/㎡</t>
  </si>
  <si>
    <t>木　材</t>
  </si>
  <si>
    <t>○○</t>
    <phoneticPr fontId="20"/>
  </si>
  <si>
    <t>○○</t>
    <phoneticPr fontId="20"/>
  </si>
  <si>
    <t>○○</t>
    <phoneticPr fontId="20"/>
  </si>
  <si>
    <t>○○</t>
    <phoneticPr fontId="20"/>
  </si>
  <si>
    <t>○○</t>
    <phoneticPr fontId="20"/>
  </si>
  <si>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0"/>
  </si>
  <si>
    <t>参照値</t>
    <rPh sb="0" eb="2">
      <t>サンショウ</t>
    </rPh>
    <rPh sb="2" eb="3">
      <t>チ</t>
    </rPh>
    <phoneticPr fontId="20"/>
  </si>
  <si>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0"/>
  </si>
  <si>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0"/>
  </si>
  <si>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</si>
  <si>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延床面積比率</t>
    <rPh sb="0" eb="4">
      <t>ノベユカメンセキ</t>
    </rPh>
    <rPh sb="4" eb="6">
      <t>ヒリツ</t>
    </rPh>
    <phoneticPr fontId="20"/>
  </si>
  <si>
    <t>ﾚﾍﾞﾙ３</t>
  </si>
  <si>
    <t>ﾚﾍﾞﾙ４</t>
  </si>
  <si>
    <t>ﾚﾍﾞﾙ５</t>
  </si>
  <si>
    <t>採点結果</t>
    <rPh sb="0" eb="2">
      <t>サイテン</t>
    </rPh>
    <rPh sb="2" eb="4">
      <t>ケッカ</t>
    </rPh>
    <phoneticPr fontId="20"/>
  </si>
  <si>
    <t>Q2/2.2.1 躯体材料の耐用年数</t>
    <rPh sb="9" eb="11">
      <t>クタイ</t>
    </rPh>
    <rPh sb="11" eb="13">
      <t>ザイリョウ</t>
    </rPh>
    <rPh sb="14" eb="16">
      <t>タイヨウ</t>
    </rPh>
    <rPh sb="16" eb="18">
      <t>ネンスウ</t>
    </rPh>
    <phoneticPr fontId="20"/>
  </si>
  <si>
    <t>集会所</t>
  </si>
  <si>
    <t>工場</t>
  </si>
  <si>
    <t>評価対象の構造</t>
    <rPh sb="0" eb="2">
      <t>ヒョウカ</t>
    </rPh>
    <rPh sb="2" eb="4">
      <t>タイショウ</t>
    </rPh>
    <rPh sb="5" eb="7">
      <t>コウゾウ</t>
    </rPh>
    <phoneticPr fontId="20"/>
  </si>
  <si>
    <t>LR2/2.2 既存建築躯体等の継続使用</t>
    <rPh sb="8" eb="10">
      <t>キソン</t>
    </rPh>
    <rPh sb="10" eb="12">
      <t>ケンチク</t>
    </rPh>
    <rPh sb="12" eb="14">
      <t>クタイ</t>
    </rPh>
    <rPh sb="14" eb="15">
      <t>トウ</t>
    </rPh>
    <rPh sb="16" eb="18">
      <t>ケイゾク</t>
    </rPh>
    <rPh sb="18" eb="20">
      <t>シヨウ</t>
    </rPh>
    <phoneticPr fontId="20"/>
  </si>
  <si>
    <t>LR2/2.3 躯体材料におけるﾘｻｲｸﾙ材（高炉セメント）</t>
    <rPh sb="8" eb="10">
      <t>クタイ</t>
    </rPh>
    <rPh sb="10" eb="12">
      <t>ザイリョウ</t>
    </rPh>
    <rPh sb="21" eb="22">
      <t>ザイ</t>
    </rPh>
    <rPh sb="23" eb="25">
      <t>コウロ</t>
    </rPh>
    <phoneticPr fontId="20"/>
  </si>
  <si>
    <t>1-2.　合計の計算</t>
    <rPh sb="5" eb="7">
      <t>ゴウケイ</t>
    </rPh>
    <rPh sb="8" eb="10">
      <t>ケイサン</t>
    </rPh>
    <phoneticPr fontId="20"/>
  </si>
  <si>
    <t>建物寿命</t>
    <rPh sb="0" eb="2">
      <t>タテモノ</t>
    </rPh>
    <rPh sb="2" eb="4">
      <t>ジュミョウ</t>
    </rPh>
    <phoneticPr fontId="20"/>
  </si>
  <si>
    <t>LR2/2.2 既存建築躯体</t>
    <rPh sb="8" eb="10">
      <t>キソン</t>
    </rPh>
    <rPh sb="10" eb="12">
      <t>ケンチク</t>
    </rPh>
    <rPh sb="12" eb="14">
      <t>クタイ</t>
    </rPh>
    <phoneticPr fontId="20"/>
  </si>
  <si>
    <t>LR2/2.3 ﾘｻｲｸﾙ材（高炉セメント）</t>
    <rPh sb="13" eb="14">
      <t>ザイ</t>
    </rPh>
    <rPh sb="15" eb="17">
      <t>コウロ</t>
    </rPh>
    <phoneticPr fontId="20"/>
  </si>
  <si>
    <t>事務所</t>
    <rPh sb="0" eb="2">
      <t>ジム</t>
    </rPh>
    <rPh sb="2" eb="3">
      <t>ショ</t>
    </rPh>
    <phoneticPr fontId="20"/>
  </si>
  <si>
    <t>ｍ3/㎡</t>
  </si>
  <si>
    <t>学校</t>
    <rPh sb="0" eb="2">
      <t>ガッコウ</t>
    </rPh>
    <phoneticPr fontId="20"/>
  </si>
  <si>
    <t>物販店</t>
    <rPh sb="0" eb="3">
      <t>ブッパンテン</t>
    </rPh>
    <phoneticPr fontId="20"/>
  </si>
  <si>
    <t>ｍ3/㎡</t>
    <phoneticPr fontId="20"/>
  </si>
  <si>
    <t>飲食店</t>
    <rPh sb="0" eb="2">
      <t>インショク</t>
    </rPh>
    <rPh sb="2" eb="3">
      <t>テン</t>
    </rPh>
    <phoneticPr fontId="20"/>
  </si>
  <si>
    <t>集会所</t>
    <rPh sb="0" eb="3">
      <t>シュウカイショ</t>
    </rPh>
    <phoneticPr fontId="20"/>
  </si>
  <si>
    <t>病院</t>
    <rPh sb="0" eb="2">
      <t>ビョウイン</t>
    </rPh>
    <phoneticPr fontId="20"/>
  </si>
  <si>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0"/>
  </si>
  <si>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0"/>
  </si>
  <si>
    <t>2-2.　合計の計算</t>
    <rPh sb="5" eb="7">
      <t>ゴウケイ</t>
    </rPh>
    <rPh sb="8" eb="10">
      <t>ケイサン</t>
    </rPh>
    <phoneticPr fontId="20"/>
  </si>
  <si>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0"/>
  </si>
  <si>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0"/>
  </si>
  <si>
    <t>修繕・更新・解体</t>
    <rPh sb="3" eb="5">
      <t>コウシン</t>
    </rPh>
    <phoneticPr fontId="20"/>
  </si>
  <si>
    <t>排出率</t>
    <rPh sb="0" eb="2">
      <t>ハイシュツ</t>
    </rPh>
    <rPh sb="2" eb="3">
      <t>リツ</t>
    </rPh>
    <phoneticPr fontId="20"/>
  </si>
  <si>
    <t>簡易評価</t>
  </si>
  <si>
    <t>省エネルギー計画書で評価</t>
  </si>
  <si>
    <r>
      <t>5.　ライフサイクルCO</t>
    </r>
    <r>
      <rPr>
        <b/>
        <vertAlign val="subscript"/>
        <sz val="11"/>
        <rFont val="ＭＳ Ｐゴシック"/>
        <family val="3"/>
        <charset val="128"/>
      </rPr>
      <t>2</t>
    </r>
    <r>
      <rPr>
        <b/>
        <sz val="11"/>
        <rFont val="ＭＳ Ｐゴシック"/>
        <family val="3"/>
        <charset val="128"/>
      </rPr>
      <t>排出率に基づく「LR3/1.地球温暖化への配慮」スコア換算</t>
    </r>
    <rPh sb="13" eb="15">
      <t>ハイシュツ</t>
    </rPh>
    <rPh sb="15" eb="16">
      <t>リツ</t>
    </rPh>
    <rPh sb="17" eb="18">
      <t>モト</t>
    </rPh>
    <rPh sb="27" eb="31">
      <t>チキュウオンダン</t>
    </rPh>
    <rPh sb="31" eb="32">
      <t>カ</t>
    </rPh>
    <rPh sb="34" eb="36">
      <t>ハイリョ</t>
    </rPh>
    <rPh sb="40" eb="42">
      <t>カンザン</t>
    </rPh>
    <phoneticPr fontId="20"/>
  </si>
  <si>
    <t>換算スコア＝</t>
    <rPh sb="0" eb="2">
      <t>カンザン</t>
    </rPh>
    <phoneticPr fontId="20"/>
  </si>
  <si>
    <t>a.　建設に係るCO2排出量</t>
    <rPh sb="3" eb="5">
      <t>ケンセツ</t>
    </rPh>
    <rPh sb="6" eb="7">
      <t>カカ</t>
    </rPh>
    <rPh sb="11" eb="13">
      <t>ハイシュツ</t>
    </rPh>
    <rPh sb="13" eb="14">
      <t>リョウ</t>
    </rPh>
    <phoneticPr fontId="20"/>
  </si>
  <si>
    <t>kg-CO2/年m2</t>
    <rPh sb="7" eb="8">
      <t>ネン</t>
    </rPh>
    <phoneticPr fontId="20"/>
  </si>
  <si>
    <t>用途</t>
    <rPh sb="0" eb="2">
      <t>ヨウト</t>
    </rPh>
    <phoneticPr fontId="20"/>
  </si>
  <si>
    <t>屋上（屋根）・外壁仕上げ材の更新</t>
    <phoneticPr fontId="20"/>
  </si>
  <si>
    <t>LR2/2.2 削減分</t>
    <rPh sb="8" eb="10">
      <t>サクゲン</t>
    </rPh>
    <rPh sb="10" eb="11">
      <t>ブン</t>
    </rPh>
    <phoneticPr fontId="20"/>
  </si>
  <si>
    <t>LR2/2.3 削減分</t>
    <rPh sb="8" eb="10">
      <t>サクゲン</t>
    </rPh>
    <rPh sb="10" eb="11">
      <t>ブン</t>
    </rPh>
    <phoneticPr fontId="20"/>
  </si>
  <si>
    <t>b.　修繕・更新・解体に係るCO2排出量</t>
    <rPh sb="3" eb="5">
      <t>シュウゼン</t>
    </rPh>
    <rPh sb="6" eb="8">
      <t>コウシン</t>
    </rPh>
    <rPh sb="9" eb="11">
      <t>カイタイ</t>
    </rPh>
    <rPh sb="12" eb="13">
      <t>カカ</t>
    </rPh>
    <rPh sb="17" eb="19">
      <t>ハイシュツ</t>
    </rPh>
    <rPh sb="19" eb="20">
      <t>リョウ</t>
    </rPh>
    <phoneticPr fontId="20"/>
  </si>
  <si>
    <t>削減後</t>
    <rPh sb="0" eb="2">
      <t>サクゲン</t>
    </rPh>
    <rPh sb="2" eb="3">
      <t>ゴ</t>
    </rPh>
    <phoneticPr fontId="20"/>
  </si>
  <si>
    <t>ホテル</t>
    <phoneticPr fontId="20"/>
  </si>
  <si>
    <t>c.　運用に係るCO2排出量</t>
    <rPh sb="3" eb="5">
      <t>ウンヨウ</t>
    </rPh>
    <rPh sb="6" eb="7">
      <t>カカ</t>
    </rPh>
    <rPh sb="11" eb="13">
      <t>ハイシュツ</t>
    </rPh>
    <rPh sb="13" eb="14">
      <t>リョウ</t>
    </rPh>
    <phoneticPr fontId="20"/>
  </si>
  <si>
    <t>排出係数</t>
    <rPh sb="0" eb="2">
      <t>ハイシュツ</t>
    </rPh>
    <rPh sb="2" eb="4">
      <t>ケイスウ</t>
    </rPh>
    <phoneticPr fontId="20"/>
  </si>
  <si>
    <t>等級1</t>
    <rPh sb="0" eb="2">
      <t>トウキュウ</t>
    </rPh>
    <phoneticPr fontId="20"/>
  </si>
  <si>
    <t>等級2</t>
    <rPh sb="0" eb="2">
      <t>トウキュウ</t>
    </rPh>
    <phoneticPr fontId="20"/>
  </si>
  <si>
    <t>等級3</t>
    <rPh sb="0" eb="2">
      <t>トウキュウ</t>
    </rPh>
    <phoneticPr fontId="20"/>
  </si>
  <si>
    <t>等級4</t>
    <rPh sb="0" eb="2">
      <t>トウキュウ</t>
    </rPh>
    <phoneticPr fontId="20"/>
  </si>
  <si>
    <t>kg-CO2/kWh</t>
  </si>
  <si>
    <t>kg-CO2/MJ</t>
  </si>
  <si>
    <t>都市ガス</t>
    <rPh sb="0" eb="2">
      <t>トシ</t>
    </rPh>
    <phoneticPr fontId="28"/>
  </si>
  <si>
    <t>DHC</t>
  </si>
  <si>
    <t>灯油</t>
    <rPh sb="0" eb="2">
      <t>トウユ</t>
    </rPh>
    <phoneticPr fontId="28"/>
  </si>
  <si>
    <t>Ａ重油</t>
  </si>
  <si>
    <t>その他</t>
    <rPh sb="2" eb="3">
      <t>タ</t>
    </rPh>
    <phoneticPr fontId="28"/>
  </si>
  <si>
    <t>(灯油＋A重油の平均値）</t>
    <rPh sb="1" eb="3">
      <t>トウユ</t>
    </rPh>
    <rPh sb="5" eb="7">
      <t>ジュウユ</t>
    </rPh>
    <rPh sb="8" eb="11">
      <t>ヘイキンチ</t>
    </rPh>
    <phoneticPr fontId="28"/>
  </si>
  <si>
    <t>用途別排出原単位</t>
    <rPh sb="0" eb="2">
      <t>ヨウト</t>
    </rPh>
    <rPh sb="2" eb="3">
      <t>ベツ</t>
    </rPh>
    <rPh sb="3" eb="5">
      <t>ハイシュツ</t>
    </rPh>
    <rPh sb="5" eb="8">
      <t>ゲンタンイ</t>
    </rPh>
    <phoneticPr fontId="20"/>
  </si>
  <si>
    <t>ガス</t>
  </si>
  <si>
    <t>d. LCCO2算定条件</t>
    <rPh sb="8" eb="10">
      <t>サンテイ</t>
    </rPh>
    <rPh sb="10" eb="12">
      <t>ジョウケン</t>
    </rPh>
    <phoneticPr fontId="20"/>
  </si>
  <si>
    <t>躯体・基礎の寿命（年）</t>
    <rPh sb="0" eb="2">
      <t>クタイ</t>
    </rPh>
    <rPh sb="3" eb="5">
      <t>キソ</t>
    </rPh>
    <rPh sb="6" eb="8">
      <t>ジュミョウ</t>
    </rPh>
    <rPh sb="9" eb="10">
      <t>ネン</t>
    </rPh>
    <phoneticPr fontId="20"/>
  </si>
  <si>
    <t>Q2/2.2.1 躯体材料</t>
    <rPh sb="9" eb="11">
      <t>クタイ</t>
    </rPh>
    <rPh sb="11" eb="13">
      <t>ザイリョウ</t>
    </rPh>
    <phoneticPr fontId="20"/>
  </si>
  <si>
    <t>レベル3</t>
    <phoneticPr fontId="20"/>
  </si>
  <si>
    <t>レベル4</t>
    <phoneticPr fontId="20"/>
  </si>
  <si>
    <t>レベル5</t>
    <phoneticPr fontId="20"/>
  </si>
  <si>
    <t>事務所</t>
    <phoneticPr fontId="20"/>
  </si>
  <si>
    <t>再利用なし</t>
    <rPh sb="0" eb="3">
      <t>サイリヨウ</t>
    </rPh>
    <phoneticPr fontId="20"/>
  </si>
  <si>
    <t>既存躯体100％</t>
    <rPh sb="0" eb="2">
      <t>キソン</t>
    </rPh>
    <rPh sb="2" eb="4">
      <t>クタイ</t>
    </rPh>
    <phoneticPr fontId="20"/>
  </si>
  <si>
    <t>高炉ｾﾒﾝﾄ100%</t>
    <rPh sb="0" eb="2">
      <t>コウロ</t>
    </rPh>
    <phoneticPr fontId="20"/>
  </si>
  <si>
    <t>更新周期(年）</t>
    <rPh sb="0" eb="2">
      <t>コウシン</t>
    </rPh>
    <rPh sb="2" eb="4">
      <t>シュウキ</t>
    </rPh>
    <rPh sb="5" eb="6">
      <t>ネン</t>
    </rPh>
    <phoneticPr fontId="20"/>
  </si>
  <si>
    <t>平均修繕率</t>
    <rPh sb="0" eb="2">
      <t>ヘイキン</t>
    </rPh>
    <rPh sb="2" eb="4">
      <t>シュウゼン</t>
    </rPh>
    <rPh sb="4" eb="5">
      <t>リツ</t>
    </rPh>
    <phoneticPr fontId="20"/>
  </si>
  <si>
    <t>/年</t>
    <rPh sb="1" eb="2">
      <t>ネン</t>
    </rPh>
    <phoneticPr fontId="20"/>
  </si>
  <si>
    <t>重み係数</t>
    <rPh sb="0" eb="1">
      <t>オモ</t>
    </rPh>
    <rPh sb="2" eb="4">
      <t>ケイスウ</t>
    </rPh>
    <phoneticPr fontId="20"/>
  </si>
  <si>
    <t>重み係数（既定）</t>
    <rPh sb="0" eb="1">
      <t>オモ</t>
    </rPh>
    <rPh sb="2" eb="4">
      <t>ケイスウ</t>
    </rPh>
    <rPh sb="5" eb="7">
      <t>キテイ</t>
    </rPh>
    <phoneticPr fontId="20"/>
  </si>
  <si>
    <t>既存建物</t>
    <rPh sb="0" eb="2">
      <t>キソン</t>
    </rPh>
    <rPh sb="2" eb="4">
      <t>タテモノ</t>
    </rPh>
    <phoneticPr fontId="20"/>
  </si>
  <si>
    <t>既定重み</t>
    <rPh sb="0" eb="2">
      <t>キテイ</t>
    </rPh>
    <rPh sb="2" eb="3">
      <t>オモ</t>
    </rPh>
    <phoneticPr fontId="20"/>
  </si>
  <si>
    <t>建物全体・共用部</t>
    <rPh sb="0" eb="2">
      <t>タテモノ</t>
    </rPh>
    <rPh sb="2" eb="4">
      <t>ゼンタイ</t>
    </rPh>
    <rPh sb="5" eb="7">
      <t>キョウヨウ</t>
    </rPh>
    <rPh sb="7" eb="8">
      <t>ブ</t>
    </rPh>
    <phoneticPr fontId="20"/>
  </si>
  <si>
    <t>住居・宿泊部</t>
    <rPh sb="0" eb="2">
      <t>ジュウキョ</t>
    </rPh>
    <rPh sb="3" eb="5">
      <t>シュクハク</t>
    </rPh>
    <rPh sb="5" eb="6">
      <t>ブ</t>
    </rPh>
    <phoneticPr fontId="20"/>
  </si>
  <si>
    <t>全体・共有</t>
    <rPh sb="0" eb="2">
      <t>ゼンタイ</t>
    </rPh>
    <rPh sb="3" eb="5">
      <t>キョウユウ</t>
    </rPh>
    <phoneticPr fontId="20"/>
  </si>
  <si>
    <t>住居・宿泊</t>
    <rPh sb="0" eb="2">
      <t>ジュウキョ</t>
    </rPh>
    <rPh sb="3" eb="5">
      <t>シュクハク</t>
    </rPh>
    <phoneticPr fontId="20"/>
  </si>
  <si>
    <t>病院o</t>
  </si>
  <si>
    <t>ホテルo</t>
  </si>
  <si>
    <t>集合住宅o</t>
  </si>
  <si>
    <t>延面積</t>
    <rPh sb="0" eb="1">
      <t>ノ</t>
    </rPh>
    <rPh sb="1" eb="3">
      <t>メンセキ</t>
    </rPh>
    <phoneticPr fontId="20"/>
  </si>
  <si>
    <t>Q</t>
    <phoneticPr fontId="20"/>
  </si>
  <si>
    <t>建築物の環境品質</t>
    <rPh sb="0" eb="3">
      <t>ケンチクブツ</t>
    </rPh>
    <rPh sb="4" eb="6">
      <t>カンキョウ</t>
    </rPh>
    <rPh sb="6" eb="8">
      <t>ヒンシツ</t>
    </rPh>
    <phoneticPr fontId="20"/>
  </si>
  <si>
    <t xml:space="preserve"> Q</t>
  </si>
  <si>
    <t xml:space="preserve"> Q1</t>
  </si>
  <si>
    <t xml:space="preserve"> Q1 1</t>
  </si>
  <si>
    <t>1.1.1</t>
  </si>
  <si>
    <t xml:space="preserve"> Q1 1.1</t>
  </si>
  <si>
    <t>1.1.2</t>
  </si>
  <si>
    <t xml:space="preserve"> Q1 1.2</t>
  </si>
  <si>
    <t xml:space="preserve"> Q1 2</t>
  </si>
  <si>
    <t xml:space="preserve"> Q1 2.1</t>
  </si>
  <si>
    <t>2.1.2</t>
  </si>
  <si>
    <t>負荷変動・追従制御性</t>
  </si>
  <si>
    <t>2.1.3</t>
  </si>
  <si>
    <t>外皮性能</t>
  </si>
  <si>
    <t>2.1.4</t>
  </si>
  <si>
    <t>ゾーン別制御性</t>
  </si>
  <si>
    <t>2.1.5</t>
  </si>
  <si>
    <t>温度・湿度制御</t>
  </si>
  <si>
    <t>2.1.6</t>
  </si>
  <si>
    <t>個別制御</t>
  </si>
  <si>
    <t>2.1.7</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</si>
  <si>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</si>
  <si>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</si>
  <si>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</si>
  <si>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</si>
  <si>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</si>
  <si>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</si>
  <si>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</si>
  <si>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</si>
  <si>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</si>
  <si>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</si>
  <si>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</si>
  <si>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 xml:space="preserve"> Q1 3.3</t>
  </si>
  <si>
    <t xml:space="preserve"> Q1 4</t>
  </si>
  <si>
    <t xml:space="preserve"> Q1 4.1</t>
  </si>
  <si>
    <t xml:space="preserve"> 化学汚染物質</t>
  </si>
  <si>
    <t>木造</t>
    <rPh sb="0" eb="2">
      <t>モクゾウ</t>
    </rPh>
    <phoneticPr fontId="20"/>
  </si>
  <si>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</si>
  <si>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</si>
  <si>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</si>
  <si>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</si>
  <si>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</si>
  <si>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</si>
  <si>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</si>
  <si>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</si>
  <si>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</si>
  <si>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 xml:space="preserve"> Q2 1.1</t>
  </si>
  <si>
    <t>広さ・収納性</t>
  </si>
  <si>
    <t>バリアフリー計画</t>
  </si>
  <si>
    <t xml:space="preserve"> Q2 1.2</t>
  </si>
  <si>
    <t>広さ感・景観</t>
  </si>
  <si>
    <t>リフレッシュスペース</t>
  </si>
  <si>
    <t>内装計画</t>
  </si>
  <si>
    <t>維持管理</t>
    <rPh sb="0" eb="2">
      <t>イジ</t>
    </rPh>
    <rPh sb="2" eb="4">
      <t>カンリ</t>
    </rPh>
    <phoneticPr fontId="20"/>
  </si>
  <si>
    <t>1.3.1</t>
  </si>
  <si>
    <t xml:space="preserve"> Q2 1.3</t>
  </si>
  <si>
    <t>1.3.2</t>
  </si>
  <si>
    <t>1.3.3</t>
  </si>
  <si>
    <t xml:space="preserve"> Q2 2</t>
  </si>
  <si>
    <t xml:space="preserve"> Q2 2.1</t>
  </si>
  <si>
    <t>耐震性</t>
  </si>
  <si>
    <t xml:space="preserve"> Q2 2.2</t>
  </si>
  <si>
    <t>外壁仕上げ材の補修必要間隔</t>
  </si>
  <si>
    <t>主要内装仕上げ材の更新必要間隔</t>
  </si>
  <si>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0"/>
  </si>
  <si>
    <r>
      <t>2-3</t>
    </r>
    <r>
      <rPr>
        <b/>
        <sz val="12"/>
        <color indexed="9"/>
        <rFont val="ＭＳ Ｐゴシック"/>
        <family val="3"/>
        <charset val="128"/>
      </rPr>
      <t>　大項目の評価（ﾚｰﾀﾞｰﾁｬｰﾄ）</t>
    </r>
    <rPh sb="4" eb="7">
      <t>ダイコウモク</t>
    </rPh>
    <rPh sb="8" eb="10">
      <t>ヒョウカ</t>
    </rPh>
    <phoneticPr fontId="20"/>
  </si>
  <si>
    <t>空調換気ダクトの更新必要間隔</t>
    <rPh sb="0" eb="2">
      <t>クウチョウ</t>
    </rPh>
    <rPh sb="2" eb="4">
      <t>カンキ</t>
    </rPh>
    <phoneticPr fontId="20"/>
  </si>
  <si>
    <t>空調・給排水配管の更新必要間隔</t>
    <rPh sb="0" eb="2">
      <t>クウチョウ</t>
    </rPh>
    <rPh sb="3" eb="4">
      <t>キュウ</t>
    </rPh>
    <rPh sb="4" eb="6">
      <t>ハイスイ</t>
    </rPh>
    <rPh sb="6" eb="8">
      <t>ハイカン</t>
    </rPh>
    <phoneticPr fontId="20"/>
  </si>
  <si>
    <t>主要設備機器の更新必要間隔</t>
  </si>
  <si>
    <t xml:space="preserve"> Q2 2.3</t>
  </si>
  <si>
    <t xml:space="preserve"> Q2 2.4</t>
  </si>
  <si>
    <t>空調・換気設備</t>
  </si>
  <si>
    <t>2.4.2</t>
  </si>
  <si>
    <t>給排水・衛生設備</t>
  </si>
  <si>
    <t>2.4.3</t>
  </si>
  <si>
    <t>電気設備</t>
  </si>
  <si>
    <t>2.4.4</t>
  </si>
  <si>
    <t>機械・配管支持方法</t>
  </si>
  <si>
    <t>2.4.5</t>
  </si>
  <si>
    <t>通信・情報設備</t>
  </si>
  <si>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</si>
  <si>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</si>
  <si>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</si>
  <si>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</si>
  <si>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</si>
  <si>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</si>
  <si>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</si>
  <si>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</si>
  <si>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</si>
  <si>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</si>
  <si>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</si>
  <si>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</si>
  <si>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 xml:space="preserve"> Q3 3</t>
  </si>
  <si>
    <t>LR</t>
  </si>
  <si>
    <t>LR1</t>
  </si>
  <si>
    <t>LR1 2</t>
  </si>
  <si>
    <t>給湯設備</t>
  </si>
  <si>
    <t>LR1 4</t>
  </si>
  <si>
    <t>LR2</t>
  </si>
  <si>
    <t>LR2 1</t>
  </si>
  <si>
    <t>LR2 1.2</t>
  </si>
  <si>
    <t>LR2 2</t>
  </si>
  <si>
    <t>LR2 3</t>
  </si>
  <si>
    <t>LR2 3.2</t>
  </si>
  <si>
    <t>3.2.3</t>
  </si>
  <si>
    <t>冷媒</t>
  </si>
  <si>
    <t>LR3</t>
  </si>
  <si>
    <t>LR3 2</t>
  </si>
  <si>
    <t>LR3 2.3</t>
  </si>
  <si>
    <t>LR3 3</t>
  </si>
  <si>
    <t>LR3 3.1</t>
  </si>
  <si>
    <t>LR3 3.2</t>
  </si>
  <si>
    <t>LR3 3.3</t>
  </si>
  <si>
    <t>補正後</t>
    <rPh sb="0" eb="2">
      <t>ホセイ</t>
    </rPh>
    <rPh sb="2" eb="3">
      <t>ゴ</t>
    </rPh>
    <phoneticPr fontId="20"/>
  </si>
  <si>
    <t>補正前計</t>
    <rPh sb="0" eb="2">
      <t>ホセイ</t>
    </rPh>
    <rPh sb="2" eb="3">
      <t>マエ</t>
    </rPh>
    <rPh sb="3" eb="4">
      <t>ケイ</t>
    </rPh>
    <phoneticPr fontId="20"/>
  </si>
  <si>
    <t>補正前</t>
    <rPh sb="0" eb="2">
      <t>ホセイ</t>
    </rPh>
    <rPh sb="2" eb="3">
      <t>マエ</t>
    </rPh>
    <phoneticPr fontId="20"/>
  </si>
  <si>
    <t>対象外の選択</t>
    <rPh sb="0" eb="3">
      <t>タイショウガイ</t>
    </rPh>
    <rPh sb="4" eb="6">
      <t>センタク</t>
    </rPh>
    <phoneticPr fontId="20"/>
  </si>
  <si>
    <t>項目ごと既定重み</t>
  </si>
  <si>
    <t>全体・共有</t>
  </si>
  <si>
    <t>住居・宿泊</t>
  </si>
  <si>
    <t>重み係数</t>
  </si>
  <si>
    <t>既定重み</t>
  </si>
  <si>
    <t>延面積比率</t>
  </si>
  <si>
    <t>Q</t>
  </si>
  <si>
    <t>建築物の環境品質</t>
    <phoneticPr fontId="20"/>
  </si>
  <si>
    <t>重み係数（既定）</t>
  </si>
  <si>
    <t>１．基本設計</t>
    <rPh sb="2" eb="4">
      <t>キホン</t>
    </rPh>
    <rPh sb="4" eb="6">
      <t>セッケイ</t>
    </rPh>
    <phoneticPr fontId="20"/>
  </si>
  <si>
    <t>２．実施・竣工段階</t>
    <rPh sb="2" eb="4">
      <t>ジッシ</t>
    </rPh>
    <rPh sb="5" eb="7">
      <t>シュンコウ</t>
    </rPh>
    <rPh sb="7" eb="9">
      <t>ダンカイ</t>
    </rPh>
    <phoneticPr fontId="20"/>
  </si>
  <si>
    <t>補正後</t>
  </si>
  <si>
    <t>補正前計</t>
  </si>
  <si>
    <t>対象外の選択</t>
  </si>
  <si>
    <t>合成重み</t>
  </si>
  <si>
    <t>建物全体・共用部</t>
  </si>
  <si>
    <t>住居・宿泊部</t>
  </si>
  <si>
    <t>項目</t>
  </si>
  <si>
    <t>項目名</t>
  </si>
  <si>
    <t>延面積</t>
  </si>
  <si>
    <t>住居宿泊・共用部面積比率</t>
  </si>
  <si>
    <t>建築物の環境品質</t>
  </si>
  <si>
    <t>設備騒音対策</t>
  </si>
  <si>
    <t>遮音</t>
    <rPh sb="0" eb="2">
      <t>シャオン</t>
    </rPh>
    <phoneticPr fontId="20"/>
  </si>
  <si>
    <t>室温設定</t>
  </si>
  <si>
    <t>機能性・使いやすさ</t>
    <rPh sb="0" eb="3">
      <t>キノウセイ</t>
    </rPh>
    <rPh sb="4" eb="5">
      <t>ヅカ</t>
    </rPh>
    <phoneticPr fontId="20"/>
  </si>
  <si>
    <t>維持管理用機能の確保</t>
    <rPh sb="0" eb="2">
      <t>イジ</t>
    </rPh>
    <rPh sb="2" eb="5">
      <t>カンリヨウ</t>
    </rPh>
    <rPh sb="5" eb="7">
      <t>キノウ</t>
    </rPh>
    <rPh sb="8" eb="10">
      <t>カクホ</t>
    </rPh>
    <phoneticPr fontId="20"/>
  </si>
  <si>
    <t>耐用性・信頼性</t>
    <rPh sb="4" eb="6">
      <t>シンライ</t>
    </rPh>
    <rPh sb="6" eb="7">
      <t>セイ</t>
    </rPh>
    <phoneticPr fontId="20"/>
  </si>
  <si>
    <t>免震・制振性能</t>
    <rPh sb="5" eb="7">
      <t>セイノウ</t>
    </rPh>
    <phoneticPr fontId="20"/>
  </si>
  <si>
    <t>適切な更新</t>
    <rPh sb="0" eb="2">
      <t>テキセツ</t>
    </rPh>
    <rPh sb="3" eb="5">
      <t>コウシン</t>
    </rPh>
    <phoneticPr fontId="20"/>
  </si>
  <si>
    <t>屋上（屋根）・外壁仕上げ材の更新</t>
    <rPh sb="0" eb="2">
      <t>オクジョウ</t>
    </rPh>
    <rPh sb="3" eb="5">
      <t>ヤネ</t>
    </rPh>
    <rPh sb="7" eb="9">
      <t>ガイヘキ</t>
    </rPh>
    <rPh sb="9" eb="11">
      <t>シア</t>
    </rPh>
    <rPh sb="12" eb="13">
      <t>ザイ</t>
    </rPh>
    <rPh sb="14" eb="16">
      <t>コウシン</t>
    </rPh>
    <phoneticPr fontId="20"/>
  </si>
  <si>
    <t>配管・配線材の更新</t>
    <rPh sb="0" eb="2">
      <t>ハイカン</t>
    </rPh>
    <rPh sb="3" eb="5">
      <t>ハイセン</t>
    </rPh>
    <rPh sb="5" eb="6">
      <t>ザイ</t>
    </rPh>
    <rPh sb="7" eb="9">
      <t>コウシン</t>
    </rPh>
    <phoneticPr fontId="20"/>
  </si>
  <si>
    <t>主要設備機器の更新</t>
    <rPh sb="0" eb="2">
      <t>シュヨウ</t>
    </rPh>
    <rPh sb="2" eb="4">
      <t>セツビ</t>
    </rPh>
    <rPh sb="4" eb="6">
      <t>キキ</t>
    </rPh>
    <rPh sb="7" eb="9">
      <t>コウシン</t>
    </rPh>
    <phoneticPr fontId="20"/>
  </si>
  <si>
    <t xml:space="preserve"> </t>
  </si>
  <si>
    <t>建築物の環境負荷低減性</t>
    <rPh sb="0" eb="3">
      <t>ケンチクブツ</t>
    </rPh>
    <rPh sb="4" eb="6">
      <t>カンキョウ</t>
    </rPh>
    <rPh sb="6" eb="8">
      <t>フカ</t>
    </rPh>
    <rPh sb="8" eb="10">
      <t>テイゲン</t>
    </rPh>
    <rPh sb="10" eb="11">
      <t>セイ</t>
    </rPh>
    <phoneticPr fontId="20"/>
  </si>
  <si>
    <t>EB</t>
    <phoneticPr fontId="20"/>
  </si>
  <si>
    <t>NC</t>
    <phoneticPr fontId="20"/>
  </si>
  <si>
    <t>LR3</t>
    <phoneticPr fontId="30" type="noConversion"/>
  </si>
  <si>
    <t>敷地外環境</t>
    <phoneticPr fontId="20"/>
  </si>
  <si>
    <t>環境配慮設計の概要記入欄</t>
    <phoneticPr fontId="20"/>
  </si>
  <si>
    <t>←</t>
    <phoneticPr fontId="20"/>
  </si>
  <si>
    <t>SQ</t>
    <phoneticPr fontId="20"/>
  </si>
  <si>
    <t>background</t>
    <phoneticPr fontId="20"/>
  </si>
  <si>
    <t>Score(RoundDown)</t>
    <phoneticPr fontId="20"/>
  </si>
  <si>
    <t>std</t>
    <phoneticPr fontId="20"/>
  </si>
  <si>
    <t>SLR</t>
    <phoneticPr fontId="20"/>
  </si>
  <si>
    <t>Q2</t>
    <phoneticPr fontId="20"/>
  </si>
  <si>
    <t>Q2 サービス性能</t>
    <phoneticPr fontId="20"/>
  </si>
  <si>
    <t>気候区分</t>
    <phoneticPr fontId="20"/>
  </si>
  <si>
    <t>％</t>
    <phoneticPr fontId="20"/>
  </si>
  <si>
    <t>Sum</t>
    <phoneticPr fontId="20"/>
  </si>
  <si>
    <t>Ref</t>
    <phoneticPr fontId="20"/>
  </si>
  <si>
    <t>NA</t>
    <phoneticPr fontId="20"/>
  </si>
  <si>
    <t>←</t>
    <phoneticPr fontId="20"/>
  </si>
  <si>
    <t>→</t>
    <phoneticPr fontId="20"/>
  </si>
  <si>
    <t>Rank(red star)</t>
    <phoneticPr fontId="20"/>
  </si>
  <si>
    <r>
      <t>　　BEE</t>
    </r>
    <r>
      <rPr>
        <b/>
        <vertAlign val="subscript"/>
        <sz val="13"/>
        <rFont val="ＭＳ Ｐゴシック"/>
        <family val="3"/>
        <charset val="128"/>
      </rPr>
      <t>ES</t>
    </r>
    <phoneticPr fontId="20"/>
  </si>
  <si>
    <t>＝</t>
    <phoneticPr fontId="20"/>
  </si>
  <si>
    <r>
      <t>省エネ改修評価における建築物の環境品質　</t>
    </r>
    <r>
      <rPr>
        <b/>
        <sz val="10"/>
        <rFont val="Arial"/>
        <family val="2"/>
      </rPr>
      <t>Q</t>
    </r>
    <r>
      <rPr>
        <b/>
        <vertAlign val="subscript"/>
        <sz val="10"/>
        <rFont val="Arial"/>
        <family val="2"/>
      </rPr>
      <t>ES</t>
    </r>
    <phoneticPr fontId="20"/>
  </si>
  <si>
    <t>↑</t>
    <phoneticPr fontId="20"/>
  </si>
  <si>
    <t>修繕・更新・</t>
    <phoneticPr fontId="20"/>
  </si>
  <si>
    <t>○○</t>
    <phoneticPr fontId="20"/>
  </si>
  <si>
    <t>Subjest2</t>
    <phoneticPr fontId="20"/>
  </si>
  <si>
    <t>Subjest3</t>
    <phoneticPr fontId="20"/>
  </si>
  <si>
    <t>Subjest1</t>
    <phoneticPr fontId="20"/>
  </si>
  <si>
    <t>オンサイト</t>
    <phoneticPr fontId="20"/>
  </si>
  <si>
    <t>オフサイト</t>
    <phoneticPr fontId="20"/>
  </si>
  <si>
    <t>項目名</t>
    <rPh sb="0" eb="2">
      <t>コウモク</t>
    </rPh>
    <rPh sb="2" eb="3">
      <t>メイ</t>
    </rPh>
    <phoneticPr fontId="20"/>
  </si>
  <si>
    <t>①用途別延床面積　注1)</t>
    <rPh sb="1" eb="3">
      <t>ヨウト</t>
    </rPh>
    <rPh sb="3" eb="4">
      <t>ベツ</t>
    </rPh>
    <rPh sb="4" eb="5">
      <t>ノ</t>
    </rPh>
    <rPh sb="5" eb="6">
      <t>ユカ</t>
    </rPh>
    <rPh sb="6" eb="8">
      <t>メンセキ</t>
    </rPh>
    <rPh sb="9" eb="10">
      <t>チュウ</t>
    </rPh>
    <phoneticPr fontId="20"/>
  </si>
  <si>
    <t>バージョン</t>
    <phoneticPr fontId="20"/>
  </si>
  <si>
    <t>■使用評価マニュアル：</t>
    <rPh sb="1" eb="3">
      <t>シヨウ</t>
    </rPh>
    <rPh sb="3" eb="5">
      <t>ヒョウカ</t>
    </rPh>
    <phoneticPr fontId="20"/>
  </si>
  <si>
    <t>1）概要入力</t>
    <rPh sb="2" eb="4">
      <t>ガイヨウ</t>
    </rPh>
    <rPh sb="4" eb="6">
      <t>ニュウリョク</t>
    </rPh>
    <phoneticPr fontId="20"/>
  </si>
  <si>
    <t>① 建物概要</t>
    <rPh sb="2" eb="4">
      <t>ﾀﾃﾓﾉ</t>
    </rPh>
    <rPh sb="4" eb="6">
      <t>ｶﾞｲﾖｳ</t>
    </rPh>
    <phoneticPr fontId="30" type="noConversion"/>
  </si>
  <si>
    <t>改修前</t>
    <rPh sb="0" eb="2">
      <t>カイシュウ</t>
    </rPh>
    <rPh sb="2" eb="3">
      <t>マエ</t>
    </rPh>
    <phoneticPr fontId="20"/>
  </si>
  <si>
    <t>改修後</t>
    <rPh sb="0" eb="2">
      <t>カイシュウ</t>
    </rPh>
    <rPh sb="2" eb="3">
      <t>ゴ</t>
    </rPh>
    <phoneticPr fontId="20"/>
  </si>
  <si>
    <t>地域区分Ⅱ</t>
  </si>
  <si>
    <t>■建物名称</t>
    <rPh sb="1" eb="3">
      <t>ﾀﾃﾓﾉ</t>
    </rPh>
    <rPh sb="3" eb="5">
      <t>ﾒｲｼｮｳ</t>
    </rPh>
    <phoneticPr fontId="30" type="noConversion"/>
  </si>
  <si>
    <t>地域区分Ⅲ</t>
  </si>
  <si>
    <t>■建設地</t>
    <rPh sb="1" eb="4">
      <t>ｹﾝｾﾂﾁ</t>
    </rPh>
    <phoneticPr fontId="30" type="noConversion"/>
  </si>
  <si>
    <t>地域区分Ⅳ</t>
  </si>
  <si>
    <t>■気候区分</t>
    <rPh sb="1" eb="3">
      <t>ｷｺｳ</t>
    </rPh>
    <rPh sb="3" eb="5">
      <t>ｸﾌﾞﾝ</t>
    </rPh>
    <phoneticPr fontId="30" type="noConversion"/>
  </si>
  <si>
    <t>地域区分Ⅴ</t>
  </si>
  <si>
    <t>■地域・地区</t>
    <rPh sb="1" eb="3">
      <t>ﾁｲｷ</t>
    </rPh>
    <rPh sb="4" eb="6">
      <t>ﾁｸ</t>
    </rPh>
    <phoneticPr fontId="30" type="noConversion"/>
  </si>
  <si>
    <t>地域区分Ⅵ</t>
  </si>
  <si>
    <t>■新築時の竣工年</t>
    <rPh sb="1" eb="3">
      <t>ｼﾝﾁｸ</t>
    </rPh>
    <rPh sb="3" eb="4">
      <t>ｼﾞ</t>
    </rPh>
    <rPh sb="5" eb="7">
      <t>ｼｭﾝｺｳ</t>
    </rPh>
    <rPh sb="7" eb="8">
      <t>ﾈﾝ</t>
    </rPh>
    <phoneticPr fontId="30" type="noConversion"/>
  </si>
  <si>
    <t>■改修竣工年</t>
    <rPh sb="1" eb="3">
      <t>ｶｲｼｭｳ</t>
    </rPh>
    <rPh sb="3" eb="5">
      <t>ｼｭﾝｺｳ</t>
    </rPh>
    <rPh sb="5" eb="6">
      <t>ﾈﾝ</t>
    </rPh>
    <phoneticPr fontId="30" type="noConversion"/>
  </si>
  <si>
    <t xml:space="preserve"> (予定/竣工)</t>
    <phoneticPr fontId="30" type="noConversion"/>
  </si>
  <si>
    <t>■敷地面積</t>
    <rPh sb="1" eb="3">
      <t>ｼｷﾁ</t>
    </rPh>
    <rPh sb="3" eb="5">
      <t>ﾒﾝｾｷ</t>
    </rPh>
    <phoneticPr fontId="30" type="noConversion"/>
  </si>
  <si>
    <t>㎡</t>
    <phoneticPr fontId="20"/>
  </si>
  <si>
    <t>■建築面積</t>
    <rPh sb="1" eb="3">
      <t>ｹﾝﾁｸ</t>
    </rPh>
    <rPh sb="3" eb="5">
      <t>ﾒﾝｾｷ</t>
    </rPh>
    <phoneticPr fontId="30" type="noConversion"/>
  </si>
  <si>
    <t>㎡</t>
  </si>
  <si>
    <t>㎡</t>
    <phoneticPr fontId="20"/>
  </si>
  <si>
    <t>■延床面積</t>
    <rPh sb="1" eb="2">
      <t>ﾉ</t>
    </rPh>
    <rPh sb="2" eb="5">
      <t>ﾕｶﾒﾝｾｷ</t>
    </rPh>
    <phoneticPr fontId="30" type="noConversion"/>
  </si>
  <si>
    <t>■建物用途名</t>
    <rPh sb="1" eb="3">
      <t>タテモノ</t>
    </rPh>
    <rPh sb="3" eb="5">
      <t>ヨウト</t>
    </rPh>
    <rPh sb="5" eb="6">
      <t>メイ</t>
    </rPh>
    <phoneticPr fontId="20"/>
  </si>
  <si>
    <t>○○</t>
    <phoneticPr fontId="20"/>
  </si>
  <si>
    <t>■階数</t>
    <rPh sb="1" eb="3">
      <t>カイスウ</t>
    </rPh>
    <phoneticPr fontId="20"/>
  </si>
  <si>
    <t>地上12F</t>
    <rPh sb="0" eb="2">
      <t>チジョウ</t>
    </rPh>
    <phoneticPr fontId="20"/>
  </si>
  <si>
    <t>■構造</t>
    <rPh sb="1" eb="3">
      <t>コウゾウ</t>
    </rPh>
    <phoneticPr fontId="20"/>
  </si>
  <si>
    <t>S造</t>
    <rPh sb="1" eb="2">
      <t>ゾウ</t>
    </rPh>
    <phoneticPr fontId="20"/>
  </si>
  <si>
    <t>RC造</t>
    <rPh sb="2" eb="3">
      <t>ゾウ</t>
    </rPh>
    <phoneticPr fontId="20"/>
  </si>
  <si>
    <t>SRC造</t>
    <rPh sb="3" eb="4">
      <t>ゾウ</t>
    </rPh>
    <phoneticPr fontId="20"/>
  </si>
  <si>
    <t>■平均居住人員</t>
    <rPh sb="1" eb="3">
      <t>ﾍｲｷﾝ</t>
    </rPh>
    <rPh sb="3" eb="5">
      <t>ｷｮｼﾞｭｳ</t>
    </rPh>
    <rPh sb="5" eb="7">
      <t>ｼﾞﾝｲﾝ</t>
    </rPh>
    <phoneticPr fontId="30" type="noConversion"/>
  </si>
  <si>
    <t>人（想定値）</t>
    <rPh sb="0" eb="1">
      <t>ニン</t>
    </rPh>
    <rPh sb="2" eb="4">
      <t>ソウテイ</t>
    </rPh>
    <rPh sb="4" eb="5">
      <t>アタイ</t>
    </rPh>
    <phoneticPr fontId="20"/>
  </si>
  <si>
    <t>■年間使用時間</t>
    <rPh sb="1" eb="3">
      <t>ﾈﾝｶﾝ</t>
    </rPh>
    <rPh sb="3" eb="5">
      <t>ｼﾖｳ</t>
    </rPh>
    <rPh sb="5" eb="7">
      <t>ｼﾞｶﾝ</t>
    </rPh>
    <phoneticPr fontId="30" type="noConversion"/>
  </si>
  <si>
    <t>時間/年（想定値）</t>
    <rPh sb="0" eb="2">
      <t>ジカン</t>
    </rPh>
    <rPh sb="3" eb="4">
      <t>ネン</t>
    </rPh>
    <phoneticPr fontId="20"/>
  </si>
  <si>
    <t>■経過年数</t>
    <rPh sb="1" eb="3">
      <t>ｹｲｶ</t>
    </rPh>
    <rPh sb="3" eb="5">
      <t>ﾈﾝｽｳ</t>
    </rPh>
    <phoneticPr fontId="30" type="noConversion"/>
  </si>
  <si>
    <t>年</t>
    <rPh sb="0" eb="1">
      <t>ﾈﾝ</t>
    </rPh>
    <phoneticPr fontId="30" type="noConversion"/>
  </si>
  <si>
    <t>■改修後の
　 使用想定年数</t>
    <rPh sb="1" eb="3">
      <t>ｶｲｼｭｳ</t>
    </rPh>
    <rPh sb="3" eb="4">
      <t>ｺﾞ</t>
    </rPh>
    <rPh sb="8" eb="10">
      <t>ｼﾖｳ</t>
    </rPh>
    <rPh sb="10" eb="12">
      <t>ｿｳﾃｲ</t>
    </rPh>
    <rPh sb="12" eb="14">
      <t>ﾈﾝｽｳ</t>
    </rPh>
    <phoneticPr fontId="30" type="noConversion"/>
  </si>
  <si>
    <t>■現在までの</t>
    <rPh sb="1" eb="3">
      <t>ｹﾞﾝｻﾞｲ</t>
    </rPh>
    <phoneticPr fontId="30" type="noConversion"/>
  </si>
  <si>
    <t>■改修目的</t>
    <rPh sb="1" eb="3">
      <t>ｶｲｼｭｳ</t>
    </rPh>
    <rPh sb="3" eb="5">
      <t>ﾓｸﾃｷ</t>
    </rPh>
    <phoneticPr fontId="30" type="noConversion"/>
  </si>
  <si>
    <t>　 主な改修履歴</t>
    <phoneticPr fontId="30" type="noConversion"/>
  </si>
  <si>
    <t>■改修対象項目</t>
    <rPh sb="1" eb="3">
      <t>ｶｲｼｭｳ</t>
    </rPh>
    <rPh sb="3" eb="5">
      <t>ﾀｲｼｮｳ</t>
    </rPh>
    <rPh sb="5" eb="7">
      <t>ｺｳﾓｸ</t>
    </rPh>
    <phoneticPr fontId="30" type="noConversion"/>
  </si>
  <si>
    <t>躯体</t>
    <rPh sb="0" eb="2">
      <t>ｸﾀｲ</t>
    </rPh>
    <phoneticPr fontId="30" type="noConversion"/>
  </si>
  <si>
    <t>外装</t>
    <rPh sb="0" eb="2">
      <t>ｶﾞｲｿｳ</t>
    </rPh>
    <phoneticPr fontId="30" type="noConversion"/>
  </si>
  <si>
    <t>内装</t>
    <rPh sb="0" eb="2">
      <t>ﾅｲｿｳ</t>
    </rPh>
    <phoneticPr fontId="30" type="noConversion"/>
  </si>
  <si>
    <t>設備</t>
    <rPh sb="0" eb="2">
      <t>ｾﾂﾋﾞ</t>
    </rPh>
    <phoneticPr fontId="30" type="noConversion"/>
  </si>
  <si>
    <t>■改修工事期間</t>
    <rPh sb="1" eb="3">
      <t>ｶｲｼｭｳ</t>
    </rPh>
    <rPh sb="3" eb="5">
      <t>ｺｳｼﾞ</t>
    </rPh>
    <rPh sb="5" eb="7">
      <t>ｷｶﾝ</t>
    </rPh>
    <phoneticPr fontId="30" type="noConversion"/>
  </si>
  <si>
    <t>② 評価の実施</t>
    <rPh sb="2" eb="4">
      <t>ヒョウカ</t>
    </rPh>
    <rPh sb="5" eb="7">
      <t>ジッシ</t>
    </rPh>
    <phoneticPr fontId="20"/>
  </si>
  <si>
    <r>
      <t xml:space="preserve">■ </t>
    </r>
    <r>
      <rPr>
        <sz val="9"/>
        <color indexed="8"/>
        <rFont val="ＭＳ Ｐゴシック"/>
        <family val="3"/>
        <charset val="128"/>
      </rPr>
      <t>評価の実施</t>
    </r>
    <rPh sb="2" eb="4">
      <t>ヒョウカ</t>
    </rPh>
    <rPh sb="5" eb="7">
      <t>ジッシ</t>
    </rPh>
    <phoneticPr fontId="20"/>
  </si>
  <si>
    <r>
      <t xml:space="preserve">■ </t>
    </r>
    <r>
      <rPr>
        <sz val="9"/>
        <color indexed="8"/>
        <rFont val="ＭＳ Ｐゴシック"/>
        <family val="3"/>
        <charset val="128"/>
      </rPr>
      <t>作成者</t>
    </r>
    <rPh sb="2" eb="5">
      <t>サクセイシャ</t>
    </rPh>
    <phoneticPr fontId="20"/>
  </si>
  <si>
    <r>
      <t xml:space="preserve">■ </t>
    </r>
    <r>
      <rPr>
        <sz val="9"/>
        <color indexed="8"/>
        <rFont val="ＭＳ Ｐゴシック"/>
        <family val="3"/>
        <charset val="128"/>
      </rPr>
      <t>確認日</t>
    </r>
    <rPh sb="2" eb="4">
      <t>カクニン</t>
    </rPh>
    <rPh sb="4" eb="5">
      <t>ビ</t>
    </rPh>
    <phoneticPr fontId="20"/>
  </si>
  <si>
    <r>
      <t xml:space="preserve">■ </t>
    </r>
    <r>
      <rPr>
        <sz val="9"/>
        <color indexed="8"/>
        <rFont val="ＭＳ Ｐゴシック"/>
        <family val="3"/>
        <charset val="128"/>
      </rPr>
      <t>確認者</t>
    </r>
    <rPh sb="2" eb="4">
      <t>カクニン</t>
    </rPh>
    <rPh sb="4" eb="5">
      <t>シャ</t>
    </rPh>
    <phoneticPr fontId="20"/>
  </si>
  <si>
    <r>
      <t>■</t>
    </r>
    <r>
      <rPr>
        <sz val="9"/>
        <color indexed="8"/>
        <rFont val="ＭＳ Ｐゴシック"/>
        <family val="3"/>
        <charset val="128"/>
      </rPr>
      <t>LCCO</t>
    </r>
    <r>
      <rPr>
        <vertAlign val="subscript"/>
        <sz val="9"/>
        <color indexed="8"/>
        <rFont val="ＭＳ Ｐゴシック"/>
        <family val="3"/>
        <charset val="128"/>
      </rPr>
      <t>2</t>
    </r>
    <r>
      <rPr>
        <sz val="9"/>
        <color indexed="8"/>
        <rFont val="ＭＳ Ｐゴシック"/>
        <family val="3"/>
        <charset val="128"/>
      </rPr>
      <t>の計算</t>
    </r>
    <rPh sb="7" eb="9">
      <t>ケイサン</t>
    </rPh>
    <phoneticPr fontId="20"/>
  </si>
  <si>
    <t>標準計算</t>
    <rPh sb="0" eb="2">
      <t>ヒョウジュン</t>
    </rPh>
    <rPh sb="2" eb="4">
      <t>ケイサン</t>
    </rPh>
    <phoneticPr fontId="20"/>
  </si>
  <si>
    <t>→LCCO2算定条件シート（標準計算）を入力</t>
    <rPh sb="6" eb="8">
      <t>サンテイ</t>
    </rPh>
    <rPh sb="8" eb="10">
      <t>ジョウケン</t>
    </rPh>
    <rPh sb="14" eb="16">
      <t>ヒョウジュン</t>
    </rPh>
    <rPh sb="16" eb="18">
      <t>ケイサン</t>
    </rPh>
    <rPh sb="20" eb="22">
      <t>ニュウリョク</t>
    </rPh>
    <phoneticPr fontId="20"/>
  </si>
  <si>
    <t>個別計算</t>
    <rPh sb="0" eb="2">
      <t>コベツ</t>
    </rPh>
    <rPh sb="2" eb="4">
      <t>ケイサン</t>
    </rPh>
    <phoneticPr fontId="20"/>
  </si>
  <si>
    <t>→LCCO2算定条件シート（個別計算）を入力</t>
    <rPh sb="6" eb="8">
      <t>サンテイ</t>
    </rPh>
    <rPh sb="8" eb="10">
      <t>ジョウケン</t>
    </rPh>
    <rPh sb="14" eb="16">
      <t>コベツ</t>
    </rPh>
    <rPh sb="16" eb="18">
      <t>ケイサン</t>
    </rPh>
    <rPh sb="20" eb="22">
      <t>ニュウリョク</t>
    </rPh>
    <phoneticPr fontId="20"/>
  </si>
  <si>
    <t>2) 個別用途入力</t>
    <rPh sb="3" eb="5">
      <t>コベツ</t>
    </rPh>
    <rPh sb="5" eb="7">
      <t>ヨウト</t>
    </rPh>
    <rPh sb="7" eb="9">
      <t>ニュウリョク</t>
    </rPh>
    <phoneticPr fontId="20"/>
  </si>
  <si>
    <t>before</t>
    <phoneticPr fontId="20"/>
  </si>
  <si>
    <r>
      <t>c</t>
    </r>
    <r>
      <rPr>
        <sz val="11"/>
        <rFont val="ＭＳ Ｐゴシック"/>
        <family val="3"/>
        <charset val="128"/>
      </rPr>
      <t>ommon</t>
    </r>
    <phoneticPr fontId="20"/>
  </si>
  <si>
    <t>Residential</t>
    <phoneticPr fontId="20"/>
  </si>
  <si>
    <t>after</t>
    <phoneticPr fontId="20"/>
  </si>
  <si>
    <t xml:space="preserve"> 事務所</t>
  </si>
  <si>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</si>
  <si>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</si>
  <si>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</si>
  <si>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</si>
  <si>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</si>
  <si>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</si>
  <si>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</si>
  <si>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0"/>
  </si>
  <si>
    <t>集会所</t>
    <rPh sb="2" eb="3">
      <t>ショ</t>
    </rPh>
    <phoneticPr fontId="20"/>
  </si>
  <si>
    <t xml:space="preserve"> 工場</t>
    <rPh sb="1" eb="3">
      <t>コウジョウ</t>
    </rPh>
    <phoneticPr fontId="20"/>
  </si>
  <si>
    <t>病院</t>
  </si>
  <si>
    <t xml:space="preserve"> 病院</t>
  </si>
  <si>
    <t>ホテル</t>
    <phoneticPr fontId="20"/>
  </si>
  <si>
    <t xml:space="preserve"> ホテル</t>
  </si>
  <si>
    <t>集合住宅</t>
  </si>
  <si>
    <t xml:space="preserve"> 集合住宅</t>
  </si>
  <si>
    <t>工場</t>
    <rPh sb="0" eb="2">
      <t>コウジョウ</t>
    </rPh>
    <phoneticPr fontId="20"/>
  </si>
  <si>
    <t>② 住居・宿泊部分の比率</t>
    <rPh sb="2" eb="4">
      <t>ジュウキョ</t>
    </rPh>
    <rPh sb="5" eb="7">
      <t>シュクハク</t>
    </rPh>
    <rPh sb="7" eb="9">
      <t>ブブン</t>
    </rPh>
    <rPh sb="10" eb="12">
      <t>ヒリツ</t>
    </rPh>
    <phoneticPr fontId="20"/>
  </si>
  <si>
    <t>合計</t>
    <rPh sb="0" eb="2">
      <t>ゴウケイ</t>
    </rPh>
    <phoneticPr fontId="20"/>
  </si>
  <si>
    <t>3）結果出力</t>
    <rPh sb="2" eb="4">
      <t>ケッカ</t>
    </rPh>
    <rPh sb="4" eb="6">
      <t>シュツリョク</t>
    </rPh>
    <phoneticPr fontId="20"/>
  </si>
  <si>
    <t>スコアシート</t>
    <phoneticPr fontId="20"/>
  </si>
  <si>
    <t>●スコア入力</t>
    <phoneticPr fontId="20"/>
  </si>
  <si>
    <t>●スコア表示</t>
    <phoneticPr fontId="20"/>
  </si>
  <si>
    <t>評価結果表示シート</t>
    <rPh sb="0" eb="2">
      <t>ヒョウカ</t>
    </rPh>
    <rPh sb="2" eb="4">
      <t>ケッカ</t>
    </rPh>
    <rPh sb="4" eb="6">
      <t>ヒョウジ</t>
    </rPh>
    <phoneticPr fontId="20"/>
  </si>
  <si>
    <t>●改修前の結果</t>
    <rPh sb="1" eb="3">
      <t>カイシュウ</t>
    </rPh>
    <rPh sb="3" eb="4">
      <t>マエ</t>
    </rPh>
    <rPh sb="5" eb="7">
      <t>ケッカ</t>
    </rPh>
    <phoneticPr fontId="20"/>
  </si>
  <si>
    <t>●改修後の結果</t>
    <rPh sb="1" eb="3">
      <t>カイシュウ</t>
    </rPh>
    <rPh sb="3" eb="4">
      <t>ゴ</t>
    </rPh>
    <rPh sb="5" eb="7">
      <t>ケッカ</t>
    </rPh>
    <phoneticPr fontId="20"/>
  </si>
  <si>
    <t>●改修前後の比較</t>
    <rPh sb="1" eb="3">
      <t>カイシュウ</t>
    </rPh>
    <rPh sb="3" eb="5">
      <t>ゼンゴ</t>
    </rPh>
    <rPh sb="6" eb="8">
      <t>ヒカク</t>
    </rPh>
    <phoneticPr fontId="20"/>
  </si>
  <si>
    <t>●LCCO2計算</t>
    <rPh sb="6" eb="8">
      <t>ケイサン</t>
    </rPh>
    <phoneticPr fontId="20"/>
  </si>
  <si>
    <t>LCCO2算定条件シート</t>
    <rPh sb="5" eb="7">
      <t>サンテイ</t>
    </rPh>
    <rPh sb="7" eb="9">
      <t>ジョウケン</t>
    </rPh>
    <phoneticPr fontId="20"/>
  </si>
  <si>
    <t>●標準計算</t>
    <rPh sb="1" eb="3">
      <t>ヒョウジュン</t>
    </rPh>
    <rPh sb="3" eb="5">
      <t>ケイサン</t>
    </rPh>
    <phoneticPr fontId="20"/>
  </si>
  <si>
    <t>●個別計算</t>
    <rPh sb="1" eb="3">
      <t>ｺﾍﾞﾂ</t>
    </rPh>
    <rPh sb="3" eb="5">
      <t>ｹｲｻﾝ</t>
    </rPh>
    <phoneticPr fontId="30" type="noConversion"/>
  </si>
  <si>
    <t>用途名</t>
    <rPh sb="0" eb="2">
      <t>ヨウト</t>
    </rPh>
    <rPh sb="2" eb="3">
      <t>メイ</t>
    </rPh>
    <phoneticPr fontId="20"/>
  </si>
  <si>
    <t xml:space="preserve"> 含まれる用途</t>
    <rPh sb="1" eb="2">
      <t>フク</t>
    </rPh>
    <rPh sb="5" eb="7">
      <t>ヨウト</t>
    </rPh>
    <phoneticPr fontId="20"/>
  </si>
  <si>
    <t xml:space="preserve"> 集合住宅（戸建は対象外）</t>
    <phoneticPr fontId="20"/>
  </si>
  <si>
    <t>■　環境設計の配慮事項</t>
    <rPh sb="2" eb="4">
      <t>カンキョウ</t>
    </rPh>
    <rPh sb="4" eb="6">
      <t>セッケイ</t>
    </rPh>
    <rPh sb="7" eb="9">
      <t>ハイリョ</t>
    </rPh>
    <rPh sb="9" eb="11">
      <t>ジコウ</t>
    </rPh>
    <phoneticPr fontId="20"/>
  </si>
  <si>
    <t>■作成日</t>
    <rPh sb="1" eb="4">
      <t>サクセイビ</t>
    </rPh>
    <phoneticPr fontId="20"/>
  </si>
  <si>
    <t>■建物用途</t>
    <rPh sb="1" eb="3">
      <t>ﾀﾃﾓﾉ</t>
    </rPh>
    <rPh sb="3" eb="5">
      <t>ﾖｳﾄ</t>
    </rPh>
    <phoneticPr fontId="30" type="noConversion"/>
  </si>
  <si>
    <t>■作成者</t>
    <rPh sb="1" eb="4">
      <t>サクセイシャ</t>
    </rPh>
    <phoneticPr fontId="20"/>
  </si>
  <si>
    <t>■改修目的</t>
    <rPh sb="1" eb="3">
      <t>カイシュウ</t>
    </rPh>
    <rPh sb="3" eb="5">
      <t>モクテキ</t>
    </rPh>
    <phoneticPr fontId="20"/>
  </si>
  <si>
    <t>計画上の配慮事項</t>
    <rPh sb="0" eb="2">
      <t>ケイカク</t>
    </rPh>
    <rPh sb="2" eb="3">
      <t>ジョウ</t>
    </rPh>
    <rPh sb="4" eb="6">
      <t>ハイリョ</t>
    </rPh>
    <rPh sb="6" eb="8">
      <t>ジコウ</t>
    </rPh>
    <phoneticPr fontId="20"/>
  </si>
  <si>
    <t>主な環境配慮の具体策</t>
    <rPh sb="0" eb="1">
      <t>オモ</t>
    </rPh>
    <rPh sb="2" eb="4">
      <t>カンキョウ</t>
    </rPh>
    <rPh sb="4" eb="6">
      <t>ハイリョ</t>
    </rPh>
    <rPh sb="7" eb="9">
      <t>グタイ</t>
    </rPh>
    <rPh sb="9" eb="10">
      <t>サク</t>
    </rPh>
    <phoneticPr fontId="20"/>
  </si>
  <si>
    <t>総合</t>
    <rPh sb="0" eb="2">
      <t>ソウゴウ</t>
    </rPh>
    <phoneticPr fontId="20"/>
  </si>
  <si>
    <t>Q1 
室内環境</t>
    <rPh sb="4" eb="6">
      <t>シツナイ</t>
    </rPh>
    <rPh sb="6" eb="8">
      <t>カンキョウ</t>
    </rPh>
    <phoneticPr fontId="20"/>
  </si>
  <si>
    <t>Q2 
サービス性能</t>
    <rPh sb="8" eb="10">
      <t>セイノウ</t>
    </rPh>
    <phoneticPr fontId="20"/>
  </si>
  <si>
    <t>Q3 
室外環境（敷地内）</t>
    <rPh sb="4" eb="6">
      <t>シツガイ</t>
    </rPh>
    <rPh sb="6" eb="8">
      <t>カンキョウ</t>
    </rPh>
    <rPh sb="9" eb="11">
      <t>シキチ</t>
    </rPh>
    <rPh sb="11" eb="12">
      <t>ナイ</t>
    </rPh>
    <phoneticPr fontId="20"/>
  </si>
  <si>
    <t>LR1 
エネルギー</t>
    <phoneticPr fontId="20"/>
  </si>
  <si>
    <r>
      <t xml:space="preserve"> </t>
    </r>
    <r>
      <rPr>
        <sz val="11"/>
        <rFont val="ＭＳ Ｐゴシック"/>
        <family val="3"/>
        <charset val="128"/>
      </rPr>
      <t>④上記</t>
    </r>
    <r>
      <rPr>
        <sz val="11"/>
        <rFont val="Arial"/>
        <family val="2"/>
      </rPr>
      <t xml:space="preserve">+
</t>
    </r>
    <r>
      <rPr>
        <sz val="11"/>
        <rFont val="ＭＳ Ｐゴシック"/>
        <family val="3"/>
        <charset val="128"/>
      </rPr>
      <t>　オフサイト手法
（改修前）
（改修後）</t>
    </r>
    <rPh sb="16" eb="18">
      <t>カイシュウ</t>
    </rPh>
    <rPh sb="18" eb="19">
      <t>マエ</t>
    </rPh>
    <rPh sb="22" eb="24">
      <t>カイシュウ</t>
    </rPh>
    <rPh sb="24" eb="25">
      <t>ゴ</t>
    </rPh>
    <phoneticPr fontId="20"/>
  </si>
  <si>
    <t>LR2 
資源・マテリアル</t>
    <rPh sb="5" eb="7">
      <t>シゲン</t>
    </rPh>
    <phoneticPr fontId="20"/>
  </si>
  <si>
    <t>LR3 
敷地外環境</t>
    <rPh sb="5" eb="7">
      <t>シキチ</t>
    </rPh>
    <rPh sb="7" eb="8">
      <t>ガイ</t>
    </rPh>
    <rPh sb="8" eb="10">
      <t>カンキョウ</t>
    </rPh>
    <phoneticPr fontId="20"/>
  </si>
  <si>
    <t>その他</t>
    <rPh sb="2" eb="3">
      <t>ホカ</t>
    </rPh>
    <phoneticPr fontId="20"/>
  </si>
  <si>
    <t>スコア入力シート</t>
    <rPh sb="3" eb="5">
      <t>ニュウリョク</t>
    </rPh>
    <phoneticPr fontId="20"/>
  </si>
  <si>
    <t>改修しない</t>
    <rPh sb="0" eb="2">
      <t>カイシュウ</t>
    </rPh>
    <phoneticPr fontId="20"/>
  </si>
  <si>
    <t>建物全体・共用部分</t>
    <rPh sb="0" eb="2">
      <t>タテモノ</t>
    </rPh>
    <rPh sb="2" eb="4">
      <t>ゼンタイ</t>
    </rPh>
    <rPh sb="5" eb="7">
      <t>キョウヨウ</t>
    </rPh>
    <rPh sb="7" eb="9">
      <t>ブブン</t>
    </rPh>
    <phoneticPr fontId="20"/>
  </si>
  <si>
    <t>住居・宿泊部分</t>
    <rPh sb="0" eb="2">
      <t>ジュウキョ</t>
    </rPh>
    <rPh sb="3" eb="5">
      <t>シュクハク</t>
    </rPh>
    <rPh sb="5" eb="7">
      <t>ブブン</t>
    </rPh>
    <phoneticPr fontId="20"/>
  </si>
  <si>
    <t>建物全体・共用</t>
    <phoneticPr fontId="20"/>
  </si>
  <si>
    <t>住居宿泊</t>
    <rPh sb="0" eb="2">
      <t>ジュウキョ</t>
    </rPh>
    <rPh sb="2" eb="4">
      <t>シュクハク</t>
    </rPh>
    <phoneticPr fontId="20"/>
  </si>
  <si>
    <t>参照する重み</t>
    <rPh sb="0" eb="2">
      <t>サンショウ</t>
    </rPh>
    <rPh sb="4" eb="5">
      <t>オモ</t>
    </rPh>
    <phoneticPr fontId="20"/>
  </si>
  <si>
    <t>参照する基準</t>
    <rPh sb="0" eb="2">
      <t>サンショウ</t>
    </rPh>
    <rPh sb="4" eb="6">
      <t>キジュン</t>
    </rPh>
    <phoneticPr fontId="20"/>
  </si>
  <si>
    <t>②改修前（ｵﾌﾟｼｮﾝ）</t>
    <rPh sb="1" eb="3">
      <t>カイシュウ</t>
    </rPh>
    <rPh sb="3" eb="4">
      <t>マエ</t>
    </rPh>
    <phoneticPr fontId="20"/>
  </si>
  <si>
    <t>③改修後</t>
    <rPh sb="1" eb="3">
      <t>カイシュウ</t>
    </rPh>
    <rPh sb="3" eb="4">
      <t>ゴ</t>
    </rPh>
    <phoneticPr fontId="20"/>
  </si>
  <si>
    <t>評価項目</t>
    <rPh sb="0" eb="2">
      <t>ヒョウカ</t>
    </rPh>
    <phoneticPr fontId="20"/>
  </si>
  <si>
    <t>[　] 内；CASBEE-既存の項目名</t>
    <rPh sb="4" eb="5">
      <t>ナイ</t>
    </rPh>
    <phoneticPr fontId="20"/>
  </si>
  <si>
    <t>内装</t>
    <rPh sb="0" eb="2">
      <t>ナイソウ</t>
    </rPh>
    <phoneticPr fontId="20"/>
  </si>
  <si>
    <t>外装</t>
    <rPh sb="0" eb="2">
      <t>ガイソウ</t>
    </rPh>
    <phoneticPr fontId="20"/>
  </si>
  <si>
    <t>改修対象外</t>
    <rPh sb="0" eb="2">
      <t>カイシュウ</t>
    </rPh>
    <rPh sb="2" eb="4">
      <t>タイショウ</t>
    </rPh>
    <rPh sb="4" eb="5">
      <t>ガイ</t>
    </rPh>
    <phoneticPr fontId="20"/>
  </si>
  <si>
    <t>改修
対象外</t>
    <rPh sb="0" eb="2">
      <t>カイシュウ</t>
    </rPh>
    <rPh sb="3" eb="5">
      <t>タイショウ</t>
    </rPh>
    <rPh sb="5" eb="6">
      <t>ガイ</t>
    </rPh>
    <phoneticPr fontId="20"/>
  </si>
  <si>
    <t>①改修対象外の選択</t>
    <rPh sb="7" eb="9">
      <t>センタク</t>
    </rPh>
    <phoneticPr fontId="20"/>
  </si>
  <si>
    <t>参照基準</t>
    <rPh sb="0" eb="2">
      <t>サンショウ</t>
    </rPh>
    <rPh sb="2" eb="4">
      <t>キジュン</t>
    </rPh>
    <phoneticPr fontId="20"/>
  </si>
  <si>
    <t>スコア</t>
    <phoneticPr fontId="20"/>
  </si>
  <si>
    <t>weight(set)
before</t>
    <phoneticPr fontId="20"/>
  </si>
  <si>
    <t>weight(set)
after</t>
    <phoneticPr fontId="20"/>
  </si>
  <si>
    <t>weight(corrected)before</t>
    <phoneticPr fontId="20"/>
  </si>
  <si>
    <t>weight(corrected)after</t>
    <phoneticPr fontId="20"/>
  </si>
  <si>
    <t>Ｑ　建築物の環境品質</t>
    <phoneticPr fontId="20"/>
  </si>
  <si>
    <t>Q1</t>
    <phoneticPr fontId="30" type="noConversion"/>
  </si>
  <si>
    <t>室内環境</t>
  </si>
  <si>
    <t>音環境</t>
    <rPh sb="0" eb="1">
      <t>ｵﾄ</t>
    </rPh>
    <rPh sb="1" eb="3">
      <t>ｶﾝｷｮｳ</t>
    </rPh>
    <phoneticPr fontId="30" type="noConversion"/>
  </si>
  <si>
    <t>EB</t>
    <phoneticPr fontId="20"/>
  </si>
  <si>
    <t>NC</t>
    <phoneticPr fontId="20"/>
  </si>
  <si>
    <t>騒音</t>
  </si>
  <si>
    <t>EB</t>
    <phoneticPr fontId="20"/>
  </si>
  <si>
    <t>NC</t>
    <phoneticPr fontId="20"/>
  </si>
  <si>
    <t>EB</t>
    <phoneticPr fontId="20"/>
  </si>
  <si>
    <t>NC</t>
  </si>
  <si>
    <t>遮音</t>
  </si>
  <si>
    <t>NC</t>
    <phoneticPr fontId="20"/>
  </si>
  <si>
    <t>開口部遮音性能</t>
    <phoneticPr fontId="20"/>
  </si>
  <si>
    <t>界壁遮音性能</t>
  </si>
  <si>
    <t>界床遮音性能（軽量衝撃源）</t>
  </si>
  <si>
    <t>界床遮音性能（重量衝撃源）</t>
  </si>
  <si>
    <t>吸音</t>
  </si>
  <si>
    <t>温熱環境</t>
    <rPh sb="0" eb="2">
      <t>ｵﾝﾈﾂ</t>
    </rPh>
    <rPh sb="2" eb="4">
      <t>ｶﾝｷｮｳ</t>
    </rPh>
    <phoneticPr fontId="30" type="noConversion"/>
  </si>
  <si>
    <t>EB</t>
    <phoneticPr fontId="20"/>
  </si>
  <si>
    <t>NC</t>
    <phoneticPr fontId="20"/>
  </si>
  <si>
    <t>室温制御</t>
    <rPh sb="0" eb="2">
      <t>ｼﾂｵﾝ</t>
    </rPh>
    <rPh sb="2" eb="4">
      <t>ｾｲｷﾞｮ</t>
    </rPh>
    <phoneticPr fontId="30" type="noConversion"/>
  </si>
  <si>
    <t>EB</t>
    <phoneticPr fontId="20"/>
  </si>
  <si>
    <t>外皮性能</t>
    <rPh sb="0" eb="2">
      <t>ガイヒ</t>
    </rPh>
    <rPh sb="2" eb="4">
      <t>セイノウ</t>
    </rPh>
    <phoneticPr fontId="20"/>
  </si>
  <si>
    <t>EB</t>
    <phoneticPr fontId="20"/>
  </si>
  <si>
    <t>ゾーン別制御性</t>
    <rPh sb="3" eb="4">
      <t>ベツ</t>
    </rPh>
    <rPh sb="4" eb="7">
      <t>セイギョセイ</t>
    </rPh>
    <phoneticPr fontId="20"/>
  </si>
  <si>
    <t>EB</t>
    <phoneticPr fontId="20"/>
  </si>
  <si>
    <t>個別制御</t>
    <rPh sb="0" eb="2">
      <t>コベツ</t>
    </rPh>
    <rPh sb="2" eb="4">
      <t>セイギョ</t>
    </rPh>
    <phoneticPr fontId="20"/>
  </si>
  <si>
    <t>EB</t>
    <phoneticPr fontId="20"/>
  </si>
  <si>
    <t>監視システム</t>
    <rPh sb="0" eb="2">
      <t>カンシ</t>
    </rPh>
    <phoneticPr fontId="20"/>
  </si>
  <si>
    <t>空調方式</t>
    <rPh sb="0" eb="2">
      <t>クウチョウ</t>
    </rPh>
    <rPh sb="2" eb="4">
      <t>ホウシキ</t>
    </rPh>
    <phoneticPr fontId="20"/>
  </si>
  <si>
    <t>NC</t>
    <phoneticPr fontId="20"/>
  </si>
  <si>
    <t>上下温度差</t>
    <rPh sb="0" eb="2">
      <t>ジョウゲ</t>
    </rPh>
    <rPh sb="2" eb="5">
      <t>オンドサ</t>
    </rPh>
    <phoneticPr fontId="20"/>
  </si>
  <si>
    <t>EB</t>
    <phoneticPr fontId="20"/>
  </si>
  <si>
    <t>NC</t>
    <phoneticPr fontId="20"/>
  </si>
  <si>
    <t>平均気流速度</t>
    <rPh sb="0" eb="2">
      <t>ヘイキン</t>
    </rPh>
    <rPh sb="2" eb="4">
      <t>キリュウ</t>
    </rPh>
    <rPh sb="4" eb="6">
      <t>ソクド</t>
    </rPh>
    <phoneticPr fontId="20"/>
  </si>
  <si>
    <t>EB</t>
    <phoneticPr fontId="20"/>
  </si>
  <si>
    <t>NC</t>
    <phoneticPr fontId="20"/>
  </si>
  <si>
    <t>光・視環境</t>
    <rPh sb="0" eb="1">
      <t>ﾋｶﾘ</t>
    </rPh>
    <rPh sb="2" eb="3">
      <t>ｼ</t>
    </rPh>
    <rPh sb="3" eb="5">
      <t>ｶﾝｷｮｳ</t>
    </rPh>
    <phoneticPr fontId="30" type="noConversion"/>
  </si>
  <si>
    <t>昼光利用</t>
    <rPh sb="0" eb="1">
      <t>ﾋﾙ</t>
    </rPh>
    <rPh sb="1" eb="2">
      <t>ﾋｶﾘ</t>
    </rPh>
    <rPh sb="2" eb="4">
      <t>ﾘﾖｳ</t>
    </rPh>
    <phoneticPr fontId="30" type="noConversion"/>
  </si>
  <si>
    <t>EB</t>
    <phoneticPr fontId="20"/>
  </si>
  <si>
    <t>NC</t>
    <phoneticPr fontId="20"/>
  </si>
  <si>
    <t>昼光率</t>
    <rPh sb="0" eb="1">
      <t>ヒル</t>
    </rPh>
    <rPh sb="1" eb="2">
      <t>ヒカリ</t>
    </rPh>
    <rPh sb="2" eb="3">
      <t>リツ</t>
    </rPh>
    <phoneticPr fontId="20"/>
  </si>
  <si>
    <t>EB</t>
    <phoneticPr fontId="20"/>
  </si>
  <si>
    <t>方位別開口</t>
    <rPh sb="0" eb="2">
      <t>ホウイ</t>
    </rPh>
    <rPh sb="2" eb="3">
      <t>ベツ</t>
    </rPh>
    <rPh sb="3" eb="5">
      <t>カイコウ</t>
    </rPh>
    <phoneticPr fontId="20"/>
  </si>
  <si>
    <t>EB</t>
    <phoneticPr fontId="20"/>
  </si>
  <si>
    <t>昼光利用設備</t>
    <rPh sb="0" eb="1">
      <t>ヒル</t>
    </rPh>
    <rPh sb="1" eb="2">
      <t>ヒカリ</t>
    </rPh>
    <rPh sb="2" eb="4">
      <t>リヨウ</t>
    </rPh>
    <rPh sb="4" eb="6">
      <t>セツビ</t>
    </rPh>
    <phoneticPr fontId="20"/>
  </si>
  <si>
    <t>EB</t>
    <phoneticPr fontId="20"/>
  </si>
  <si>
    <t>グレア対策</t>
    <rPh sb="3" eb="5">
      <t>ﾀｲｻｸ</t>
    </rPh>
    <phoneticPr fontId="30" type="noConversion"/>
  </si>
  <si>
    <t>EB</t>
    <phoneticPr fontId="20"/>
  </si>
  <si>
    <t>NC</t>
    <phoneticPr fontId="20"/>
  </si>
  <si>
    <t>照明器具のグレア</t>
    <rPh sb="0" eb="2">
      <t>ショウメイ</t>
    </rPh>
    <rPh sb="2" eb="4">
      <t>キグ</t>
    </rPh>
    <phoneticPr fontId="20"/>
  </si>
  <si>
    <t>EB</t>
    <phoneticPr fontId="20"/>
  </si>
  <si>
    <t>昼光制御</t>
    <rPh sb="0" eb="1">
      <t>ヒル</t>
    </rPh>
    <rPh sb="1" eb="2">
      <t>ヒカリ</t>
    </rPh>
    <rPh sb="2" eb="4">
      <t>セイギョ</t>
    </rPh>
    <phoneticPr fontId="20"/>
  </si>
  <si>
    <t>照度</t>
    <rPh sb="0" eb="2">
      <t>ｼｮｳﾄﾞ</t>
    </rPh>
    <phoneticPr fontId="30" type="noConversion"/>
  </si>
  <si>
    <t>照明制御</t>
    <rPh sb="0" eb="2">
      <t>ショウメイ</t>
    </rPh>
    <rPh sb="2" eb="4">
      <t>セイギョ</t>
    </rPh>
    <phoneticPr fontId="20"/>
  </si>
  <si>
    <t>空気質環境</t>
    <rPh sb="0" eb="2">
      <t>クウキ</t>
    </rPh>
    <rPh sb="2" eb="3">
      <t>シツ</t>
    </rPh>
    <rPh sb="3" eb="5">
      <t>カンキョウ</t>
    </rPh>
    <phoneticPr fontId="20"/>
  </si>
  <si>
    <t>発生源対策</t>
    <rPh sb="0" eb="3">
      <t>ﾊｯｾｲｹﾞﾝ</t>
    </rPh>
    <rPh sb="3" eb="5">
      <t>ﾀｲｻｸ</t>
    </rPh>
    <phoneticPr fontId="30" type="noConversion"/>
  </si>
  <si>
    <t>EB</t>
    <phoneticPr fontId="20"/>
  </si>
  <si>
    <t>NC</t>
    <phoneticPr fontId="20"/>
  </si>
  <si>
    <t>化学汚染物質</t>
    <rPh sb="0" eb="2">
      <t>カガク</t>
    </rPh>
    <rPh sb="4" eb="6">
      <t>ブッシツ</t>
    </rPh>
    <phoneticPr fontId="20"/>
  </si>
  <si>
    <t>アスベスト対策</t>
    <rPh sb="5" eb="7">
      <t>タイサク</t>
    </rPh>
    <phoneticPr fontId="20"/>
  </si>
  <si>
    <t>ダニ・カビ等</t>
    <rPh sb="5" eb="6">
      <t>ナド</t>
    </rPh>
    <phoneticPr fontId="20"/>
  </si>
  <si>
    <t>レジオネラ対策</t>
    <rPh sb="5" eb="7">
      <t>タイサク</t>
    </rPh>
    <phoneticPr fontId="20"/>
  </si>
  <si>
    <t>換気</t>
    <rPh sb="0" eb="2">
      <t>ｶﾝｷ</t>
    </rPh>
    <phoneticPr fontId="30" type="noConversion"/>
  </si>
  <si>
    <t>EB</t>
    <phoneticPr fontId="20"/>
  </si>
  <si>
    <t>NC</t>
    <phoneticPr fontId="20"/>
  </si>
  <si>
    <t>換気量</t>
    <rPh sb="0" eb="3">
      <t>カンキリョウ</t>
    </rPh>
    <phoneticPr fontId="20"/>
  </si>
  <si>
    <t>自然換気性能</t>
    <rPh sb="0" eb="2">
      <t>シゼン</t>
    </rPh>
    <rPh sb="2" eb="4">
      <t>カンキ</t>
    </rPh>
    <rPh sb="4" eb="6">
      <t>セイノウ</t>
    </rPh>
    <phoneticPr fontId="20"/>
  </si>
  <si>
    <t>取り入れ外気への配慮</t>
    <rPh sb="0" eb="1">
      <t>ト</t>
    </rPh>
    <rPh sb="2" eb="3">
      <t>イ</t>
    </rPh>
    <rPh sb="4" eb="6">
      <t>ガイキ</t>
    </rPh>
    <rPh sb="8" eb="10">
      <t>ハイリョ</t>
    </rPh>
    <phoneticPr fontId="20"/>
  </si>
  <si>
    <t>給気計画</t>
    <rPh sb="0" eb="1">
      <t>キュウ</t>
    </rPh>
    <rPh sb="1" eb="2">
      <t>キ</t>
    </rPh>
    <rPh sb="2" eb="4">
      <t>ケイカク</t>
    </rPh>
    <phoneticPr fontId="20"/>
  </si>
  <si>
    <t>EB</t>
    <phoneticPr fontId="20"/>
  </si>
  <si>
    <t>運用管理</t>
    <rPh sb="0" eb="2">
      <t>ウンヨウ</t>
    </rPh>
    <rPh sb="2" eb="4">
      <t>カンリ</t>
    </rPh>
    <phoneticPr fontId="20"/>
  </si>
  <si>
    <t>EB</t>
    <phoneticPr fontId="20"/>
  </si>
  <si>
    <t>NC</t>
    <phoneticPr fontId="20"/>
  </si>
  <si>
    <r>
      <t>CO</t>
    </r>
    <r>
      <rPr>
        <vertAlign val="subscript"/>
        <sz val="10"/>
        <rFont val="ＭＳ Ｐゴシック"/>
        <family val="3"/>
        <charset val="128"/>
      </rPr>
      <t>2</t>
    </r>
    <r>
      <rPr>
        <sz val="10"/>
        <rFont val="ＭＳ Ｐゴシック"/>
        <family val="3"/>
        <charset val="128"/>
      </rPr>
      <t>の監視</t>
    </r>
    <rPh sb="4" eb="6">
      <t>カンシ</t>
    </rPh>
    <phoneticPr fontId="20"/>
  </si>
  <si>
    <t>喫煙の制御</t>
    <rPh sb="0" eb="2">
      <t>キツエン</t>
    </rPh>
    <rPh sb="3" eb="5">
      <t>セイギョ</t>
    </rPh>
    <phoneticPr fontId="20"/>
  </si>
  <si>
    <t>EB</t>
    <phoneticPr fontId="20"/>
  </si>
  <si>
    <t>Q2</t>
    <phoneticPr fontId="30" type="noConversion"/>
  </si>
  <si>
    <t>サービス性能</t>
    <phoneticPr fontId="20"/>
  </si>
  <si>
    <t>機能性</t>
    <rPh sb="0" eb="3">
      <t>ｷﾉｳｾｲ</t>
    </rPh>
    <phoneticPr fontId="30" type="noConversion"/>
  </si>
  <si>
    <t>機能性・使いやすさ</t>
    <rPh sb="0" eb="3">
      <t>キノウセイ</t>
    </rPh>
    <rPh sb="4" eb="5">
      <t>ツカ</t>
    </rPh>
    <phoneticPr fontId="20"/>
  </si>
  <si>
    <t>NC</t>
    <phoneticPr fontId="20"/>
  </si>
  <si>
    <t>広さ・収納性</t>
    <rPh sb="0" eb="1">
      <t>ヒロ</t>
    </rPh>
    <rPh sb="3" eb="5">
      <t>シュウノウ</t>
    </rPh>
    <rPh sb="5" eb="6">
      <t>セイ</t>
    </rPh>
    <phoneticPr fontId="20"/>
  </si>
  <si>
    <t>高度情報通信設備対応</t>
    <rPh sb="0" eb="2">
      <t>コウド</t>
    </rPh>
    <rPh sb="2" eb="4">
      <t>ジョウホウ</t>
    </rPh>
    <rPh sb="4" eb="6">
      <t>ツウシン</t>
    </rPh>
    <rPh sb="6" eb="8">
      <t>セツビ</t>
    </rPh>
    <rPh sb="8" eb="10">
      <t>タイオウ</t>
    </rPh>
    <phoneticPr fontId="20"/>
  </si>
  <si>
    <t>バリアフリー計画</t>
    <rPh sb="6" eb="8">
      <t>ケイカク</t>
    </rPh>
    <phoneticPr fontId="20"/>
  </si>
  <si>
    <t>心理性・快適性</t>
    <rPh sb="0" eb="1">
      <t>ｺｺﾛ</t>
    </rPh>
    <rPh sb="1" eb="3">
      <t>ﾘｾｲ</t>
    </rPh>
    <rPh sb="4" eb="7">
      <t>ｶｲﾃｷｾｲ</t>
    </rPh>
    <phoneticPr fontId="30" type="noConversion"/>
  </si>
  <si>
    <t>EB</t>
    <phoneticPr fontId="20"/>
  </si>
  <si>
    <t>NC</t>
    <phoneticPr fontId="20"/>
  </si>
  <si>
    <t>広さ感・景観</t>
    <rPh sb="0" eb="1">
      <t>ヒロ</t>
    </rPh>
    <rPh sb="2" eb="3">
      <t>カン</t>
    </rPh>
    <rPh sb="4" eb="6">
      <t>ケイカン</t>
    </rPh>
    <phoneticPr fontId="20"/>
  </si>
  <si>
    <t>リフレッシュスペース</t>
    <phoneticPr fontId="20"/>
  </si>
  <si>
    <t>内装計画</t>
    <rPh sb="0" eb="2">
      <t>ナイソウ</t>
    </rPh>
    <rPh sb="2" eb="4">
      <t>ケイカク</t>
    </rPh>
    <phoneticPr fontId="20"/>
  </si>
  <si>
    <t>維持管理</t>
    <rPh sb="0" eb="2">
      <t>ｲｼﾞ</t>
    </rPh>
    <rPh sb="2" eb="4">
      <t>ｶﾝﾘ</t>
    </rPh>
    <phoneticPr fontId="2" type="noConversion"/>
  </si>
  <si>
    <t>EB</t>
    <phoneticPr fontId="20"/>
  </si>
  <si>
    <t>維持管理用機能の確保　[清掃管理業務]</t>
    <rPh sb="12" eb="14">
      <t>セイソウ</t>
    </rPh>
    <rPh sb="14" eb="16">
      <t>カンリ</t>
    </rPh>
    <rPh sb="16" eb="18">
      <t>ギョウム</t>
    </rPh>
    <phoneticPr fontId="20"/>
  </si>
  <si>
    <t>衛生管理業務</t>
    <rPh sb="0" eb="2">
      <t>エイセイ</t>
    </rPh>
    <rPh sb="2" eb="4">
      <t>カンリ</t>
    </rPh>
    <rPh sb="4" eb="6">
      <t>ギョウム</t>
    </rPh>
    <phoneticPr fontId="20"/>
  </si>
  <si>
    <t>耐用性・信頼性</t>
    <rPh sb="0" eb="3">
      <t>ﾀｲﾖｳｾｲ</t>
    </rPh>
    <rPh sb="4" eb="6">
      <t>ｼﾝﾗｲ</t>
    </rPh>
    <rPh sb="6" eb="7">
      <t>ｾｲ</t>
    </rPh>
    <phoneticPr fontId="30" type="noConversion"/>
  </si>
  <si>
    <t>EB</t>
    <phoneticPr fontId="20"/>
  </si>
  <si>
    <t>NC</t>
    <phoneticPr fontId="20"/>
  </si>
  <si>
    <t>耐震･免震</t>
    <rPh sb="0" eb="2">
      <t>タイシン</t>
    </rPh>
    <rPh sb="3" eb="4">
      <t>メン</t>
    </rPh>
    <rPh sb="4" eb="5">
      <t>フル</t>
    </rPh>
    <phoneticPr fontId="20"/>
  </si>
  <si>
    <t>EB</t>
    <phoneticPr fontId="20"/>
  </si>
  <si>
    <t>NC</t>
    <phoneticPr fontId="20"/>
  </si>
  <si>
    <t>耐震性</t>
    <rPh sb="0" eb="3">
      <t>タイシンセイ</t>
    </rPh>
    <phoneticPr fontId="20"/>
  </si>
  <si>
    <t>免震制振性能</t>
    <rPh sb="0" eb="1">
      <t>メン</t>
    </rPh>
    <rPh sb="1" eb="2">
      <t>シン</t>
    </rPh>
    <rPh sb="2" eb="3">
      <t>セイ</t>
    </rPh>
    <rPh sb="3" eb="4">
      <t>オサム</t>
    </rPh>
    <rPh sb="4" eb="6">
      <t>セイノウ</t>
    </rPh>
    <phoneticPr fontId="20"/>
  </si>
  <si>
    <t>EB</t>
    <phoneticPr fontId="20"/>
  </si>
  <si>
    <t>部品・部材の耐用年数</t>
    <rPh sb="0" eb="2">
      <t>ブヒン</t>
    </rPh>
    <rPh sb="3" eb="4">
      <t>ブ</t>
    </rPh>
    <rPh sb="4" eb="5">
      <t>ザイ</t>
    </rPh>
    <rPh sb="6" eb="8">
      <t>タイヨウ</t>
    </rPh>
    <rPh sb="8" eb="10">
      <t>ネンスウ</t>
    </rPh>
    <phoneticPr fontId="20"/>
  </si>
  <si>
    <t>NC</t>
    <phoneticPr fontId="20"/>
  </si>
  <si>
    <t>躯体材料の耐用年数</t>
    <rPh sb="0" eb="2">
      <t>クタイ</t>
    </rPh>
    <rPh sb="2" eb="4">
      <t>ザイリョウ</t>
    </rPh>
    <rPh sb="5" eb="7">
      <t>タイヨウ</t>
    </rPh>
    <rPh sb="7" eb="9">
      <t>ネンスウ</t>
    </rPh>
    <phoneticPr fontId="20"/>
  </si>
  <si>
    <t>オンサイト</t>
    <phoneticPr fontId="20"/>
  </si>
  <si>
    <t>オフサイト</t>
    <phoneticPr fontId="20"/>
  </si>
  <si>
    <t>外壁仕上げ材の補修必要間隔</t>
    <rPh sb="0" eb="2">
      <t>ガイヘキ</t>
    </rPh>
    <rPh sb="2" eb="4">
      <t>シア</t>
    </rPh>
    <rPh sb="5" eb="6">
      <t>ザイ</t>
    </rPh>
    <rPh sb="7" eb="9">
      <t>ホシュウ</t>
    </rPh>
    <rPh sb="9" eb="11">
      <t>ヒツヨウ</t>
    </rPh>
    <rPh sb="11" eb="13">
      <t>カンカク</t>
    </rPh>
    <phoneticPr fontId="20"/>
  </si>
  <si>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0"/>
  </si>
  <si>
    <t>空調換気ダクトの更新必要間隔</t>
    <rPh sb="0" eb="2">
      <t>クウチョウ</t>
    </rPh>
    <rPh sb="2" eb="4">
      <t>カンキ</t>
    </rPh>
    <rPh sb="8" eb="10">
      <t>コウシン</t>
    </rPh>
    <rPh sb="10" eb="12">
      <t>ヒツヨウ</t>
    </rPh>
    <rPh sb="12" eb="14">
      <t>カンカク</t>
    </rPh>
    <phoneticPr fontId="20"/>
  </si>
  <si>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0"/>
  </si>
  <si>
    <t>主要設備機器の更新必要間隔</t>
    <rPh sb="0" eb="2">
      <t>シュヨウ</t>
    </rPh>
    <rPh sb="2" eb="4">
      <t>セツビ</t>
    </rPh>
    <rPh sb="4" eb="6">
      <t>キキ</t>
    </rPh>
    <rPh sb="7" eb="9">
      <t>コウシン</t>
    </rPh>
    <rPh sb="9" eb="11">
      <t>ヒツヨウ</t>
    </rPh>
    <rPh sb="11" eb="13">
      <t>カンカク</t>
    </rPh>
    <phoneticPr fontId="20"/>
  </si>
  <si>
    <t>適切な更新</t>
    <rPh sb="3" eb="5">
      <t>コウシン</t>
    </rPh>
    <phoneticPr fontId="20"/>
  </si>
  <si>
    <t>屋上（屋根）・外壁仕上げ材の更新</t>
  </si>
  <si>
    <t>配管・配線材料の更新</t>
  </si>
  <si>
    <t>主要設備機器の更新</t>
  </si>
  <si>
    <t>信頼性</t>
    <rPh sb="0" eb="3">
      <t>シンライセイ</t>
    </rPh>
    <phoneticPr fontId="20"/>
  </si>
  <si>
    <t>空調・換気設備</t>
    <rPh sb="0" eb="2">
      <t>クウチョウ</t>
    </rPh>
    <rPh sb="3" eb="5">
      <t>カンキ</t>
    </rPh>
    <rPh sb="5" eb="7">
      <t>セツビ</t>
    </rPh>
    <phoneticPr fontId="20"/>
  </si>
  <si>
    <t>給排水・衛生設備</t>
    <rPh sb="0" eb="3">
      <t>キュウハイスイ</t>
    </rPh>
    <rPh sb="4" eb="6">
      <t>エイセイ</t>
    </rPh>
    <rPh sb="6" eb="8">
      <t>セツビ</t>
    </rPh>
    <phoneticPr fontId="20"/>
  </si>
  <si>
    <t>電気設備</t>
    <rPh sb="0" eb="2">
      <t>デンキ</t>
    </rPh>
    <rPh sb="2" eb="4">
      <t>セツビ</t>
    </rPh>
    <phoneticPr fontId="20"/>
  </si>
  <si>
    <t>機械・配管支持方法</t>
    <rPh sb="0" eb="2">
      <t>キカイ</t>
    </rPh>
    <rPh sb="3" eb="5">
      <t>ハイカン</t>
    </rPh>
    <rPh sb="5" eb="7">
      <t>シジ</t>
    </rPh>
    <rPh sb="7" eb="9">
      <t>ホウホウ</t>
    </rPh>
    <phoneticPr fontId="20"/>
  </si>
  <si>
    <t>通信・情報設備</t>
    <rPh sb="0" eb="2">
      <t>ツウシン</t>
    </rPh>
    <rPh sb="3" eb="5">
      <t>ジョウホウ</t>
    </rPh>
    <rPh sb="5" eb="7">
      <t>セツビ</t>
    </rPh>
    <phoneticPr fontId="20"/>
  </si>
  <si>
    <t>対応性・更新性</t>
    <rPh sb="0" eb="3">
      <t>タイオウセイ</t>
    </rPh>
    <rPh sb="4" eb="6">
      <t>コウシン</t>
    </rPh>
    <rPh sb="6" eb="7">
      <t>セイ</t>
    </rPh>
    <phoneticPr fontId="20"/>
  </si>
  <si>
    <t>EB</t>
    <phoneticPr fontId="20"/>
  </si>
  <si>
    <t>NC</t>
    <phoneticPr fontId="20"/>
  </si>
  <si>
    <t>空間のゆとり</t>
  </si>
  <si>
    <t>階高のゆとり</t>
    <rPh sb="0" eb="1">
      <t>カイ</t>
    </rPh>
    <rPh sb="1" eb="2">
      <t>ダカ</t>
    </rPh>
    <phoneticPr fontId="20"/>
  </si>
  <si>
    <t>EB</t>
  </si>
  <si>
    <t>空間の形状・自由さ</t>
    <rPh sb="0" eb="2">
      <t>クウカン</t>
    </rPh>
    <rPh sb="3" eb="5">
      <t>ケイジョウ</t>
    </rPh>
    <rPh sb="6" eb="8">
      <t>ジユウ</t>
    </rPh>
    <phoneticPr fontId="20"/>
  </si>
  <si>
    <t>荷重のゆとり</t>
  </si>
  <si>
    <t>設備の更新性</t>
  </si>
  <si>
    <t>EB</t>
    <phoneticPr fontId="20"/>
  </si>
  <si>
    <t>NC</t>
    <phoneticPr fontId="20"/>
  </si>
  <si>
    <t>空調配管の更新性</t>
    <rPh sb="0" eb="2">
      <t>クウチョウ</t>
    </rPh>
    <rPh sb="2" eb="4">
      <t>ハイカン</t>
    </rPh>
    <rPh sb="5" eb="7">
      <t>コウシン</t>
    </rPh>
    <rPh sb="7" eb="8">
      <t>セイ</t>
    </rPh>
    <phoneticPr fontId="20"/>
  </si>
  <si>
    <t>給排水管の更新性</t>
    <rPh sb="0" eb="1">
      <t>キュウ</t>
    </rPh>
    <rPh sb="1" eb="4">
      <t>ハイスイカン</t>
    </rPh>
    <rPh sb="5" eb="7">
      <t>コウシン</t>
    </rPh>
    <rPh sb="7" eb="8">
      <t>セイ</t>
    </rPh>
    <phoneticPr fontId="20"/>
  </si>
  <si>
    <t>電気配線の更新性</t>
    <rPh sb="0" eb="2">
      <t>デンキ</t>
    </rPh>
    <rPh sb="2" eb="4">
      <t>ハイセン</t>
    </rPh>
    <rPh sb="5" eb="7">
      <t>コウシン</t>
    </rPh>
    <rPh sb="7" eb="8">
      <t>セイ</t>
    </rPh>
    <phoneticPr fontId="20"/>
  </si>
  <si>
    <t>通信配線の更新性</t>
    <rPh sb="0" eb="2">
      <t>ツウシン</t>
    </rPh>
    <rPh sb="2" eb="4">
      <t>ハイセン</t>
    </rPh>
    <rPh sb="5" eb="7">
      <t>コウシン</t>
    </rPh>
    <rPh sb="7" eb="8">
      <t>セイ</t>
    </rPh>
    <phoneticPr fontId="20"/>
  </si>
  <si>
    <t>設備機器の更新性</t>
    <rPh sb="0" eb="2">
      <t>セツビ</t>
    </rPh>
    <rPh sb="2" eb="4">
      <t>キキ</t>
    </rPh>
    <rPh sb="5" eb="7">
      <t>コウシン</t>
    </rPh>
    <rPh sb="7" eb="8">
      <t>セイ</t>
    </rPh>
    <phoneticPr fontId="20"/>
  </si>
  <si>
    <t>バックアップスペースの確保</t>
    <rPh sb="11" eb="13">
      <t>カクホ</t>
    </rPh>
    <phoneticPr fontId="20"/>
  </si>
  <si>
    <t>Q3</t>
    <phoneticPr fontId="30" type="noConversion"/>
  </si>
  <si>
    <t>室外環境（敷地内）</t>
    <phoneticPr fontId="20"/>
  </si>
  <si>
    <t>生物環境の保全と創出[生物環境の保全]</t>
    <rPh sb="0" eb="2">
      <t>セイブツ</t>
    </rPh>
    <rPh sb="2" eb="4">
      <t>カンキョウ</t>
    </rPh>
    <rPh sb="5" eb="7">
      <t>ホゼン</t>
    </rPh>
    <rPh sb="8" eb="10">
      <t>ソウシュツ</t>
    </rPh>
    <phoneticPr fontId="20"/>
  </si>
  <si>
    <t>まちなみ・景観への配慮</t>
    <rPh sb="5" eb="7">
      <t>ケイカン</t>
    </rPh>
    <rPh sb="9" eb="11">
      <t>ハイリョ</t>
    </rPh>
    <phoneticPr fontId="20"/>
  </si>
  <si>
    <t>地域性・アメニティへの配慮</t>
    <rPh sb="0" eb="3">
      <t>ﾁｲｷｾｲ</t>
    </rPh>
    <rPh sb="11" eb="13">
      <t>ﾊｲﾘｮ</t>
    </rPh>
    <phoneticPr fontId="30" type="noConversion"/>
  </si>
  <si>
    <t>EB</t>
    <phoneticPr fontId="20"/>
  </si>
  <si>
    <t>NC</t>
    <phoneticPr fontId="20"/>
  </si>
  <si>
    <t>敷地内温熱環境の向上</t>
    <rPh sb="0" eb="2">
      <t>シキチ</t>
    </rPh>
    <rPh sb="2" eb="3">
      <t>ナイ</t>
    </rPh>
    <rPh sb="3" eb="5">
      <t>オンネツ</t>
    </rPh>
    <rPh sb="8" eb="10">
      <t>コウジョウ</t>
    </rPh>
    <phoneticPr fontId="20"/>
  </si>
  <si>
    <t>LR　建築物の環境負荷低減性</t>
    <phoneticPr fontId="20"/>
  </si>
  <si>
    <t>LR1</t>
    <phoneticPr fontId="30" type="noConversion"/>
  </si>
  <si>
    <t>エネルギー</t>
    <phoneticPr fontId="20"/>
  </si>
  <si>
    <t>自然エネルギー利用</t>
    <rPh sb="0" eb="2">
      <t>ｼｾﾞﾝ</t>
    </rPh>
    <rPh sb="7" eb="9">
      <t>ﾘﾖｳ</t>
    </rPh>
    <phoneticPr fontId="30" type="noConversion"/>
  </si>
  <si>
    <t>自然エネルギーの直接利用</t>
  </si>
  <si>
    <t>自然エネルギーの変換利用</t>
  </si>
  <si>
    <t>設備システムの高効率化</t>
    <rPh sb="0" eb="2">
      <t>ｾﾂﾋﾞ</t>
    </rPh>
    <rPh sb="7" eb="8">
      <t>ｺｳ</t>
    </rPh>
    <rPh sb="8" eb="10">
      <t>ｺｳﾘﾂ</t>
    </rPh>
    <rPh sb="10" eb="11">
      <t>ｶ</t>
    </rPh>
    <phoneticPr fontId="30" type="noConversion"/>
  </si>
  <si>
    <t>空調設備</t>
  </si>
  <si>
    <t>換気設備</t>
  </si>
  <si>
    <t>照明設備</t>
  </si>
  <si>
    <t>昇降機設備</t>
  </si>
  <si>
    <t>効率的運用</t>
    <rPh sb="0" eb="3">
      <t>ｺｳﾘﾂﾃｷ</t>
    </rPh>
    <rPh sb="3" eb="5">
      <t>ｳﾝﾖｳ</t>
    </rPh>
    <phoneticPr fontId="30" type="noConversion"/>
  </si>
  <si>
    <t>運用管理体制</t>
    <rPh sb="0" eb="2">
      <t>ｳﾝﾖｳ</t>
    </rPh>
    <rPh sb="2" eb="4">
      <t>ｶﾝﾘ</t>
    </rPh>
    <rPh sb="4" eb="6">
      <t>ﾀｲｾｲ</t>
    </rPh>
    <phoneticPr fontId="30" type="noConversion"/>
  </si>
  <si>
    <t>LR2</t>
    <phoneticPr fontId="30" type="noConversion"/>
  </si>
  <si>
    <t>資源・マテリアル</t>
    <phoneticPr fontId="20"/>
  </si>
  <si>
    <t>水資源保護</t>
    <rPh sb="0" eb="1">
      <t>ﾐｽﾞ</t>
    </rPh>
    <rPh sb="1" eb="3">
      <t>ｼｹﾞﾝ</t>
    </rPh>
    <rPh sb="3" eb="5">
      <t>ﾎｺﾞ</t>
    </rPh>
    <phoneticPr fontId="30" type="noConversion"/>
  </si>
  <si>
    <t>節水</t>
    <rPh sb="0" eb="2">
      <t>ｾｯｽｲ</t>
    </rPh>
    <phoneticPr fontId="30" type="noConversion"/>
  </si>
  <si>
    <t>雨水利用・雑排水再利用</t>
    <rPh sb="0" eb="2">
      <t>ｳｽｲ</t>
    </rPh>
    <rPh sb="2" eb="4">
      <t>ﾘﾖｳ</t>
    </rPh>
    <rPh sb="5" eb="8">
      <t>ｻﾞﾂﾊｲｽｲ</t>
    </rPh>
    <rPh sb="8" eb="9">
      <t>ｻｲ</t>
    </rPh>
    <rPh sb="9" eb="11">
      <t>ﾘﾖｳ</t>
    </rPh>
    <phoneticPr fontId="30" type="noConversion"/>
  </si>
  <si>
    <t>EB</t>
    <phoneticPr fontId="20"/>
  </si>
  <si>
    <t>NC</t>
    <phoneticPr fontId="20"/>
  </si>
  <si>
    <t>雨水利用システム導入の有無　[雨水利用率]</t>
    <rPh sb="0" eb="2">
      <t>ウスイ</t>
    </rPh>
    <rPh sb="2" eb="4">
      <t>リヨウ</t>
    </rPh>
    <rPh sb="8" eb="10">
      <t>ドウニュウ</t>
    </rPh>
    <rPh sb="11" eb="13">
      <t>ウム</t>
    </rPh>
    <rPh sb="15" eb="17">
      <t>アマミズ</t>
    </rPh>
    <rPh sb="17" eb="20">
      <t>リヨウリツ</t>
    </rPh>
    <phoneticPr fontId="20"/>
  </si>
  <si>
    <t>非再生性資源の使用量削減</t>
    <rPh sb="0" eb="1">
      <t>ヒ</t>
    </rPh>
    <rPh sb="1" eb="3">
      <t>サイセイ</t>
    </rPh>
    <rPh sb="3" eb="4">
      <t>セイ</t>
    </rPh>
    <rPh sb="4" eb="6">
      <t>シゲン</t>
    </rPh>
    <rPh sb="7" eb="10">
      <t>シヨウリョウ</t>
    </rPh>
    <rPh sb="10" eb="12">
      <t>サクゲン</t>
    </rPh>
    <phoneticPr fontId="20"/>
  </si>
  <si>
    <t>材料使用量の削減</t>
    <rPh sb="0" eb="2">
      <t>ザイリョウ</t>
    </rPh>
    <rPh sb="2" eb="4">
      <t>シヨウ</t>
    </rPh>
    <rPh sb="4" eb="5">
      <t>リョウ</t>
    </rPh>
    <rPh sb="6" eb="8">
      <t>サクゲン</t>
    </rPh>
    <phoneticPr fontId="20"/>
  </si>
  <si>
    <t>既存建築躯体等の継続使用</t>
    <rPh sb="6" eb="7">
      <t>トウ</t>
    </rPh>
    <rPh sb="8" eb="10">
      <t>ケイゾク</t>
    </rPh>
    <rPh sb="10" eb="12">
      <t>シヨウ</t>
    </rPh>
    <phoneticPr fontId="20"/>
  </si>
  <si>
    <t>EB</t>
    <phoneticPr fontId="20"/>
  </si>
  <si>
    <t>躯体材料におけるリサイクル材の使用</t>
    <rPh sb="0" eb="2">
      <t>クタイ</t>
    </rPh>
    <rPh sb="2" eb="4">
      <t>ザイリョウ</t>
    </rPh>
    <rPh sb="13" eb="14">
      <t>ザイ</t>
    </rPh>
    <rPh sb="15" eb="17">
      <t>シヨウ</t>
    </rPh>
    <phoneticPr fontId="20"/>
  </si>
  <si>
    <t>持続可能な森林から産出された木材</t>
    <rPh sb="5" eb="7">
      <t>シンリン</t>
    </rPh>
    <rPh sb="9" eb="11">
      <t>サンシュツ</t>
    </rPh>
    <rPh sb="14" eb="16">
      <t>モクザイ</t>
    </rPh>
    <phoneticPr fontId="20"/>
  </si>
  <si>
    <t>汚染物質含有材料の使用回避</t>
    <rPh sb="0" eb="2">
      <t>オセン</t>
    </rPh>
    <rPh sb="2" eb="4">
      <t>ブッシツ</t>
    </rPh>
    <rPh sb="4" eb="6">
      <t>ガンユウ</t>
    </rPh>
    <rPh sb="6" eb="8">
      <t>ザイリョウ</t>
    </rPh>
    <rPh sb="9" eb="11">
      <t>シヨウ</t>
    </rPh>
    <rPh sb="11" eb="13">
      <t>カイヒ</t>
    </rPh>
    <phoneticPr fontId="20"/>
  </si>
  <si>
    <t>有害物質を含まない材料の使用</t>
    <rPh sb="0" eb="2">
      <t>ユウガイ</t>
    </rPh>
    <rPh sb="2" eb="4">
      <t>ブッシツ</t>
    </rPh>
    <rPh sb="5" eb="6">
      <t>フク</t>
    </rPh>
    <rPh sb="12" eb="14">
      <t>シヨウ</t>
    </rPh>
    <phoneticPr fontId="20"/>
  </si>
  <si>
    <t>フロン・ハロンの回避</t>
  </si>
  <si>
    <t>NC</t>
    <phoneticPr fontId="20"/>
  </si>
  <si>
    <t>消火剤</t>
    <rPh sb="0" eb="3">
      <t>ショウカザイ</t>
    </rPh>
    <phoneticPr fontId="20"/>
  </si>
  <si>
    <t>冷媒</t>
    <rPh sb="0" eb="2">
      <t>レイバイ</t>
    </rPh>
    <phoneticPr fontId="20"/>
  </si>
  <si>
    <t>地球温暖化への配慮</t>
    <rPh sb="0" eb="2">
      <t>ﾁｷｭｳ</t>
    </rPh>
    <rPh sb="2" eb="5">
      <t>ｵﾝﾀﾞﾝｶ</t>
    </rPh>
    <rPh sb="7" eb="9">
      <t>ﾊｲﾘｮ</t>
    </rPh>
    <phoneticPr fontId="2" type="noConversion"/>
  </si>
  <si>
    <t>地域環境への配慮</t>
    <rPh sb="0" eb="2">
      <t>ﾁｲｷ</t>
    </rPh>
    <rPh sb="2" eb="4">
      <t>ｶﾝｷｮｳ</t>
    </rPh>
    <rPh sb="6" eb="8">
      <t>ﾊｲﾘｮ</t>
    </rPh>
    <phoneticPr fontId="2" type="noConversion"/>
  </si>
  <si>
    <t>EB</t>
    <phoneticPr fontId="20"/>
  </si>
  <si>
    <t>NC</t>
    <phoneticPr fontId="20"/>
  </si>
  <si>
    <t>大気汚染防止</t>
    <rPh sb="0" eb="2">
      <t>タイキ</t>
    </rPh>
    <rPh sb="2" eb="4">
      <t>オセン</t>
    </rPh>
    <rPh sb="4" eb="6">
      <t>ボウシ</t>
    </rPh>
    <phoneticPr fontId="20"/>
  </si>
  <si>
    <t>温熱環境悪化の改善</t>
    <phoneticPr fontId="20"/>
  </si>
  <si>
    <t>地域インフラへの負荷抑制</t>
    <phoneticPr fontId="20"/>
  </si>
  <si>
    <t>EB</t>
    <phoneticPr fontId="20"/>
  </si>
  <si>
    <t>NC</t>
    <phoneticPr fontId="20"/>
  </si>
  <si>
    <t>雨水排水負荷低減</t>
    <phoneticPr fontId="20"/>
  </si>
  <si>
    <t>汚水処理負荷抑制</t>
    <phoneticPr fontId="20"/>
  </si>
  <si>
    <t>交通負荷抑制</t>
    <phoneticPr fontId="20"/>
  </si>
  <si>
    <t>廃棄物処理負荷抑制</t>
    <phoneticPr fontId="20"/>
  </si>
  <si>
    <t>周辺環境への配慮</t>
    <rPh sb="0" eb="2">
      <t>ｼｭｳﾍﾝ</t>
    </rPh>
    <rPh sb="2" eb="4">
      <t>ｶﾝｷｮｳ</t>
    </rPh>
    <rPh sb="6" eb="8">
      <t>ﾊｲﾘｮ</t>
    </rPh>
    <phoneticPr fontId="2" type="noConversion"/>
  </si>
  <si>
    <t>騒音・振動・悪臭の防止</t>
    <rPh sb="0" eb="2">
      <t>ソウオン</t>
    </rPh>
    <rPh sb="3" eb="5">
      <t>シンドウ</t>
    </rPh>
    <rPh sb="6" eb="8">
      <t>アクシュウ</t>
    </rPh>
    <rPh sb="9" eb="11">
      <t>ボウシ</t>
    </rPh>
    <phoneticPr fontId="20"/>
  </si>
  <si>
    <t>騒音</t>
    <phoneticPr fontId="20"/>
  </si>
  <si>
    <t>振動</t>
    <phoneticPr fontId="20"/>
  </si>
  <si>
    <t>悪臭</t>
    <phoneticPr fontId="20"/>
  </si>
  <si>
    <t>光害の抑制</t>
    <rPh sb="0" eb="1">
      <t>ヒカリ</t>
    </rPh>
    <rPh sb="1" eb="2">
      <t>ガイ</t>
    </rPh>
    <rPh sb="3" eb="5">
      <t>ヨクセイ</t>
    </rPh>
    <phoneticPr fontId="20"/>
  </si>
  <si>
    <t>EB</t>
    <phoneticPr fontId="20"/>
  </si>
  <si>
    <t>NC</t>
    <phoneticPr fontId="20"/>
  </si>
  <si>
    <t>外に漏れる光への対策</t>
    <phoneticPr fontId="20"/>
  </si>
  <si>
    <t>昼光の建物外壁による反射光への対策</t>
    <phoneticPr fontId="20"/>
  </si>
  <si>
    <t>■建物名称</t>
    <rPh sb="1" eb="3">
      <t>タテモノ</t>
    </rPh>
    <rPh sb="3" eb="5">
      <t>メイショウ</t>
    </rPh>
    <phoneticPr fontId="20"/>
  </si>
  <si>
    <t>発泡剤（断熱材等）</t>
    <rPh sb="0" eb="2">
      <t>ハッポウ</t>
    </rPh>
    <rPh sb="2" eb="3">
      <t>ザイ</t>
    </rPh>
    <rPh sb="4" eb="6">
      <t>ダンネツ</t>
    </rPh>
    <rPh sb="6" eb="7">
      <t>ザイ</t>
    </rPh>
    <rPh sb="7" eb="8">
      <t>トウ</t>
    </rPh>
    <phoneticPr fontId="20"/>
  </si>
  <si>
    <t>雑排水等利用システム導入の有無　[雑排水再利用率]</t>
    <rPh sb="0" eb="3">
      <t>ザッパイスイ</t>
    </rPh>
    <rPh sb="3" eb="4">
      <t>ナド</t>
    </rPh>
    <rPh sb="4" eb="6">
      <t>リヨウ</t>
    </rPh>
    <rPh sb="10" eb="12">
      <t>ドウニュウ</t>
    </rPh>
    <rPh sb="13" eb="15">
      <t>ウム</t>
    </rPh>
    <rPh sb="17" eb="18">
      <t>ザツ</t>
    </rPh>
    <rPh sb="18" eb="20">
      <t>ハイスイ</t>
    </rPh>
    <rPh sb="20" eb="21">
      <t>サイ</t>
    </rPh>
    <rPh sb="21" eb="23">
      <t>リヨウ</t>
    </rPh>
    <rPh sb="23" eb="24">
      <t>リツ</t>
    </rPh>
    <phoneticPr fontId="20"/>
  </si>
  <si>
    <t>雨水利用・雑排水等の利用</t>
    <rPh sb="0" eb="2">
      <t>ｳｽｲ</t>
    </rPh>
    <rPh sb="2" eb="4">
      <t>ﾘﾖｳ</t>
    </rPh>
    <rPh sb="5" eb="8">
      <t>ｻﾞﾂﾊｲｽｲ</t>
    </rPh>
    <rPh sb="8" eb="9">
      <t>とう</t>
    </rPh>
    <rPh sb="10" eb="12">
      <t>ﾘﾖｳ</t>
    </rPh>
    <phoneticPr fontId="30" type="noConversion"/>
  </si>
  <si>
    <t>設備騒音対策</t>
    <phoneticPr fontId="20"/>
  </si>
  <si>
    <t>室内騒音レベル</t>
    <rPh sb="0" eb="2">
      <t>シツナイ</t>
    </rPh>
    <phoneticPr fontId="20"/>
  </si>
  <si>
    <t>界床遮音性能（軽量衝撃源）</t>
    <phoneticPr fontId="20"/>
  </si>
  <si>
    <t>界床遮音性能（重量衝撃源）</t>
    <phoneticPr fontId="20"/>
  </si>
  <si>
    <t>※LR1/2.自然エネルギー利用</t>
    <rPh sb="7" eb="9">
      <t>シゼン</t>
    </rPh>
    <rPh sb="14" eb="16">
      <t>リヨウ</t>
    </rPh>
    <phoneticPr fontId="20"/>
  </si>
  <si>
    <t>既存</t>
    <rPh sb="0" eb="2">
      <t>キソン</t>
    </rPh>
    <phoneticPr fontId="20"/>
  </si>
  <si>
    <t>新築</t>
    <rPh sb="0" eb="2">
      <t>シンチク</t>
    </rPh>
    <phoneticPr fontId="20"/>
  </si>
  <si>
    <t>既存学校版</t>
    <rPh sb="0" eb="2">
      <t>キソン</t>
    </rPh>
    <rPh sb="2" eb="4">
      <t>ガッコウ</t>
    </rPh>
    <rPh sb="4" eb="5">
      <t>バン</t>
    </rPh>
    <phoneticPr fontId="20"/>
  </si>
  <si>
    <t>基本設計段階</t>
    <rPh sb="0" eb="2">
      <t>キホン</t>
    </rPh>
    <rPh sb="2" eb="4">
      <t>セッケイ</t>
    </rPh>
    <rPh sb="4" eb="6">
      <t>ダンカイ</t>
    </rPh>
    <phoneticPr fontId="20"/>
  </si>
  <si>
    <t>簡易評価</t>
    <rPh sb="0" eb="2">
      <t>カンイ</t>
    </rPh>
    <rPh sb="2" eb="4">
      <t>ヒョウカ</t>
    </rPh>
    <phoneticPr fontId="20"/>
  </si>
  <si>
    <t>実施設計段階</t>
    <rPh sb="0" eb="2">
      <t>ジッシ</t>
    </rPh>
    <rPh sb="2" eb="4">
      <t>セッケイ</t>
    </rPh>
    <rPh sb="4" eb="6">
      <t>ダンカイ</t>
    </rPh>
    <phoneticPr fontId="20"/>
  </si>
  <si>
    <t>省エネルギー計画書による評価</t>
    <rPh sb="0" eb="1">
      <t>ショウ</t>
    </rPh>
    <rPh sb="6" eb="9">
      <t>ケイカクショ</t>
    </rPh>
    <rPh sb="12" eb="14">
      <t>ヒョウカ</t>
    </rPh>
    <phoneticPr fontId="20"/>
  </si>
  <si>
    <t>竣工段階</t>
    <rPh sb="0" eb="2">
      <t>シュンコウ</t>
    </rPh>
    <rPh sb="2" eb="4">
      <t>ダンカイ</t>
    </rPh>
    <phoneticPr fontId="20"/>
  </si>
  <si>
    <t>維持管理に配慮した設計</t>
    <rPh sb="0" eb="2">
      <t>イジ</t>
    </rPh>
    <rPh sb="2" eb="4">
      <t>カンリ</t>
    </rPh>
    <rPh sb="5" eb="7">
      <t>ハイリョ</t>
    </rPh>
    <rPh sb="9" eb="11">
      <t>セッケイ</t>
    </rPh>
    <phoneticPr fontId="20"/>
  </si>
  <si>
    <t>集合住宅</t>
    <rPh sb="0" eb="2">
      <t>シュウゴウ</t>
    </rPh>
    <rPh sb="2" eb="4">
      <t>ジュウタク</t>
    </rPh>
    <phoneticPr fontId="20"/>
  </si>
  <si>
    <t>非住宅</t>
    <rPh sb="0" eb="1">
      <t>ヒ</t>
    </rPh>
    <rPh sb="1" eb="3">
      <t>ジュウタク</t>
    </rPh>
    <phoneticPr fontId="20"/>
  </si>
  <si>
    <t>建物全体</t>
    <rPh sb="0" eb="2">
      <t>タテモノ</t>
    </rPh>
    <rPh sb="2" eb="4">
      <t>ゼンタイ</t>
    </rPh>
    <phoneticPr fontId="20"/>
  </si>
  <si>
    <t>集会所</t>
    <rPh sb="0" eb="2">
      <t>シュウカイ</t>
    </rPh>
    <rPh sb="2" eb="3">
      <t>ジョ</t>
    </rPh>
    <phoneticPr fontId="20"/>
  </si>
  <si>
    <t>ホテル</t>
  </si>
  <si>
    <t>風害の抑制</t>
    <phoneticPr fontId="30" type="noConversion"/>
  </si>
  <si>
    <t>等級未入力</t>
    <rPh sb="0" eb="2">
      <t>トウキュウ</t>
    </rPh>
    <rPh sb="2" eb="5">
      <t>ミニュウリョク</t>
    </rPh>
    <phoneticPr fontId="20"/>
  </si>
  <si>
    <t>対象外</t>
    <rPh sb="0" eb="3">
      <t>タイショウガイ</t>
    </rPh>
    <phoneticPr fontId="20"/>
  </si>
  <si>
    <t>-</t>
    <phoneticPr fontId="20"/>
  </si>
  <si>
    <t>室温</t>
    <rPh sb="0" eb="2">
      <t>シツオン</t>
    </rPh>
    <phoneticPr fontId="20"/>
  </si>
  <si>
    <r>
      <t>kg-CO</t>
    </r>
    <r>
      <rPr>
        <vertAlign val="subscript"/>
        <sz val="10"/>
        <rFont val="ＭＳ Ｐゴシック"/>
        <family val="3"/>
        <charset val="128"/>
      </rPr>
      <t>2</t>
    </r>
    <r>
      <rPr>
        <sz val="10"/>
        <rFont val="ＭＳ Ｐゴシック"/>
        <family val="3"/>
        <charset val="128"/>
      </rPr>
      <t>/年</t>
    </r>
    <rPh sb="7" eb="8">
      <t>ネン</t>
    </rPh>
    <phoneticPr fontId="20"/>
  </si>
  <si>
    <t>共用部</t>
    <rPh sb="0" eb="2">
      <t>キョウヨウ</t>
    </rPh>
    <rPh sb="2" eb="3">
      <t>ブ</t>
    </rPh>
    <phoneticPr fontId="20"/>
  </si>
  <si>
    <t>※個別計算</t>
    <phoneticPr fontId="20"/>
  </si>
  <si>
    <t>※個別計算</t>
    <phoneticPr fontId="20"/>
  </si>
  <si>
    <t xml:space="preserve"> ④上記+
　オフサイト手法</t>
    <phoneticPr fontId="20"/>
  </si>
  <si>
    <t>オンサイト</t>
  </si>
  <si>
    <t>オフサイト</t>
  </si>
  <si>
    <t>％</t>
    <phoneticPr fontId="20"/>
  </si>
  <si>
    <t>Sum</t>
    <phoneticPr fontId="20"/>
  </si>
  <si>
    <t>before</t>
    <phoneticPr fontId="20"/>
  </si>
  <si>
    <t>after</t>
    <phoneticPr fontId="20"/>
  </si>
  <si>
    <t>Rank(green star)</t>
  </si>
  <si>
    <t>(blank star)</t>
  </si>
  <si>
    <t>MJ/年㎡</t>
    <rPh sb="3" eb="4">
      <t>ネン</t>
    </rPh>
    <phoneticPr fontId="20"/>
  </si>
  <si>
    <t>備考</t>
    <rPh sb="0" eb="2">
      <t>ビコウ</t>
    </rPh>
    <phoneticPr fontId="20"/>
  </si>
  <si>
    <t>建物用途</t>
    <rPh sb="0" eb="2">
      <t>タテモノ</t>
    </rPh>
    <rPh sb="2" eb="4">
      <t>ヨウト</t>
    </rPh>
    <phoneticPr fontId="20"/>
  </si>
  <si>
    <t>－</t>
    <phoneticPr fontId="20"/>
  </si>
  <si>
    <t>その他</t>
    <rPh sb="2" eb="3">
      <t>タ</t>
    </rPh>
    <phoneticPr fontId="20"/>
  </si>
  <si>
    <t>映り込み対策</t>
    <rPh sb="0" eb="1">
      <t>ウツ</t>
    </rPh>
    <rPh sb="2" eb="3">
      <t>コ</t>
    </rPh>
    <rPh sb="4" eb="6">
      <t>タイサク</t>
    </rPh>
    <phoneticPr fontId="20"/>
  </si>
  <si>
    <t>参考</t>
    <rPh sb="0" eb="2">
      <t>サンコウ</t>
    </rPh>
    <phoneticPr fontId="20"/>
  </si>
  <si>
    <t>太陽光発電による削減分</t>
    <rPh sb="0" eb="2">
      <t>タイヨウ</t>
    </rPh>
    <rPh sb="2" eb="3">
      <t>ヒカリ</t>
    </rPh>
    <rPh sb="3" eb="5">
      <t>ハツデン</t>
    </rPh>
    <rPh sb="8" eb="10">
      <t>サクゲン</t>
    </rPh>
    <rPh sb="10" eb="11">
      <t>ブン</t>
    </rPh>
    <phoneticPr fontId="20"/>
  </si>
  <si>
    <t>(内訳）自家消費分</t>
    <rPh sb="1" eb="3">
      <t>ウチワケ</t>
    </rPh>
    <rPh sb="4" eb="6">
      <t>ジカ</t>
    </rPh>
    <rPh sb="6" eb="8">
      <t>ショウヒ</t>
    </rPh>
    <rPh sb="8" eb="9">
      <t>ブン</t>
    </rPh>
    <phoneticPr fontId="20"/>
  </si>
  <si>
    <t>余剰売電分</t>
    <rPh sb="0" eb="2">
      <t>ヨジョウ</t>
    </rPh>
    <rPh sb="2" eb="4">
      <t>バイデン</t>
    </rPh>
    <rPh sb="4" eb="5">
      <t>ブン</t>
    </rPh>
    <phoneticPr fontId="20"/>
  </si>
  <si>
    <t>その他再生可能エネルギー</t>
    <rPh sb="2" eb="3">
      <t>ホカ</t>
    </rPh>
    <rPh sb="3" eb="5">
      <t>サイセイ</t>
    </rPh>
    <rPh sb="5" eb="7">
      <t>カノウ</t>
    </rPh>
    <phoneticPr fontId="20"/>
  </si>
  <si>
    <t>－</t>
    <phoneticPr fontId="20"/>
  </si>
  <si>
    <t>④上記+
　オフサイト手法</t>
    <phoneticPr fontId="20"/>
  </si>
  <si>
    <t>(a)　グリーン電力証書によるカーボンオフセット</t>
    <phoneticPr fontId="20"/>
  </si>
  <si>
    <t>－</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</si>
  <si>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</si>
  <si>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</si>
  <si>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</si>
  <si>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</si>
  <si>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</si>
  <si>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</si>
  <si>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</si>
  <si>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</si>
  <si>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</si>
  <si>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</si>
  <si>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○○による</t>
    <phoneticPr fontId="20"/>
  </si>
  <si>
    <t>○○による</t>
    <phoneticPr fontId="20"/>
  </si>
  <si>
    <t>③上記+②以外の
　オンサイト手法</t>
    <phoneticPr fontId="20"/>
  </si>
  <si>
    <t>－</t>
    <phoneticPr fontId="20"/>
  </si>
  <si>
    <t>(a)　グリーン電力証書によるカーボンオフセット</t>
    <phoneticPr fontId="20"/>
  </si>
  <si>
    <t>(b)グリーン熱証書によるカーボンオフセット</t>
    <phoneticPr fontId="20"/>
  </si>
  <si>
    <t>（ｃ）その他カーボンクレジット</t>
    <phoneticPr fontId="20"/>
  </si>
  <si>
    <t>(d)調整後排出量（調整後排出係数による）と実排出量の差</t>
    <phoneticPr fontId="20"/>
  </si>
  <si>
    <t>太陽光発電によるCO2削減量</t>
    <rPh sb="0" eb="3">
      <t>タイヨウコウ</t>
    </rPh>
    <rPh sb="3" eb="5">
      <t>ハツデン</t>
    </rPh>
    <rPh sb="11" eb="13">
      <t>サクゲン</t>
    </rPh>
    <rPh sb="13" eb="14">
      <t>リョウ</t>
    </rPh>
    <phoneticPr fontId="20"/>
  </si>
  <si>
    <t>太陽光発電の発電量</t>
    <phoneticPr fontId="20"/>
  </si>
  <si>
    <t>合計</t>
    <phoneticPr fontId="20"/>
  </si>
  <si>
    <t>kWh/年</t>
    <phoneticPr fontId="20"/>
  </si>
  <si>
    <t>自家消費分</t>
    <phoneticPr fontId="20"/>
  </si>
  <si>
    <t>kWh/年</t>
    <phoneticPr fontId="20"/>
  </si>
  <si>
    <t>段階</t>
    <phoneticPr fontId="20"/>
  </si>
  <si>
    <t>余剰売電分</t>
    <phoneticPr fontId="20"/>
  </si>
  <si>
    <t>CO2削減量</t>
    <rPh sb="3" eb="5">
      <t>サクゲン</t>
    </rPh>
    <rPh sb="5" eb="6">
      <t>リョウ</t>
    </rPh>
    <phoneticPr fontId="20"/>
  </si>
  <si>
    <t>合計  [1]</t>
    <phoneticPr fontId="20"/>
  </si>
  <si>
    <t>自家消費分</t>
    <phoneticPr fontId="20"/>
  </si>
  <si>
    <t>余剰売電分</t>
    <phoneticPr fontId="20"/>
  </si>
  <si>
    <t>算定に用いた排出係数</t>
    <rPh sb="0" eb="2">
      <t>サンテイ</t>
    </rPh>
    <rPh sb="3" eb="4">
      <t>モチ</t>
    </rPh>
    <rPh sb="6" eb="8">
      <t>ハイシュツ</t>
    </rPh>
    <rPh sb="8" eb="10">
      <t>ケイスウ</t>
    </rPh>
    <phoneticPr fontId="20"/>
  </si>
  <si>
    <t>自家消費分</t>
    <phoneticPr fontId="20"/>
  </si>
  <si>
    <r>
      <t>kg-CO</t>
    </r>
    <r>
      <rPr>
        <vertAlign val="subscript"/>
        <sz val="10"/>
        <rFont val="ＭＳ Ｐゴシック"/>
        <family val="3"/>
        <charset val="128"/>
      </rPr>
      <t>2</t>
    </r>
    <r>
      <rPr>
        <sz val="10"/>
        <rFont val="ＭＳ Ｐゴシック"/>
        <family val="3"/>
        <charset val="128"/>
      </rPr>
      <t>/kWh</t>
    </r>
    <phoneticPr fontId="20"/>
  </si>
  <si>
    <r>
      <t>kg-CO</t>
    </r>
    <r>
      <rPr>
        <vertAlign val="subscript"/>
        <sz val="10"/>
        <rFont val="ＭＳ Ｐゴシック"/>
        <family val="3"/>
        <charset val="128"/>
      </rPr>
      <t>2</t>
    </r>
    <r>
      <rPr>
        <sz val="10"/>
        <rFont val="ＭＳ Ｐゴシック"/>
        <family val="3"/>
        <charset val="128"/>
      </rPr>
      <t>/kWh</t>
    </r>
    <phoneticPr fontId="20"/>
  </si>
  <si>
    <t>実排出係数の場合</t>
    <rPh sb="0" eb="1">
      <t>ジツ</t>
    </rPh>
    <rPh sb="1" eb="3">
      <t>ハイシュツ</t>
    </rPh>
    <rPh sb="3" eb="5">
      <t>ケイスウ</t>
    </rPh>
    <rPh sb="6" eb="8">
      <t>バアイ</t>
    </rPh>
    <phoneticPr fontId="20"/>
  </si>
  <si>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0"/>
  </si>
  <si>
    <t>評価建物(③)の電力消費量</t>
    <phoneticPr fontId="20"/>
  </si>
  <si>
    <t>実排出係数</t>
    <rPh sb="0" eb="1">
      <t>ジツ</t>
    </rPh>
    <rPh sb="1" eb="3">
      <t>ハイシュツ</t>
    </rPh>
    <rPh sb="3" eb="5">
      <t>ケイスウ</t>
    </rPh>
    <phoneticPr fontId="20"/>
  </si>
  <si>
    <r>
      <t>kg-CO</t>
    </r>
    <r>
      <rPr>
        <vertAlign val="subscript"/>
        <sz val="10"/>
        <rFont val="ＭＳ Ｐゴシック"/>
        <family val="3"/>
        <charset val="128"/>
      </rPr>
      <t>2</t>
    </r>
    <r>
      <rPr>
        <sz val="10"/>
        <rFont val="ＭＳ Ｐゴシック"/>
        <family val="3"/>
        <charset val="128"/>
      </rPr>
      <t>/kWh</t>
    </r>
    <phoneticPr fontId="20"/>
  </si>
  <si>
    <t>調整後排出係数</t>
    <rPh sb="0" eb="3">
      <t>チョウセイゴ</t>
    </rPh>
    <rPh sb="3" eb="5">
      <t>ハイシュツ</t>
    </rPh>
    <rPh sb="5" eb="7">
      <t>ケイスウ</t>
    </rPh>
    <phoneticPr fontId="20"/>
  </si>
  <si>
    <t>実排出量との差</t>
    <phoneticPr fontId="20"/>
  </si>
  <si>
    <t>延床面積あたり　[2]</t>
    <rPh sb="0" eb="2">
      <t>ノベユカ</t>
    </rPh>
    <rPh sb="2" eb="4">
      <t>メンセキ</t>
    </rPh>
    <phoneticPr fontId="20"/>
  </si>
  <si>
    <t>小中高</t>
    <rPh sb="0" eb="3">
      <t>ショウチュウコウ</t>
    </rPh>
    <phoneticPr fontId="20"/>
  </si>
  <si>
    <t>室内騒音レベル</t>
    <rPh sb="0" eb="2">
      <t>シツナイ</t>
    </rPh>
    <rPh sb="2" eb="4">
      <t>ソウオン</t>
    </rPh>
    <phoneticPr fontId="20"/>
  </si>
  <si>
    <t>時間外空調に対する配慮</t>
  </si>
  <si>
    <t xml:space="preserve"> ダニ・カビ等</t>
  </si>
  <si>
    <t>生物資源の保全と創出</t>
    <rPh sb="2" eb="4">
      <t>シゲン</t>
    </rPh>
    <phoneticPr fontId="20"/>
  </si>
  <si>
    <t>雑排水等再利用システム導入の有無</t>
  </si>
  <si>
    <t>発泡剤（断熱材等）</t>
  </si>
  <si>
    <t>地域インフラへの負荷抑制</t>
    <rPh sb="0" eb="2">
      <t>チイキ</t>
    </rPh>
    <rPh sb="8" eb="10">
      <t>フカ</t>
    </rPh>
    <rPh sb="10" eb="12">
      <t>ヨクセイ</t>
    </rPh>
    <phoneticPr fontId="20"/>
  </si>
  <si>
    <t>悪臭</t>
    <rPh sb="0" eb="2">
      <t>アクシュウ</t>
    </rPh>
    <phoneticPr fontId="20"/>
  </si>
  <si>
    <t>清掃管理業務</t>
    <rPh sb="0" eb="2">
      <t>セイソウ</t>
    </rPh>
    <rPh sb="2" eb="4">
      <t>カンリ</t>
    </rPh>
    <rPh sb="4" eb="6">
      <t>ギョウム</t>
    </rPh>
    <phoneticPr fontId="20"/>
  </si>
  <si>
    <t>官公庁</t>
    <rPh sb="0" eb="3">
      <t>カンコウチョウ</t>
    </rPh>
    <phoneticPr fontId="20"/>
  </si>
  <si>
    <t>幼稚園・保育園</t>
    <rPh sb="0" eb="3">
      <t>ヨウチエン</t>
    </rPh>
    <rPh sb="4" eb="7">
      <t>ホイクエン</t>
    </rPh>
    <phoneticPr fontId="20"/>
  </si>
  <si>
    <t>大学・専門学校</t>
    <rPh sb="0" eb="2">
      <t>ダイガク</t>
    </rPh>
    <rPh sb="3" eb="5">
      <t>センモン</t>
    </rPh>
    <rPh sb="5" eb="7">
      <t>ガッコウ</t>
    </rPh>
    <phoneticPr fontId="20"/>
  </si>
  <si>
    <t>デパート・スーパー</t>
  </si>
  <si>
    <t>劇場・ホール</t>
    <rPh sb="0" eb="2">
      <t>ゲキジョウ</t>
    </rPh>
    <phoneticPr fontId="20"/>
  </si>
  <si>
    <t>展示施設</t>
    <rPh sb="0" eb="2">
      <t>テンジ</t>
    </rPh>
    <rPh sb="2" eb="4">
      <t>シセツ</t>
    </rPh>
    <phoneticPr fontId="20"/>
  </si>
  <si>
    <t>スポーツ施設</t>
    <rPh sb="4" eb="6">
      <t>シセツ</t>
    </rPh>
    <phoneticPr fontId="20"/>
  </si>
  <si>
    <t>電算室</t>
    <rPh sb="0" eb="3">
      <t>デンサンシツ</t>
    </rPh>
    <phoneticPr fontId="20"/>
  </si>
  <si>
    <t>福祉施設</t>
    <rPh sb="0" eb="2">
      <t>フクシ</t>
    </rPh>
    <rPh sb="2" eb="4">
      <t>シセツ</t>
    </rPh>
    <phoneticPr fontId="20"/>
  </si>
  <si>
    <t>■評価ソフト：</t>
    <rPh sb="1" eb="3">
      <t>ヒョウカ</t>
    </rPh>
    <phoneticPr fontId="20"/>
  </si>
  <si>
    <t>④スコア表示シート</t>
    <rPh sb="4" eb="6">
      <t>ﾋｮｳｼﾞ</t>
    </rPh>
    <phoneticPr fontId="30" type="noConversion"/>
  </si>
  <si>
    <t>建物全体・共用部分</t>
  </si>
  <si>
    <t>住居・宿泊部分</t>
    <phoneticPr fontId="20"/>
  </si>
  <si>
    <t>全体</t>
    <phoneticPr fontId="20"/>
  </si>
  <si>
    <t>NA</t>
    <phoneticPr fontId="20"/>
  </si>
  <si>
    <t>score</t>
    <phoneticPr fontId="20"/>
  </si>
  <si>
    <t>配慮項目</t>
    <phoneticPr fontId="20"/>
  </si>
  <si>
    <t>重み係数</t>
    <rPh sb="0" eb="1">
      <t>オモ</t>
    </rPh>
    <phoneticPr fontId="20"/>
  </si>
  <si>
    <t>before</t>
    <phoneticPr fontId="20"/>
  </si>
  <si>
    <t>after</t>
    <phoneticPr fontId="20"/>
  </si>
  <si>
    <t>weight(set)
before</t>
    <phoneticPr fontId="20"/>
  </si>
  <si>
    <t>weight(set)
after</t>
    <phoneticPr fontId="20"/>
  </si>
  <si>
    <t>Q 建築物の環境品質</t>
    <phoneticPr fontId="20"/>
  </si>
  <si>
    <t>Q1</t>
    <phoneticPr fontId="30" type="noConversion"/>
  </si>
  <si>
    <t>室内環境</t>
    <phoneticPr fontId="20"/>
  </si>
  <si>
    <t>湿度制御</t>
    <rPh sb="0" eb="2">
      <t>ｼﾂﾄﾞ</t>
    </rPh>
    <rPh sb="2" eb="4">
      <t>ｾｲｷﾞｮ</t>
    </rPh>
    <phoneticPr fontId="30" type="noConversion"/>
  </si>
  <si>
    <t>非再生性資源の使用量削減</t>
    <rPh sb="0" eb="1">
      <t>ﾋ</t>
    </rPh>
    <rPh sb="1" eb="3">
      <t>ｻｲｾｲ</t>
    </rPh>
    <rPh sb="3" eb="4">
      <t>ｾｲ</t>
    </rPh>
    <rPh sb="4" eb="6">
      <t>ｼｹﾞﾝ</t>
    </rPh>
    <rPh sb="7" eb="10">
      <t>ｼﾖｳﾘｮｳ</t>
    </rPh>
    <rPh sb="10" eb="12">
      <t>ｻｸｹﾞﾝ</t>
    </rPh>
    <phoneticPr fontId="30" type="noConversion"/>
  </si>
  <si>
    <t>地域区分Ⅰ</t>
    <phoneticPr fontId="20"/>
  </si>
  <si>
    <t>Rank(green star)</t>
    <phoneticPr fontId="20"/>
  </si>
  <si>
    <t>Subjest1</t>
    <phoneticPr fontId="20"/>
  </si>
  <si>
    <t>N.A.</t>
  </si>
  <si>
    <t>汚染物質含有材料の使用回避</t>
    <rPh sb="0" eb="2">
      <t>ｵｾﾝ</t>
    </rPh>
    <rPh sb="2" eb="4">
      <t>ﾌﾞｯｼﾂ</t>
    </rPh>
    <rPh sb="4" eb="6">
      <t>ｶﾞﾝﾕｳ</t>
    </rPh>
    <rPh sb="6" eb="8">
      <t>ｻﾞｲﾘｮｳ</t>
    </rPh>
    <rPh sb="9" eb="11">
      <t>ｼﾖｳ</t>
    </rPh>
    <rPh sb="11" eb="13">
      <t>ｶｲﾋ</t>
    </rPh>
    <phoneticPr fontId="30" type="noConversion"/>
  </si>
  <si>
    <t>■使用評価ソフト：</t>
    <rPh sb="1" eb="3">
      <t>シヨウ</t>
    </rPh>
    <rPh sb="3" eb="5">
      <t>ヒョウカ</t>
    </rPh>
    <phoneticPr fontId="20"/>
  </si>
  <si>
    <r>
      <t>1-1</t>
    </r>
    <r>
      <rPr>
        <b/>
        <sz val="12"/>
        <color indexed="9"/>
        <rFont val="ＭＳ Ｐゴシック"/>
        <family val="3"/>
        <charset val="128"/>
      </rPr>
      <t>　建物概要</t>
    </r>
    <rPh sb="4" eb="5">
      <t>ｹﾝ</t>
    </rPh>
    <rPh sb="5" eb="6">
      <t>ﾓﾉ</t>
    </rPh>
    <rPh sb="6" eb="8">
      <t>ｶﾞｲﾖｳ</t>
    </rPh>
    <phoneticPr fontId="30" type="noConversion"/>
  </si>
  <si>
    <r>
      <t>1-2</t>
    </r>
    <r>
      <rPr>
        <b/>
        <sz val="12"/>
        <color indexed="9"/>
        <rFont val="ＭＳ Ｐゴシック"/>
        <family val="3"/>
        <charset val="128"/>
      </rPr>
      <t>　外観</t>
    </r>
    <rPh sb="4" eb="6">
      <t>ガイカン</t>
    </rPh>
    <phoneticPr fontId="20"/>
  </si>
  <si>
    <t>BEE rank</t>
    <phoneticPr fontId="20"/>
  </si>
  <si>
    <t>radar chart</t>
    <phoneticPr fontId="20"/>
  </si>
  <si>
    <t>建物名称</t>
    <rPh sb="0" eb="2">
      <t>ﾀﾃﾓﾉ</t>
    </rPh>
    <rPh sb="2" eb="4">
      <t>ﾒｲｼｮｳ</t>
    </rPh>
    <phoneticPr fontId="30" type="noConversion"/>
  </si>
  <si>
    <t>階数</t>
    <rPh sb="0" eb="2">
      <t>カイスウ</t>
    </rPh>
    <phoneticPr fontId="20"/>
  </si>
  <si>
    <t>radar chart</t>
  </si>
  <si>
    <t>建設地</t>
    <rPh sb="0" eb="3">
      <t>ｹﾝｾﾂﾁ</t>
    </rPh>
    <phoneticPr fontId="30" type="noConversion"/>
  </si>
  <si>
    <t>構造</t>
    <rPh sb="0" eb="2">
      <t>コウゾウ</t>
    </rPh>
    <phoneticPr fontId="20"/>
  </si>
  <si>
    <t>用途地域</t>
    <rPh sb="0" eb="2">
      <t>ﾖｳﾄ</t>
    </rPh>
    <rPh sb="2" eb="4">
      <t>ﾁｲｷ</t>
    </rPh>
    <phoneticPr fontId="30" type="noConversion"/>
  </si>
  <si>
    <t>平均居住人員</t>
    <rPh sb="0" eb="2">
      <t>ﾍｲｷﾝ</t>
    </rPh>
    <rPh sb="2" eb="4">
      <t>ｷｮｼﾞｭｳ</t>
    </rPh>
    <rPh sb="4" eb="6">
      <t>ｼﾞﾝｲﾝ</t>
    </rPh>
    <phoneticPr fontId="30" type="noConversion"/>
  </si>
  <si>
    <t>人</t>
    <rPh sb="0" eb="1">
      <t>ニン</t>
    </rPh>
    <phoneticPr fontId="20"/>
  </si>
  <si>
    <t>Q</t>
    <phoneticPr fontId="20"/>
  </si>
  <si>
    <t>Q3</t>
    <phoneticPr fontId="20"/>
  </si>
  <si>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0"/>
  </si>
  <si>
    <t>年間使用時間</t>
    <rPh sb="0" eb="2">
      <t>ﾈﾝｶﾝ</t>
    </rPh>
    <rPh sb="2" eb="4">
      <t>ｼﾖｳ</t>
    </rPh>
    <rPh sb="4" eb="6">
      <t>ｼﾞｶﾝ</t>
    </rPh>
    <phoneticPr fontId="30" type="noConversion"/>
  </si>
  <si>
    <r>
      <t>時間</t>
    </r>
    <r>
      <rPr>
        <sz val="10"/>
        <rFont val="Arial"/>
        <family val="2"/>
      </rPr>
      <t>/</t>
    </r>
    <r>
      <rPr>
        <sz val="10"/>
        <rFont val="ＭＳ Ｐゴシック"/>
        <family val="3"/>
        <charset val="128"/>
      </rPr>
      <t>年</t>
    </r>
    <rPh sb="0" eb="2">
      <t>ジカン</t>
    </rPh>
    <rPh sb="3" eb="4">
      <t>ネン</t>
    </rPh>
    <phoneticPr fontId="20"/>
  </si>
  <si>
    <t>外観パース等</t>
    <rPh sb="0" eb="2">
      <t>ガイカン</t>
    </rPh>
    <rPh sb="5" eb="6">
      <t>トウ</t>
    </rPh>
    <phoneticPr fontId="20"/>
  </si>
  <si>
    <t>L</t>
    <phoneticPr fontId="20"/>
  </si>
  <si>
    <t>LR3</t>
    <phoneticPr fontId="20"/>
  </si>
  <si>
    <t>建物用途</t>
    <rPh sb="0" eb="2">
      <t>ﾀﾃﾓﾉ</t>
    </rPh>
    <rPh sb="2" eb="4">
      <t>ﾖｳﾄ</t>
    </rPh>
    <phoneticPr fontId="30" type="noConversion"/>
  </si>
  <si>
    <t>改修後の想定使用年数</t>
    <rPh sb="6" eb="8">
      <t>シヨウ</t>
    </rPh>
    <phoneticPr fontId="20"/>
  </si>
  <si>
    <t>年</t>
    <rPh sb="0" eb="1">
      <t>ネン</t>
    </rPh>
    <phoneticPr fontId="20"/>
  </si>
  <si>
    <t>図を貼り付けるときは</t>
    <rPh sb="0" eb="1">
      <t>ズ</t>
    </rPh>
    <rPh sb="2" eb="3">
      <t>ハ</t>
    </rPh>
    <rPh sb="4" eb="5">
      <t>ツ</t>
    </rPh>
    <phoneticPr fontId="20"/>
  </si>
  <si>
    <t>BEE</t>
    <phoneticPr fontId="20"/>
  </si>
  <si>
    <t>LR2</t>
    <phoneticPr fontId="20"/>
  </si>
  <si>
    <t>LR2 資源・
マテリアル</t>
    <rPh sb="4" eb="6">
      <t>シゲン</t>
    </rPh>
    <phoneticPr fontId="20"/>
  </si>
  <si>
    <t>改修竣工年月</t>
    <rPh sb="0" eb="2">
      <t>ｶｲｼｭｳ</t>
    </rPh>
    <rPh sb="2" eb="4">
      <t>ｼｭﾝｺｳ</t>
    </rPh>
    <rPh sb="4" eb="6">
      <t>ﾈﾝｹﾞﾂ</t>
    </rPh>
    <phoneticPr fontId="30" type="noConversion"/>
  </si>
  <si>
    <t>改修工事期間</t>
  </si>
  <si>
    <t>シートの保護を解除してください</t>
    <phoneticPr fontId="20"/>
  </si>
  <si>
    <t>BEE(Round)</t>
    <phoneticPr fontId="20"/>
  </si>
  <si>
    <t>LR1</t>
    <phoneticPr fontId="20"/>
  </si>
  <si>
    <t>LR1 
エネルギー</t>
    <phoneticPr fontId="20"/>
  </si>
  <si>
    <t>新築時竣工年月</t>
    <rPh sb="0" eb="2">
      <t>ｼﾝﾁｸ</t>
    </rPh>
    <rPh sb="2" eb="3">
      <t>ｼﾞ</t>
    </rPh>
    <rPh sb="3" eb="5">
      <t>ｼｭﾝｺｳ</t>
    </rPh>
    <rPh sb="5" eb="7">
      <t>ﾈﾝｹﾞﾂ</t>
    </rPh>
    <phoneticPr fontId="30" type="noConversion"/>
  </si>
  <si>
    <t>評価の実施日</t>
    <rPh sb="0" eb="2">
      <t>ヒョウカ</t>
    </rPh>
    <rPh sb="3" eb="6">
      <t>ジッシビ</t>
    </rPh>
    <phoneticPr fontId="20"/>
  </si>
  <si>
    <t>Q1</t>
    <phoneticPr fontId="20"/>
  </si>
  <si>
    <r>
      <t>Q1</t>
    </r>
    <r>
      <rPr>
        <sz val="11"/>
        <rFont val="ＭＳ Ｐゴシック"/>
        <family val="3"/>
        <charset val="128"/>
      </rPr>
      <t>　
室内環境</t>
    </r>
    <rPh sb="4" eb="6">
      <t>シツナイ</t>
    </rPh>
    <rPh sb="6" eb="8">
      <t>カンキョウ</t>
    </rPh>
    <phoneticPr fontId="20"/>
  </si>
  <si>
    <t>敷地面積</t>
    <rPh sb="0" eb="2">
      <t>ｼｷﾁ</t>
    </rPh>
    <rPh sb="2" eb="4">
      <t>ﾒﾝｾｷ</t>
    </rPh>
    <phoneticPr fontId="30" type="noConversion"/>
  </si>
  <si>
    <t>㎡</t>
    <phoneticPr fontId="30" type="noConversion"/>
  </si>
  <si>
    <t>作成者</t>
    <rPh sb="0" eb="3">
      <t>サクセイシャ</t>
    </rPh>
    <phoneticPr fontId="20"/>
  </si>
  <si>
    <t>Rank(red star)</t>
    <phoneticPr fontId="20"/>
  </si>
  <si>
    <t>建築面積</t>
    <rPh sb="0" eb="2">
      <t>ｹﾝﾁｸ</t>
    </rPh>
    <rPh sb="2" eb="4">
      <t>ﾒﾝｾｷ</t>
    </rPh>
    <phoneticPr fontId="30" type="noConversion"/>
  </si>
  <si>
    <t>㎡</t>
    <phoneticPr fontId="30" type="noConversion"/>
  </si>
  <si>
    <t>確認日</t>
    <rPh sb="0" eb="2">
      <t>カクニン</t>
    </rPh>
    <rPh sb="2" eb="3">
      <t>ビ</t>
    </rPh>
    <phoneticPr fontId="20"/>
  </si>
  <si>
    <t>(blank star)</t>
    <phoneticPr fontId="20"/>
  </si>
  <si>
    <t>延床面積</t>
    <rPh sb="0" eb="1">
      <t>ﾉ</t>
    </rPh>
    <rPh sb="1" eb="4">
      <t>ﾕｶﾒﾝｾｷ</t>
    </rPh>
    <phoneticPr fontId="30" type="noConversion"/>
  </si>
  <si>
    <t>確認者</t>
    <rPh sb="0" eb="2">
      <t>カクニン</t>
    </rPh>
    <rPh sb="2" eb="3">
      <t>シャ</t>
    </rPh>
    <phoneticPr fontId="20"/>
  </si>
  <si>
    <t>改修対象項目</t>
  </si>
  <si>
    <t>躯体</t>
  </si>
  <si>
    <t>改修目的</t>
  </si>
  <si>
    <t>現在までの主な改修履歴</t>
  </si>
  <si>
    <t>外装</t>
  </si>
  <si>
    <t>内装</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</si>
  <si>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</si>
  <si>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0" type="noConversion"/>
  </si>
  <si>
    <r>
      <t>BEE</t>
    </r>
    <r>
      <rPr>
        <sz val="11"/>
        <rFont val="ＭＳ Ｐゴシック"/>
        <family val="3"/>
        <charset val="128"/>
      </rPr>
      <t>グラフ</t>
    </r>
    <phoneticPr fontId="20"/>
  </si>
  <si>
    <t>基準</t>
    <rPh sb="0" eb="2">
      <t>キジュン</t>
    </rPh>
    <phoneticPr fontId="20"/>
  </si>
  <si>
    <t>評価</t>
    <rPh sb="0" eb="2">
      <t>ヒョウカ</t>
    </rPh>
    <phoneticPr fontId="20"/>
  </si>
  <si>
    <t>原点</t>
    <rPh sb="0" eb="2">
      <t>ゲンテン</t>
    </rPh>
    <phoneticPr fontId="20"/>
  </si>
  <si>
    <r>
      <t>BEE</t>
    </r>
    <r>
      <rPr>
        <sz val="11"/>
        <rFont val="ＭＳ Ｐゴシック"/>
        <family val="3"/>
        <charset val="128"/>
      </rPr>
      <t>の分母側</t>
    </r>
    <r>
      <rPr>
        <sz val="11"/>
        <rFont val="Arial"/>
        <family val="2"/>
      </rPr>
      <t>(L)</t>
    </r>
    <rPh sb="4" eb="6">
      <t>ブンボ</t>
    </rPh>
    <rPh sb="6" eb="7">
      <t>ガワ</t>
    </rPh>
    <phoneticPr fontId="20"/>
  </si>
  <si>
    <t>X目盛線</t>
    <rPh sb="1" eb="3">
      <t>メモ</t>
    </rPh>
    <rPh sb="3" eb="4">
      <t>セン</t>
    </rPh>
    <phoneticPr fontId="20"/>
  </si>
  <si>
    <t>Y目盛線</t>
    <rPh sb="1" eb="3">
      <t>メモ</t>
    </rPh>
    <rPh sb="3" eb="4">
      <t>セン</t>
    </rPh>
    <phoneticPr fontId="20"/>
  </si>
  <si>
    <r>
      <t>BEE</t>
    </r>
    <r>
      <rPr>
        <sz val="11"/>
        <rFont val="ＭＳ Ｐゴシック"/>
        <family val="3"/>
        <charset val="128"/>
      </rPr>
      <t>の分子側</t>
    </r>
    <r>
      <rPr>
        <sz val="11"/>
        <rFont val="Arial"/>
        <family val="2"/>
      </rPr>
      <t>(Q)</t>
    </r>
    <rPh sb="4" eb="6">
      <t>ブンシ</t>
    </rPh>
    <rPh sb="6" eb="7">
      <t>ガワ</t>
    </rPh>
    <phoneticPr fontId="20"/>
  </si>
  <si>
    <t>BEE</t>
    <phoneticPr fontId="20"/>
  </si>
  <si>
    <t>X</t>
    <phoneticPr fontId="20"/>
  </si>
  <si>
    <t>S</t>
    <phoneticPr fontId="20"/>
  </si>
  <si>
    <t>A</t>
    <phoneticPr fontId="20"/>
  </si>
  <si>
    <t>B+</t>
    <phoneticPr fontId="20"/>
  </si>
  <si>
    <t>B</t>
    <phoneticPr fontId="20"/>
  </si>
  <si>
    <t>B-</t>
    <phoneticPr fontId="20"/>
  </si>
  <si>
    <t>LCCO2(kg-CO2/ym2)</t>
    <phoneticPr fontId="20"/>
  </si>
  <si>
    <t>建設</t>
    <rPh sb="0" eb="2">
      <t>ケンセツ</t>
    </rPh>
    <phoneticPr fontId="20"/>
  </si>
  <si>
    <t>修繕・更新・解体</t>
    <rPh sb="0" eb="2">
      <t>シュウゼン</t>
    </rPh>
    <rPh sb="3" eb="5">
      <t>コウシン</t>
    </rPh>
    <rPh sb="6" eb="8">
      <t>カイタイ</t>
    </rPh>
    <phoneticPr fontId="20"/>
  </si>
  <si>
    <t>運用</t>
    <rPh sb="0" eb="2">
      <t>ウンヨウ</t>
    </rPh>
    <phoneticPr fontId="20"/>
  </si>
  <si>
    <t>N.A.</t>
    <phoneticPr fontId="20"/>
  </si>
  <si>
    <t>※個別計算</t>
    <rPh sb="1" eb="3">
      <t>コベツ</t>
    </rPh>
    <rPh sb="3" eb="5">
      <t>ケイサン</t>
    </rPh>
    <phoneticPr fontId="20"/>
  </si>
  <si>
    <r>
      <t>2-4</t>
    </r>
    <r>
      <rPr>
        <b/>
        <sz val="12"/>
        <color indexed="9"/>
        <rFont val="ＭＳ Ｐゴシック"/>
        <family val="3"/>
        <charset val="128"/>
      </rPr>
      <t>　中項目の評価（バーチャート）</t>
    </r>
    <phoneticPr fontId="20"/>
  </si>
  <si>
    <r>
      <t>Q</t>
    </r>
    <r>
      <rPr>
        <b/>
        <sz val="11"/>
        <color indexed="26"/>
        <rFont val="ＭＳ Ｐゴシック"/>
        <family val="3"/>
        <charset val="128"/>
      </rPr>
      <t>　環境品質</t>
    </r>
    <rPh sb="2" eb="4">
      <t>カンキョウ</t>
    </rPh>
    <rPh sb="4" eb="6">
      <t>ヒンシツ</t>
    </rPh>
    <phoneticPr fontId="20"/>
  </si>
  <si>
    <r>
      <t>Q-1</t>
    </r>
    <r>
      <rPr>
        <sz val="11"/>
        <rFont val="ＭＳ Ｐゴシック"/>
        <family val="3"/>
        <charset val="128"/>
      </rPr>
      <t>　室内環境</t>
    </r>
    <rPh sb="4" eb="6">
      <t>シツナイ</t>
    </rPh>
    <rPh sb="6" eb="8">
      <t>カンキョウ</t>
    </rPh>
    <phoneticPr fontId="20"/>
  </si>
  <si>
    <t>Q-2 サービス性能</t>
    <phoneticPr fontId="20"/>
  </si>
  <si>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0"/>
  </si>
  <si>
    <t>音環境</t>
  </si>
  <si>
    <t>機能性</t>
    <rPh sb="0" eb="3">
      <t>キノウセイ</t>
    </rPh>
    <phoneticPr fontId="20"/>
  </si>
  <si>
    <t>生物環境</t>
    <rPh sb="0" eb="2">
      <t>セイブツ</t>
    </rPh>
    <rPh sb="2" eb="4">
      <t>カンキョウ</t>
    </rPh>
    <phoneticPr fontId="20"/>
  </si>
  <si>
    <t>温熱環境</t>
  </si>
  <si>
    <t>排出係数の設定</t>
    <rPh sb="0" eb="2">
      <t>ハイシュツ</t>
    </rPh>
    <rPh sb="2" eb="4">
      <t>ケイスウ</t>
    </rPh>
    <rPh sb="5" eb="7">
      <t>セッテイ</t>
    </rPh>
    <phoneticPr fontId="20"/>
  </si>
  <si>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0"/>
  </si>
  <si>
    <t>←オプションボタン番号</t>
    <rPh sb="9" eb="11">
      <t>バンゴウ</t>
    </rPh>
    <phoneticPr fontId="20"/>
  </si>
  <si>
    <t>電力事業社名/根拠等</t>
    <rPh sb="0" eb="2">
      <t>デンリョク</t>
    </rPh>
    <rPh sb="2" eb="4">
      <t>ジギョウ</t>
    </rPh>
    <rPh sb="4" eb="6">
      <t>シャメイ</t>
    </rPh>
    <rPh sb="7" eb="9">
      <t>コンキョ</t>
    </rPh>
    <rPh sb="9" eb="10">
      <t>トウ</t>
    </rPh>
    <phoneticPr fontId="20"/>
  </si>
  <si>
    <t>↓事業社名</t>
    <rPh sb="1" eb="3">
      <t>ジギョウ</t>
    </rPh>
    <rPh sb="3" eb="5">
      <t>シャメイ</t>
    </rPh>
    <phoneticPr fontId="20"/>
  </si>
  <si>
    <t>↓排出係数</t>
    <rPh sb="1" eb="3">
      <t>ハイシュツ</t>
    </rPh>
    <rPh sb="3" eb="5">
      <t>ケイスウ</t>
    </rPh>
    <phoneticPr fontId="20"/>
  </si>
  <si>
    <t>排出係数</t>
    <phoneticPr fontId="20"/>
  </si>
  <si>
    <t>(t-CO2/kWh)</t>
    <phoneticPr fontId="20"/>
  </si>
  <si>
    <t>　（２）温暖化対策推進法に基づく温室効果ガス排出量の算定方法を参考とする場合</t>
    <rPh sb="31" eb="33">
      <t>サンコウ</t>
    </rPh>
    <phoneticPr fontId="20"/>
  </si>
  <si>
    <t>　　①</t>
    <phoneticPr fontId="20"/>
  </si>
  <si>
    <t>電気事業者（一般電気事業者及び特定規模電気事業者（PPS））から供給された電気</t>
    <phoneticPr fontId="20"/>
  </si>
  <si>
    <t>事業者名</t>
  </si>
  <si>
    <t>東京電力株式会社</t>
  </si>
  <si>
    <t>(t-CO2/kWh)</t>
  </si>
  <si>
    <t>　　②</t>
    <phoneticPr fontId="20"/>
  </si>
  <si>
    <t>根拠等</t>
    <rPh sb="0" eb="2">
      <t>コンキョ</t>
    </rPh>
    <rPh sb="2" eb="3">
      <t>トウ</t>
    </rPh>
    <phoneticPr fontId="20"/>
  </si>
  <si>
    <t>降順並び替え</t>
    <rPh sb="0" eb="2">
      <t>コウジュン</t>
    </rPh>
    <rPh sb="2" eb="3">
      <t>ナラ</t>
    </rPh>
    <rPh sb="4" eb="5">
      <t>カ</t>
    </rPh>
    <phoneticPr fontId="20"/>
  </si>
  <si>
    <t>イーレックス株式会社</t>
  </si>
  <si>
    <t>実排出係数との差</t>
    <rPh sb="0" eb="1">
      <t>ジツ</t>
    </rPh>
    <rPh sb="1" eb="3">
      <t>ハイシュツ</t>
    </rPh>
    <rPh sb="3" eb="5">
      <t>ケイスウ</t>
    </rPh>
    <rPh sb="7" eb="8">
      <t>サ</t>
    </rPh>
    <phoneticPr fontId="20"/>
  </si>
  <si>
    <t>エネサーブ株式会社</t>
  </si>
  <si>
    <t>サミットエナジー株式会社</t>
  </si>
  <si>
    <t>ダイヤモンドパワー株式会社</t>
  </si>
  <si>
    <t>パナソニック株式会社</t>
  </si>
  <si>
    <t>王子製紙株式会社</t>
  </si>
  <si>
    <t>沖縄電力株式会社</t>
  </si>
  <si>
    <t>株式会社Ｆ－Ｐｏｗｅｒ</t>
  </si>
  <si>
    <t>株式会社エネット</t>
  </si>
  <si>
    <t>関西電力株式会社</t>
  </si>
  <si>
    <t>丸紅株式会社</t>
  </si>
  <si>
    <t>九州電力株式会社</t>
  </si>
  <si>
    <t>四国電力株式会社</t>
  </si>
  <si>
    <t>昭和シェル石油株式会社</t>
  </si>
  <si>
    <t>中国電力株式会社</t>
  </si>
  <si>
    <t>中部電力株式会社</t>
  </si>
  <si>
    <t>東北電力株式会社</t>
  </si>
  <si>
    <t>北海道電力株式会社</t>
  </si>
  <si>
    <t>北陸電力株式会社</t>
  </si>
  <si>
    <r>
      <t>改修後 BEE</t>
    </r>
    <r>
      <rPr>
        <vertAlign val="subscript"/>
        <sz val="12"/>
        <rFont val="ＭＳ Ｐゴシック"/>
        <family val="3"/>
        <charset val="128"/>
      </rPr>
      <t>ES</t>
    </r>
    <rPh sb="0" eb="2">
      <t>カイシュウ</t>
    </rPh>
    <rPh sb="2" eb="3">
      <t>ゴ</t>
    </rPh>
    <phoneticPr fontId="20"/>
  </si>
  <si>
    <t>-</t>
  </si>
  <si>
    <t>室用途</t>
    <rPh sb="0" eb="1">
      <t>シツ</t>
    </rPh>
    <rPh sb="1" eb="3">
      <t>ヨウト</t>
    </rPh>
    <phoneticPr fontId="20"/>
  </si>
  <si>
    <t>エネルギー消費量</t>
    <rPh sb="5" eb="7">
      <t>ショウヒ</t>
    </rPh>
    <rPh sb="7" eb="8">
      <t>リョウ</t>
    </rPh>
    <phoneticPr fontId="20"/>
  </si>
  <si>
    <t>厨房</t>
    <rPh sb="0" eb="2">
      <t>チュウボウ</t>
    </rPh>
    <phoneticPr fontId="20"/>
  </si>
  <si>
    <t>3)　評価対象となるエネルギー消費量</t>
    <rPh sb="3" eb="5">
      <t>ヒョウカ</t>
    </rPh>
    <rPh sb="5" eb="7">
      <t>タイショウ</t>
    </rPh>
    <rPh sb="15" eb="18">
      <t>ショウヒリョウ</t>
    </rPh>
    <phoneticPr fontId="20"/>
  </si>
  <si>
    <t>2.　使用状況に準じた延床面積の構成比率の入力</t>
    <rPh sb="3" eb="5">
      <t>シヨウ</t>
    </rPh>
    <rPh sb="5" eb="7">
      <t>ジョウキョウ</t>
    </rPh>
    <rPh sb="8" eb="9">
      <t>ジュン</t>
    </rPh>
    <rPh sb="11" eb="13">
      <t>ノベユカ</t>
    </rPh>
    <rPh sb="13" eb="15">
      <t>メンセキ</t>
    </rPh>
    <rPh sb="16" eb="18">
      <t>コウセイ</t>
    </rPh>
    <rPh sb="18" eb="20">
      <t>ヒリツ</t>
    </rPh>
    <rPh sb="21" eb="23">
      <t>ニュウリョク</t>
    </rPh>
    <phoneticPr fontId="20"/>
  </si>
  <si>
    <t>　　　　3.　地区の選択</t>
    <rPh sb="7" eb="9">
      <t>チク</t>
    </rPh>
    <rPh sb="10" eb="12">
      <t>センタク</t>
    </rPh>
    <phoneticPr fontId="20"/>
  </si>
  <si>
    <t>関東</t>
    <rPh sb="0" eb="2">
      <t>カントウ</t>
    </rPh>
    <phoneticPr fontId="20"/>
  </si>
  <si>
    <t>1)　実績評価の対象面積</t>
    <rPh sb="3" eb="5">
      <t>ジッセキ</t>
    </rPh>
    <rPh sb="5" eb="7">
      <t>ヒョウカ</t>
    </rPh>
    <rPh sb="8" eb="10">
      <t>タイショウ</t>
    </rPh>
    <rPh sb="10" eb="12">
      <t>メンセキ</t>
    </rPh>
    <phoneticPr fontId="20"/>
  </si>
  <si>
    <t>2)　延床面積の構成比率入力</t>
    <rPh sb="3" eb="7">
      <t>ノベユカメンセキ</t>
    </rPh>
    <rPh sb="8" eb="10">
      <t>コウセイ</t>
    </rPh>
    <rPh sb="10" eb="12">
      <t>ヒリツ</t>
    </rPh>
    <rPh sb="12" eb="14">
      <t>ニュウリョク</t>
    </rPh>
    <phoneticPr fontId="20"/>
  </si>
  <si>
    <t>地区選択に基づく境界値aおよびb</t>
    <rPh sb="0" eb="2">
      <t>チク</t>
    </rPh>
    <rPh sb="2" eb="4">
      <t>センタク</t>
    </rPh>
    <rPh sb="5" eb="6">
      <t>モト</t>
    </rPh>
    <rPh sb="8" eb="10">
      <t>キョウカイ</t>
    </rPh>
    <rPh sb="10" eb="11">
      <t>チ</t>
    </rPh>
    <phoneticPr fontId="20"/>
  </si>
  <si>
    <t>用途別面積(㎡)</t>
    <rPh sb="0" eb="2">
      <t>ヨウト</t>
    </rPh>
    <rPh sb="2" eb="3">
      <t>ベツ</t>
    </rPh>
    <rPh sb="3" eb="5">
      <t>メンセキ</t>
    </rPh>
    <phoneticPr fontId="20"/>
  </si>
  <si>
    <t>構成比率</t>
    <rPh sb="0" eb="2">
      <t>コウセイ</t>
    </rPh>
    <rPh sb="2" eb="4">
      <t>ヒリツ</t>
    </rPh>
    <phoneticPr fontId="20"/>
  </si>
  <si>
    <t>北海道</t>
    <rPh sb="0" eb="3">
      <t>ホッカイドウ</t>
    </rPh>
    <phoneticPr fontId="20"/>
  </si>
  <si>
    <t>関西</t>
    <rPh sb="0" eb="2">
      <t>カンサイ</t>
    </rPh>
    <phoneticPr fontId="20"/>
  </si>
  <si>
    <t>e</t>
  </si>
  <si>
    <t>東北</t>
    <rPh sb="0" eb="2">
      <t>トウホク</t>
    </rPh>
    <phoneticPr fontId="20"/>
  </si>
  <si>
    <t>c</t>
  </si>
  <si>
    <t>九州</t>
    <rPh sb="0" eb="2">
      <t>キュウシュウ</t>
    </rPh>
    <phoneticPr fontId="20"/>
  </si>
  <si>
    <t>g</t>
  </si>
  <si>
    <t>電算･情報センター</t>
    <rPh sb="0" eb="2">
      <t>デンサン</t>
    </rPh>
    <rPh sb="3" eb="5">
      <t>ジョウホウ</t>
    </rPh>
    <phoneticPr fontId="20"/>
  </si>
  <si>
    <t>中部</t>
    <rPh sb="0" eb="2">
      <t>チュウブ</t>
    </rPh>
    <phoneticPr fontId="20"/>
  </si>
  <si>
    <t>中国・四国</t>
    <rPh sb="0" eb="2">
      <t>チュウゴク</t>
    </rPh>
    <rPh sb="3" eb="5">
      <t>シコク</t>
    </rPh>
    <phoneticPr fontId="20"/>
  </si>
  <si>
    <t>f</t>
  </si>
  <si>
    <t>d</t>
  </si>
  <si>
    <t>b</t>
  </si>
  <si>
    <t>小・中学校</t>
    <rPh sb="0" eb="1">
      <t>ショウ</t>
    </rPh>
    <rPh sb="2" eb="3">
      <t>チュウ</t>
    </rPh>
    <rPh sb="3" eb="5">
      <t>ガッコウ</t>
    </rPh>
    <phoneticPr fontId="20"/>
  </si>
  <si>
    <t>a</t>
  </si>
  <si>
    <t>0.　既存</t>
    <rPh sb="3" eb="5">
      <t>キソン</t>
    </rPh>
    <phoneticPr fontId="20"/>
  </si>
  <si>
    <t>延面積比率</t>
    <rPh sb="0" eb="1">
      <t>ノ</t>
    </rPh>
    <rPh sb="1" eb="3">
      <t>メンセキ</t>
    </rPh>
    <rPh sb="3" eb="5">
      <t>ヒリツ</t>
    </rPh>
    <phoneticPr fontId="20"/>
  </si>
  <si>
    <t xml:space="preserve"> Q</t>
    <phoneticPr fontId="20"/>
  </si>
  <si>
    <t>住居宿泊・共用部面積比率</t>
    <rPh sb="0" eb="2">
      <t>ジュウキョ</t>
    </rPh>
    <rPh sb="2" eb="4">
      <t>シュクハク</t>
    </rPh>
    <rPh sb="5" eb="7">
      <t>キョウヨウ</t>
    </rPh>
    <rPh sb="7" eb="8">
      <t>ブ</t>
    </rPh>
    <rPh sb="8" eb="10">
      <t>メンセキ</t>
    </rPh>
    <rPh sb="10" eb="12">
      <t>ヒリツ</t>
    </rPh>
    <phoneticPr fontId="20"/>
  </si>
  <si>
    <t>Q</t>
    <phoneticPr fontId="20"/>
  </si>
  <si>
    <t>建築物の環境品質</t>
    <phoneticPr fontId="20"/>
  </si>
  <si>
    <t>3.2.3</t>
    <phoneticPr fontId="20"/>
  </si>
  <si>
    <t>病院o</t>
    <phoneticPr fontId="20"/>
  </si>
  <si>
    <t>ホテルo</t>
    <phoneticPr fontId="20"/>
  </si>
  <si>
    <t>集合住宅o</t>
    <phoneticPr fontId="20"/>
  </si>
  <si>
    <t>延面積比率</t>
    <phoneticPr fontId="20"/>
  </si>
  <si>
    <t>地球温暖化への配慮</t>
    <rPh sb="0" eb="2">
      <t>ﾁｷｭｳ</t>
    </rPh>
    <rPh sb="2" eb="5">
      <t>ｵﾝﾀﾞﾝｶ</t>
    </rPh>
    <rPh sb="7" eb="9">
      <t>ﾊｲﾘｮ</t>
    </rPh>
    <phoneticPr fontId="30" type="noConversion"/>
  </si>
  <si>
    <t>地域環境への配慮</t>
    <rPh sb="0" eb="2">
      <t>ﾁｲｷ</t>
    </rPh>
    <rPh sb="2" eb="4">
      <t>ｶﾝｷｮｳ</t>
    </rPh>
    <rPh sb="6" eb="8">
      <t>ﾊｲﾘｮ</t>
    </rPh>
    <phoneticPr fontId="30" type="noConversion"/>
  </si>
  <si>
    <t>大気汚染防止</t>
    <rPh sb="0" eb="2">
      <t>ﾀｲｷ</t>
    </rPh>
    <rPh sb="2" eb="4">
      <t>ｵｾﾝ</t>
    </rPh>
    <rPh sb="4" eb="6">
      <t>ﾎﾞｳｼ</t>
    </rPh>
    <phoneticPr fontId="30" type="noConversion"/>
  </si>
  <si>
    <t>交通負荷抑制</t>
    <rPh sb="0" eb="2">
      <t>ｺｳﾂｳ</t>
    </rPh>
    <rPh sb="2" eb="4">
      <t>ﾌｶ</t>
    </rPh>
    <rPh sb="4" eb="6">
      <t>ﾖｸｾｲ</t>
    </rPh>
    <phoneticPr fontId="30" type="noConversion"/>
  </si>
  <si>
    <t>廃棄物処理負荷抑制</t>
    <rPh sb="0" eb="3">
      <t>ﾊｲｷﾌﾞﾂ</t>
    </rPh>
    <rPh sb="3" eb="5">
      <t>ｼｮﾘ</t>
    </rPh>
    <rPh sb="5" eb="7">
      <t>ﾌｶ</t>
    </rPh>
    <rPh sb="7" eb="9">
      <t>ﾖｸｾｲ</t>
    </rPh>
    <phoneticPr fontId="30" type="noConversion"/>
  </si>
  <si>
    <t>周辺環境への配慮</t>
    <rPh sb="0" eb="2">
      <t>ｼｭｳﾍﾝ</t>
    </rPh>
    <rPh sb="2" eb="4">
      <t>ｶﾝｷｮｳ</t>
    </rPh>
    <rPh sb="6" eb="8">
      <t>ﾊｲﾘｮ</t>
    </rPh>
    <phoneticPr fontId="30" type="noConversion"/>
  </si>
  <si>
    <t>騒音・振動・悪臭の防止</t>
    <rPh sb="0" eb="2">
      <t>ｿｳｵﾝ</t>
    </rPh>
    <rPh sb="3" eb="5">
      <t>ｼﾝﾄﾞｳ</t>
    </rPh>
    <rPh sb="6" eb="8">
      <t>ｱｸｼｭｳ</t>
    </rPh>
    <rPh sb="9" eb="11">
      <t>ﾎﾞｳｼ</t>
    </rPh>
    <phoneticPr fontId="30" type="noConversion"/>
  </si>
  <si>
    <t>騒音</t>
    <rPh sb="0" eb="2">
      <t>ｿｳｵﾝ</t>
    </rPh>
    <phoneticPr fontId="30" type="noConversion"/>
  </si>
  <si>
    <t>振動</t>
    <rPh sb="0" eb="2">
      <t>ｼﾝﾄﾞｳ</t>
    </rPh>
    <phoneticPr fontId="30" type="noConversion"/>
  </si>
  <si>
    <t>砂塵の抑制</t>
    <rPh sb="0" eb="2">
      <t>ｻｼﾞﾝ</t>
    </rPh>
    <rPh sb="3" eb="5">
      <t>ﾖｸｾｲ</t>
    </rPh>
    <phoneticPr fontId="30" type="noConversion"/>
  </si>
  <si>
    <t>日照阻害の抑制</t>
    <phoneticPr fontId="30" type="noConversion"/>
  </si>
  <si>
    <t>光害の抑制</t>
    <rPh sb="0" eb="1">
      <t>ﾋｶﾘ</t>
    </rPh>
    <phoneticPr fontId="30" type="noConversion"/>
  </si>
  <si>
    <t>高等学校</t>
    <rPh sb="0" eb="2">
      <t>コウトウ</t>
    </rPh>
    <rPh sb="2" eb="4">
      <t>ガッコウ</t>
    </rPh>
    <phoneticPr fontId="20"/>
  </si>
  <si>
    <t>研究機関</t>
    <rPh sb="0" eb="2">
      <t>ケンキュウ</t>
    </rPh>
    <rPh sb="2" eb="4">
      <t>キカン</t>
    </rPh>
    <phoneticPr fontId="20"/>
  </si>
  <si>
    <t>4.　エネルギー消費実績に基づくレベルの上下</t>
    <rPh sb="20" eb="22">
      <t>ジョウゲ</t>
    </rPh>
    <phoneticPr fontId="20"/>
  </si>
  <si>
    <t>2)　延床面積あたりのエネルギー消費量実績　</t>
    <rPh sb="3" eb="5">
      <t>ノベユカ</t>
    </rPh>
    <rPh sb="5" eb="7">
      <t>メンセキ</t>
    </rPh>
    <rPh sb="16" eb="18">
      <t>ショウヒ</t>
    </rPh>
    <rPh sb="18" eb="19">
      <t>リョウ</t>
    </rPh>
    <rPh sb="19" eb="21">
      <t>ジッセキ</t>
    </rPh>
    <phoneticPr fontId="20"/>
  </si>
  <si>
    <t>3)　境界値</t>
    <rPh sb="3" eb="5">
      <t>キョウカイ</t>
    </rPh>
    <rPh sb="5" eb="6">
      <t>チ</t>
    </rPh>
    <phoneticPr fontId="20"/>
  </si>
  <si>
    <t>境界値 a</t>
    <rPh sb="0" eb="2">
      <t>キョウカイ</t>
    </rPh>
    <rPh sb="2" eb="3">
      <t>チ</t>
    </rPh>
    <phoneticPr fontId="20"/>
  </si>
  <si>
    <t>境界値 b</t>
    <rPh sb="0" eb="2">
      <t>キョウカイ</t>
    </rPh>
    <rPh sb="2" eb="3">
      <t>チ</t>
    </rPh>
    <phoneticPr fontId="20"/>
  </si>
  <si>
    <t>4)　エネルギー消費実績に基づくレベルの上下</t>
    <rPh sb="8" eb="10">
      <t>ショウヒ</t>
    </rPh>
    <rPh sb="10" eb="12">
      <t>ジッセキ</t>
    </rPh>
    <rPh sb="13" eb="14">
      <t>モト</t>
    </rPh>
    <rPh sb="20" eb="22">
      <t>ジョウゲ</t>
    </rPh>
    <phoneticPr fontId="20"/>
  </si>
  <si>
    <t>■エネルギー消費実績に基づく加点・減点の判断基準値　[MJ/㎡年]</t>
    <rPh sb="6" eb="8">
      <t>ショウヒ</t>
    </rPh>
    <rPh sb="8" eb="10">
      <t>ジッセキ</t>
    </rPh>
    <rPh sb="11" eb="12">
      <t>モト</t>
    </rPh>
    <rPh sb="14" eb="16">
      <t>カテン</t>
    </rPh>
    <rPh sb="17" eb="19">
      <t>ゲンテン</t>
    </rPh>
    <rPh sb="20" eb="22">
      <t>ハンダン</t>
    </rPh>
    <rPh sb="22" eb="24">
      <t>キジュン</t>
    </rPh>
    <rPh sb="24" eb="25">
      <t>チ</t>
    </rPh>
    <rPh sb="31" eb="32">
      <t>ネン</t>
    </rPh>
    <phoneticPr fontId="20"/>
  </si>
  <si>
    <t>境界値a</t>
    <rPh sb="0" eb="2">
      <t>キョウカイ</t>
    </rPh>
    <rPh sb="2" eb="3">
      <t>チ</t>
    </rPh>
    <phoneticPr fontId="20"/>
  </si>
  <si>
    <t>a（傾き）</t>
    <rPh sb="2" eb="3">
      <t>カタム</t>
    </rPh>
    <phoneticPr fontId="20"/>
  </si>
  <si>
    <t>ｂ（切片）</t>
    <rPh sb="2" eb="4">
      <t>セッペン</t>
    </rPh>
    <phoneticPr fontId="20"/>
  </si>
  <si>
    <t>参照値（①）</t>
    <rPh sb="0" eb="2">
      <t>サンショウ</t>
    </rPh>
    <rPh sb="2" eb="3">
      <t>チ</t>
    </rPh>
    <phoneticPr fontId="20"/>
  </si>
  <si>
    <t>3-2.　上記+上記以外のオンサイト手法（③）</t>
    <rPh sb="5" eb="7">
      <t>ジョウキ</t>
    </rPh>
    <rPh sb="8" eb="10">
      <t>ジョウキ</t>
    </rPh>
    <rPh sb="10" eb="12">
      <t>イガイ</t>
    </rPh>
    <rPh sb="18" eb="20">
      <t>シュホウ</t>
    </rPh>
    <phoneticPr fontId="20"/>
  </si>
  <si>
    <t>削減量</t>
    <rPh sb="0" eb="2">
      <t>サクゲン</t>
    </rPh>
    <rPh sb="2" eb="3">
      <t>リョウ</t>
    </rPh>
    <phoneticPr fontId="20"/>
  </si>
  <si>
    <t>売電分</t>
    <rPh sb="0" eb="2">
      <t>バイデン</t>
    </rPh>
    <rPh sb="2" eb="3">
      <t>ブン</t>
    </rPh>
    <phoneticPr fontId="20"/>
  </si>
  <si>
    <r>
      <t xml:space="preserve"> [</t>
    </r>
    <r>
      <rPr>
        <sz val="11"/>
        <rFont val="ＭＳ Ｐゴシック"/>
        <family val="3"/>
        <charset val="128"/>
      </rPr>
      <t>2</t>
    </r>
    <r>
      <rPr>
        <sz val="11"/>
        <rFont val="ＭＳ Ｐゴシック"/>
        <family val="3"/>
        <charset val="128"/>
      </rPr>
      <t>]代替値</t>
    </r>
    <rPh sb="4" eb="6">
      <t>ダイタイ</t>
    </rPh>
    <rPh sb="6" eb="7">
      <t>チ</t>
    </rPh>
    <phoneticPr fontId="20"/>
  </si>
  <si>
    <r>
      <t xml:space="preserve">1. </t>
    </r>
    <r>
      <rPr>
        <b/>
        <sz val="10"/>
        <rFont val="ＭＳ Ｐゴシック"/>
        <family val="3"/>
        <charset val="128"/>
      </rPr>
      <t>エネルギー消費量実績の入力</t>
    </r>
    <rPh sb="8" eb="11">
      <t>ショウヒリョウ</t>
    </rPh>
    <rPh sb="11" eb="13">
      <t>ジッセキ</t>
    </rPh>
    <rPh sb="14" eb="16">
      <t>ニュウリョク</t>
    </rPh>
    <phoneticPr fontId="20"/>
  </si>
  <si>
    <r>
      <t>kg-CO</t>
    </r>
    <r>
      <rPr>
        <vertAlign val="subscript"/>
        <sz val="10"/>
        <rFont val="ＭＳ Ｐゴシック"/>
        <family val="3"/>
        <charset val="128"/>
      </rPr>
      <t>2</t>
    </r>
    <r>
      <rPr>
        <sz val="10"/>
        <rFont val="ＭＳ Ｐゴシック"/>
        <family val="3"/>
        <charset val="128"/>
      </rPr>
      <t>/MJ</t>
    </r>
    <phoneticPr fontId="20"/>
  </si>
  <si>
    <t>（調整後排出係数</t>
    <rPh sb="1" eb="4">
      <t>チョウセイゴ</t>
    </rPh>
    <rPh sb="4" eb="6">
      <t>ハイシュツ</t>
    </rPh>
    <rPh sb="6" eb="8">
      <t>ケイスウ</t>
    </rPh>
    <phoneticPr fontId="20"/>
  </si>
  <si>
    <t>kg-CO2/kWh）</t>
    <phoneticPr fontId="20"/>
  </si>
  <si>
    <t>代替値</t>
  </si>
  <si>
    <t>■CO2データベース</t>
    <phoneticPr fontId="20"/>
  </si>
  <si>
    <t>電力　（実排出係数）</t>
    <rPh sb="0" eb="2">
      <t>デンリョク</t>
    </rPh>
    <rPh sb="4" eb="5">
      <t>ジツ</t>
    </rPh>
    <rPh sb="5" eb="7">
      <t>ハイシュツ</t>
    </rPh>
    <rPh sb="7" eb="9">
      <t>ケイスウ</t>
    </rPh>
    <phoneticPr fontId="28"/>
  </si>
  <si>
    <t>耐用性・信頼性</t>
    <rPh sb="1" eb="2">
      <t>ヨウ</t>
    </rPh>
    <rPh sb="4" eb="7">
      <t>シンライセイ</t>
    </rPh>
    <phoneticPr fontId="20"/>
  </si>
  <si>
    <t>まちなみ景観</t>
    <phoneticPr fontId="20"/>
  </si>
  <si>
    <t>光・視環境</t>
  </si>
  <si>
    <t>対応性･更新性</t>
    <rPh sb="0" eb="3">
      <t>タイオウセイ</t>
    </rPh>
    <rPh sb="4" eb="6">
      <t>コウシン</t>
    </rPh>
    <rPh sb="6" eb="7">
      <t>セイ</t>
    </rPh>
    <phoneticPr fontId="20"/>
  </si>
  <si>
    <t>地域性・文化</t>
    <rPh sb="0" eb="3">
      <t>チイキセイ</t>
    </rPh>
    <rPh sb="4" eb="6">
      <t>ブンカ</t>
    </rPh>
    <phoneticPr fontId="20"/>
  </si>
  <si>
    <t>空気質環境</t>
    <rPh sb="3" eb="5">
      <t>カンキョウ</t>
    </rPh>
    <phoneticPr fontId="20"/>
  </si>
  <si>
    <r>
      <t>LR</t>
    </r>
    <r>
      <rPr>
        <b/>
        <sz val="11"/>
        <color indexed="42"/>
        <rFont val="ＭＳ Ｐゴシック"/>
        <family val="3"/>
        <charset val="128"/>
      </rPr>
      <t>　環境負荷低減性</t>
    </r>
    <phoneticPr fontId="20"/>
  </si>
  <si>
    <r>
      <t>LR</t>
    </r>
    <r>
      <rPr>
        <b/>
        <i/>
        <sz val="14"/>
        <color indexed="9"/>
        <rFont val="ＭＳ Ｐゴシック"/>
        <family val="3"/>
        <charset val="128"/>
      </rPr>
      <t>のスコア</t>
    </r>
    <r>
      <rPr>
        <b/>
        <i/>
        <sz val="14"/>
        <color indexed="9"/>
        <rFont val="Arial"/>
        <family val="2"/>
      </rPr>
      <t>=</t>
    </r>
    <phoneticPr fontId="20"/>
  </si>
  <si>
    <t>Score(RoundDown)</t>
    <phoneticPr fontId="20"/>
  </si>
  <si>
    <t>Score</t>
    <phoneticPr fontId="20"/>
  </si>
  <si>
    <t>LR-1 エネルギー</t>
    <phoneticPr fontId="20"/>
  </si>
  <si>
    <t>LR-2 資源ﾏﾃﾘｱﾙ</t>
    <rPh sb="5" eb="7">
      <t>シゲン</t>
    </rPh>
    <phoneticPr fontId="20"/>
  </si>
  <si>
    <t>LR-3 敷地外環境</t>
    <rPh sb="5" eb="7">
      <t>シキチ</t>
    </rPh>
    <rPh sb="7" eb="8">
      <t>ガイ</t>
    </rPh>
    <rPh sb="8" eb="10">
      <t>カンキョウ</t>
    </rPh>
    <phoneticPr fontId="20"/>
  </si>
  <si>
    <t>Score(RoundDown)</t>
    <phoneticPr fontId="20"/>
  </si>
  <si>
    <t>NA</t>
    <phoneticPr fontId="20"/>
  </si>
  <si>
    <t>熱負荷抑制</t>
    <rPh sb="0" eb="1">
      <t>ネツ</t>
    </rPh>
    <rPh sb="1" eb="3">
      <t>フカ</t>
    </rPh>
    <rPh sb="3" eb="5">
      <t>ヨクセイ</t>
    </rPh>
    <phoneticPr fontId="20"/>
  </si>
  <si>
    <t>水資源</t>
    <rPh sb="0" eb="1">
      <t>ミズ</t>
    </rPh>
    <rPh sb="1" eb="3">
      <t>シゲン</t>
    </rPh>
    <phoneticPr fontId="20"/>
  </si>
  <si>
    <t>地球温暖化への配慮</t>
    <rPh sb="0" eb="2">
      <t>チキュウ</t>
    </rPh>
    <rPh sb="2" eb="5">
      <t>オンダンカ</t>
    </rPh>
    <rPh sb="7" eb="9">
      <t>ハイリョ</t>
    </rPh>
    <phoneticPr fontId="20"/>
  </si>
  <si>
    <t>自然ｴﾈﾙｷﾞｰ</t>
    <rPh sb="0" eb="2">
      <t>シゼン</t>
    </rPh>
    <phoneticPr fontId="20"/>
  </si>
  <si>
    <t>小・中学校 (北海道以外）</t>
    <rPh sb="0" eb="1">
      <t>ショウ</t>
    </rPh>
    <rPh sb="2" eb="5">
      <t>チュウガッコウ</t>
    </rPh>
    <rPh sb="7" eb="10">
      <t>ホッカイドウ</t>
    </rPh>
    <rPh sb="10" eb="12">
      <t>イガイ</t>
    </rPh>
    <phoneticPr fontId="20"/>
  </si>
  <si>
    <t xml:space="preserve"> 非住宅　小計</t>
    <rPh sb="1" eb="2">
      <t>ヒ</t>
    </rPh>
    <rPh sb="2" eb="4">
      <t>ジュウタク</t>
    </rPh>
    <rPh sb="5" eb="7">
      <t>ショウケイ</t>
    </rPh>
    <phoneticPr fontId="20"/>
  </si>
  <si>
    <t>㎡                  専用部</t>
    <rPh sb="19" eb="21">
      <t>センヨウ</t>
    </rPh>
    <rPh sb="21" eb="22">
      <t>ブ</t>
    </rPh>
    <phoneticPr fontId="20"/>
  </si>
  <si>
    <t xml:space="preserve">                   共用部</t>
    <rPh sb="19" eb="21">
      <t>キョウヨウ</t>
    </rPh>
    <rPh sb="21" eb="22">
      <t>ブ</t>
    </rPh>
    <phoneticPr fontId="20"/>
  </si>
  <si>
    <t xml:space="preserve"> 事務所</t>
    <phoneticPr fontId="20"/>
  </si>
  <si>
    <t>㎡                  事務所</t>
    <phoneticPr fontId="20"/>
  </si>
  <si>
    <t>官公庁</t>
    <phoneticPr fontId="20"/>
  </si>
  <si>
    <t>㎡</t>
    <phoneticPr fontId="20"/>
  </si>
  <si>
    <t>㎡       幼稚園・保育園</t>
    <phoneticPr fontId="20"/>
  </si>
  <si>
    <t xml:space="preserve">                     高校</t>
    <phoneticPr fontId="20"/>
  </si>
  <si>
    <t xml:space="preserve">         大学・専門学校</t>
    <phoneticPr fontId="20"/>
  </si>
  <si>
    <t>㎡   デパート・スーパー</t>
    <phoneticPr fontId="20"/>
  </si>
  <si>
    <t>その他物販</t>
    <phoneticPr fontId="20"/>
  </si>
  <si>
    <t>㎡          劇場・ホール</t>
    <phoneticPr fontId="20"/>
  </si>
  <si>
    <t>展示施設</t>
    <phoneticPr fontId="20"/>
  </si>
  <si>
    <t>スポーツ施設</t>
    <phoneticPr fontId="20"/>
  </si>
  <si>
    <t>レベル3</t>
  </si>
  <si>
    <t>レベル4</t>
  </si>
  <si>
    <t>レベル5</t>
  </si>
  <si>
    <t>ホテル</t>
    <phoneticPr fontId="20"/>
  </si>
  <si>
    <t>レベル3</t>
    <phoneticPr fontId="20"/>
  </si>
  <si>
    <t>レベル4</t>
    <phoneticPr fontId="20"/>
  </si>
  <si>
    <t>レベル5</t>
    <phoneticPr fontId="20"/>
  </si>
  <si>
    <t>ホテル</t>
    <phoneticPr fontId="20"/>
  </si>
  <si>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8"/>
  </si>
  <si>
    <t>LPG</t>
    <phoneticPr fontId="20"/>
  </si>
  <si>
    <t>kg-CO2/MJ</t>
    <phoneticPr fontId="20"/>
  </si>
  <si>
    <t>平成２４年度の電気事業者別実排出係数等の公表値</t>
    <phoneticPr fontId="20"/>
  </si>
  <si>
    <t>実排出係数及び代替値</t>
    <phoneticPr fontId="20"/>
  </si>
  <si>
    <t>調整後排出係数</t>
    <phoneticPr fontId="20"/>
  </si>
  <si>
    <t>出光グリーンパワー株式会社</t>
  </si>
  <si>
    <t>伊藤忠エネクス株式会社</t>
  </si>
  <si>
    <t>荏原環境プラント株式会社</t>
  </si>
  <si>
    <t>オリックス株式会社</t>
  </si>
  <si>
    <t>株式会社イーセル</t>
  </si>
  <si>
    <t>株式会社Ｇ－Ｐｏｗｅｒ</t>
  </si>
  <si>
    <t>株式会社日本セレモニー</t>
  </si>
  <si>
    <t>ＪＸ日鉱日石エネルギー株式会社</t>
  </si>
  <si>
    <t>ＪＥＮホールディングス株式会社</t>
  </si>
  <si>
    <t>志賀高原リゾート開発株式会社</t>
  </si>
  <si>
    <t>新日鉄住金エンジニアリング株式会社</t>
  </si>
  <si>
    <t>泉北天然ガス発電株式会社</t>
  </si>
  <si>
    <t>テス・エンジニアリング株式会社</t>
  </si>
  <si>
    <t>東京エコサービス株式会社</t>
  </si>
  <si>
    <t>日本テクノ株式会社</t>
  </si>
  <si>
    <t>日本ロジテック協同組合</t>
  </si>
  <si>
    <t>プレミアムグリーンパワー株式会社</t>
  </si>
  <si>
    <t>ミツウロコグリーンエネルギー株式会社</t>
  </si>
  <si>
    <t>リエスパワー株式会社</t>
  </si>
  <si>
    <t>建物用途</t>
  </si>
  <si>
    <t>評価建物</t>
    <rPh sb="0" eb="2">
      <t>ヒョウカ</t>
    </rPh>
    <rPh sb="2" eb="4">
      <t>タテモノ</t>
    </rPh>
    <phoneticPr fontId="20"/>
  </si>
  <si>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4"/>
  </si>
  <si>
    <t>エネルギー種別一次エネルギー構成比率</t>
    <rPh sb="5" eb="7">
      <t>シュベツ</t>
    </rPh>
    <rPh sb="7" eb="9">
      <t>イチジ</t>
    </rPh>
    <rPh sb="14" eb="16">
      <t>コウセイ</t>
    </rPh>
    <rPh sb="16" eb="18">
      <t>ヒリツ</t>
    </rPh>
    <phoneticPr fontId="4"/>
  </si>
  <si>
    <t>CO2換算係数</t>
    <rPh sb="3" eb="5">
      <t>カンサン</t>
    </rPh>
    <rPh sb="5" eb="7">
      <t>ケイスウ</t>
    </rPh>
    <phoneticPr fontId="20"/>
  </si>
  <si>
    <t>300㎡未満</t>
    <rPh sb="4" eb="6">
      <t>ミマン</t>
    </rPh>
    <phoneticPr fontId="4"/>
  </si>
  <si>
    <t>300㎡以上
2,000㎡未満</t>
    <rPh sb="4" eb="6">
      <t>イジョウ</t>
    </rPh>
    <rPh sb="13" eb="15">
      <t>ミマン</t>
    </rPh>
    <phoneticPr fontId="4"/>
  </si>
  <si>
    <t>2,000㎡以上
1万㎡未満</t>
    <rPh sb="6" eb="8">
      <t>イジョウ</t>
    </rPh>
    <rPh sb="10" eb="11">
      <t>マン</t>
    </rPh>
    <rPh sb="12" eb="14">
      <t>ミマン</t>
    </rPh>
    <phoneticPr fontId="4"/>
  </si>
  <si>
    <t>1万㎡以上
3万㎡未満</t>
    <rPh sb="1" eb="2">
      <t>マン</t>
    </rPh>
    <rPh sb="3" eb="5">
      <t>イジョウ</t>
    </rPh>
    <rPh sb="7" eb="8">
      <t>マン</t>
    </rPh>
    <rPh sb="9" eb="11">
      <t>ミマン</t>
    </rPh>
    <phoneticPr fontId="4"/>
  </si>
  <si>
    <t>3万㎡以上</t>
    <rPh sb="1" eb="2">
      <t>マン</t>
    </rPh>
    <rPh sb="3" eb="5">
      <t>イジョウ</t>
    </rPh>
    <phoneticPr fontId="4"/>
  </si>
  <si>
    <t>電気</t>
    <rPh sb="0" eb="2">
      <t>デンキ</t>
    </rPh>
    <phoneticPr fontId="4"/>
  </si>
  <si>
    <t>その他※</t>
    <rPh sb="2" eb="3">
      <t>ホカ</t>
    </rPh>
    <phoneticPr fontId="4"/>
  </si>
  <si>
    <t>LPG</t>
  </si>
  <si>
    <t>官公庁</t>
  </si>
  <si>
    <t>学校等</t>
    <rPh sb="0" eb="2">
      <t>ガッコウ</t>
    </rPh>
    <rPh sb="2" eb="3">
      <t>トウ</t>
    </rPh>
    <phoneticPr fontId="20"/>
  </si>
  <si>
    <t>幼稚園・保育園</t>
  </si>
  <si>
    <t>小・中学校</t>
  </si>
  <si>
    <t>高校</t>
  </si>
  <si>
    <t>大学・専門学校</t>
  </si>
  <si>
    <t>物販店舗等</t>
    <rPh sb="0" eb="2">
      <t>ブッパン</t>
    </rPh>
    <rPh sb="2" eb="4">
      <t>テンポ</t>
    </rPh>
    <rPh sb="4" eb="5">
      <t>トウ</t>
    </rPh>
    <phoneticPr fontId="20"/>
  </si>
  <si>
    <t>その他物販</t>
  </si>
  <si>
    <t>集会所等</t>
    <rPh sb="0" eb="3">
      <t>シュウカイジョ</t>
    </rPh>
    <rPh sb="3" eb="4">
      <t>トウ</t>
    </rPh>
    <phoneticPr fontId="20"/>
  </si>
  <si>
    <t>劇場・ホール</t>
  </si>
  <si>
    <t>展示施設</t>
  </si>
  <si>
    <t>スポーツ施設</t>
  </si>
  <si>
    <t>ホテル・旅館</t>
  </si>
  <si>
    <t>専有部</t>
    <rPh sb="0" eb="2">
      <t>センユウ</t>
    </rPh>
    <rPh sb="2" eb="3">
      <t>ブ</t>
    </rPh>
    <phoneticPr fontId="20"/>
  </si>
  <si>
    <t>共用部</t>
    <rPh sb="0" eb="3">
      <t>キョウヨウブ</t>
    </rPh>
    <phoneticPr fontId="20"/>
  </si>
  <si>
    <t>出典：</t>
    <rPh sb="0" eb="2">
      <t>シュッテン</t>
    </rPh>
    <phoneticPr fontId="20"/>
  </si>
  <si>
    <t>※集合住宅は灯油</t>
    <rPh sb="1" eb="3">
      <t>シュウゴウ</t>
    </rPh>
    <rPh sb="3" eb="5">
      <t>ジュウタク</t>
    </rPh>
    <rPh sb="6" eb="8">
      <t>トウユ</t>
    </rPh>
    <phoneticPr fontId="20"/>
  </si>
  <si>
    <t>LR1/3c 仕様基準評価の場合のCO2排出量算出に用いる一次エネルギー消費量</t>
    <rPh sb="7" eb="9">
      <t>シヨウ</t>
    </rPh>
    <rPh sb="9" eb="11">
      <t>キジュン</t>
    </rPh>
    <rPh sb="11" eb="13">
      <t>ヒョウカ</t>
    </rPh>
    <rPh sb="14" eb="16">
      <t>バアイ</t>
    </rPh>
    <phoneticPr fontId="20"/>
  </si>
  <si>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0"/>
  </si>
  <si>
    <t>設備の方式</t>
  </si>
  <si>
    <t>LR1/3cの</t>
    <phoneticPr fontId="20"/>
  </si>
  <si>
    <t>地域区分</t>
  </si>
  <si>
    <t>「－」の場合</t>
    <phoneticPr fontId="20"/>
  </si>
  <si>
    <t>暖房</t>
  </si>
  <si>
    <t>冷房</t>
  </si>
  <si>
    <t>評価ﾚﾍﾞﾙ</t>
    <phoneticPr fontId="20"/>
  </si>
  <si>
    <t>Ａａ0</t>
    <phoneticPr fontId="20"/>
  </si>
  <si>
    <t>Ａ</t>
  </si>
  <si>
    <t>ａ</t>
  </si>
  <si>
    <t>レベル１</t>
  </si>
  <si>
    <t>Ａａ1</t>
    <phoneticPr fontId="20"/>
  </si>
  <si>
    <t>レベル４</t>
  </si>
  <si>
    <t>Ａａ4</t>
    <phoneticPr fontId="20"/>
  </si>
  <si>
    <t>Ａｂ0</t>
    <phoneticPr fontId="20"/>
  </si>
  <si>
    <t>ｂ</t>
  </si>
  <si>
    <t>Ａｂ1</t>
    <phoneticPr fontId="20"/>
  </si>
  <si>
    <t>Ａｂ4</t>
    <phoneticPr fontId="20"/>
  </si>
  <si>
    <t>Ｂａ0</t>
    <phoneticPr fontId="20"/>
  </si>
  <si>
    <t>Ｂ</t>
  </si>
  <si>
    <t>Ｂａ1</t>
    <phoneticPr fontId="20"/>
  </si>
  <si>
    <t>Ｂａ4</t>
  </si>
  <si>
    <t>Ｂｂ0</t>
    <phoneticPr fontId="20"/>
  </si>
  <si>
    <t>Ｂｂ1</t>
    <phoneticPr fontId="20"/>
  </si>
  <si>
    <t>Ｂｂ4</t>
    <phoneticPr fontId="20"/>
  </si>
  <si>
    <t>Ｃａ0</t>
    <phoneticPr fontId="20"/>
  </si>
  <si>
    <t>Ｃ</t>
  </si>
  <si>
    <t>Ｃａ1</t>
    <phoneticPr fontId="20"/>
  </si>
  <si>
    <t>Ｃａ4</t>
    <phoneticPr fontId="20"/>
  </si>
  <si>
    <t>Ｃｂ0</t>
    <phoneticPr fontId="20"/>
  </si>
  <si>
    <t>Ｃｂ1</t>
    <phoneticPr fontId="20"/>
  </si>
  <si>
    <t>Ｃｂ4</t>
    <phoneticPr fontId="20"/>
  </si>
  <si>
    <t>平成２４年度の電気事業者別実排出係数等の公表値</t>
    <rPh sb="22" eb="23">
      <t>チ</t>
    </rPh>
    <phoneticPr fontId="20"/>
  </si>
  <si>
    <t>◇算定省令に基づく電気事業者ごとの実排出係数及び代替値</t>
    <phoneticPr fontId="20"/>
  </si>
  <si>
    <t>ｔ-CO2/kWh</t>
    <phoneticPr fontId="20"/>
  </si>
  <si>
    <t xml:space="preserve"> [1]実排出係数 </t>
    <phoneticPr fontId="20"/>
  </si>
  <si>
    <t>排出係数</t>
    <phoneticPr fontId="20"/>
  </si>
  <si>
    <t>(t-CO2/kWh)</t>
    <phoneticPr fontId="20"/>
  </si>
  <si>
    <t>　　③</t>
    <phoneticPr fontId="20"/>
  </si>
  <si>
    <t>代替値</t>
    <phoneticPr fontId="20"/>
  </si>
  <si>
    <t>　（３）上記以外の場合</t>
    <phoneticPr fontId="20"/>
  </si>
  <si>
    <t>(t-CO2/kWh)</t>
    <phoneticPr fontId="20"/>
  </si>
  <si>
    <t>１地域</t>
    <rPh sb="1" eb="3">
      <t>チイキ</t>
    </rPh>
    <phoneticPr fontId="20"/>
  </si>
  <si>
    <t>２地域</t>
    <rPh sb="1" eb="3">
      <t>チイキ</t>
    </rPh>
    <phoneticPr fontId="20"/>
  </si>
  <si>
    <t>３地域</t>
    <rPh sb="1" eb="3">
      <t>チイキ</t>
    </rPh>
    <phoneticPr fontId="20"/>
  </si>
  <si>
    <t>４地域</t>
    <rPh sb="1" eb="3">
      <t>チイキ</t>
    </rPh>
    <phoneticPr fontId="20"/>
  </si>
  <si>
    <t>５地域</t>
    <rPh sb="1" eb="3">
      <t>チイキ</t>
    </rPh>
    <phoneticPr fontId="20"/>
  </si>
  <si>
    <t>６地域</t>
    <rPh sb="1" eb="3">
      <t>チイキ</t>
    </rPh>
    <phoneticPr fontId="20"/>
  </si>
  <si>
    <t>７地域</t>
    <rPh sb="1" eb="3">
      <t>チイキ</t>
    </rPh>
    <phoneticPr fontId="20"/>
  </si>
  <si>
    <t>８地域</t>
    <rPh sb="1" eb="3">
      <t>チイキ</t>
    </rPh>
    <phoneticPr fontId="20"/>
  </si>
  <si>
    <t>小中（北海道）</t>
    <rPh sb="0" eb="1">
      <t>ショウ</t>
    </rPh>
    <rPh sb="1" eb="2">
      <t>チュウ</t>
    </rPh>
    <rPh sb="3" eb="6">
      <t>ホッカイドウ</t>
    </rPh>
    <phoneticPr fontId="20"/>
  </si>
  <si>
    <t>小中（その他）</t>
    <rPh sb="0" eb="2">
      <t>ショウチュウ</t>
    </rPh>
    <rPh sb="5" eb="6">
      <t>ホカ</t>
    </rPh>
    <phoneticPr fontId="20"/>
  </si>
  <si>
    <t>■LR1　「省エネルギー計画書」等からの必要事項の転記</t>
    <rPh sb="16" eb="17">
      <t>トウ</t>
    </rPh>
    <phoneticPr fontId="20"/>
  </si>
  <si>
    <t>[BPI]での評価</t>
    <rPh sb="7" eb="9">
      <t>ヒョウカ</t>
    </rPh>
    <phoneticPr fontId="20"/>
  </si>
  <si>
    <t>BPI=</t>
    <phoneticPr fontId="20"/>
  </si>
  <si>
    <t>非住宅用途</t>
    <rPh sb="0" eb="1">
      <t>ヒ</t>
    </rPh>
    <rPh sb="1" eb="3">
      <t>ジュウタク</t>
    </rPh>
    <rPh sb="3" eb="5">
      <t>ヨウト</t>
    </rPh>
    <phoneticPr fontId="20"/>
  </si>
  <si>
    <t>住宅用途</t>
    <rPh sb="0" eb="2">
      <t>ジュウタク</t>
    </rPh>
    <rPh sb="2" eb="4">
      <t>ヨウト</t>
    </rPh>
    <phoneticPr fontId="20"/>
  </si>
  <si>
    <t>モデル建物法[BPIm]での評価</t>
    <rPh sb="3" eb="5">
      <t>タテモノ</t>
    </rPh>
    <rPh sb="5" eb="6">
      <t>ホウ</t>
    </rPh>
    <rPh sb="14" eb="16">
      <t>ヒョウカ</t>
    </rPh>
    <phoneticPr fontId="20"/>
  </si>
  <si>
    <t>BPIm=</t>
    <phoneticPr fontId="20"/>
  </si>
  <si>
    <t>1</t>
    <phoneticPr fontId="20"/>
  </si>
  <si>
    <t>建物の外皮性能</t>
    <rPh sb="0" eb="2">
      <t>タテモノ</t>
    </rPh>
    <rPh sb="3" eb="5">
      <t>ガイヒ</t>
    </rPh>
    <rPh sb="5" eb="7">
      <t>セイノウ</t>
    </rPh>
    <phoneticPr fontId="20"/>
  </si>
  <si>
    <t>BPI</t>
    <phoneticPr fontId="20"/>
  </si>
  <si>
    <t>レベル</t>
    <phoneticPr fontId="20"/>
  </si>
  <si>
    <t>1～7地域</t>
    <rPh sb="3" eb="5">
      <t>チイキ</t>
    </rPh>
    <phoneticPr fontId="20"/>
  </si>
  <si>
    <t>品確法</t>
    <rPh sb="0" eb="3">
      <t>ヒンカクホウ</t>
    </rPh>
    <phoneticPr fontId="20"/>
  </si>
  <si>
    <t>BPIによる評価の場合</t>
    <rPh sb="6" eb="8">
      <t>ヒョウカ</t>
    </rPh>
    <rPh sb="9" eb="11">
      <t>バアイ</t>
    </rPh>
    <phoneticPr fontId="20"/>
  </si>
  <si>
    <t>BPImによる評価の場合</t>
    <rPh sb="7" eb="9">
      <t>ヒョウカ</t>
    </rPh>
    <rPh sb="10" eb="12">
      <t>バアイ</t>
    </rPh>
    <phoneticPr fontId="20"/>
  </si>
  <si>
    <t>地域</t>
    <rPh sb="0" eb="2">
      <t>チイキ</t>
    </rPh>
    <phoneticPr fontId="20"/>
  </si>
  <si>
    <t>BPIｍ</t>
    <phoneticPr fontId="20"/>
  </si>
  <si>
    <t>床面積</t>
    <rPh sb="0" eb="3">
      <t>ユカメンセキ</t>
    </rPh>
    <phoneticPr fontId="20"/>
  </si>
  <si>
    <t>㎡（工場除く）</t>
    <rPh sb="2" eb="4">
      <t>コウジョウ</t>
    </rPh>
    <rPh sb="4" eb="5">
      <t>ノゾ</t>
    </rPh>
    <phoneticPr fontId="20"/>
  </si>
  <si>
    <t>㎡</t>
    <phoneticPr fontId="20"/>
  </si>
  <si>
    <t>比率</t>
    <rPh sb="0" eb="2">
      <t>ヒリツ</t>
    </rPh>
    <phoneticPr fontId="20"/>
  </si>
  <si>
    <t>LR1/1. 建物外皮の熱負荷抑制</t>
    <rPh sb="7" eb="9">
      <t>タテモノ</t>
    </rPh>
    <rPh sb="9" eb="11">
      <t>ガイヒ</t>
    </rPh>
    <rPh sb="12" eb="13">
      <t>ネツ</t>
    </rPh>
    <rPh sb="13" eb="15">
      <t>フカ</t>
    </rPh>
    <rPh sb="15" eb="17">
      <t>ヨクセイ</t>
    </rPh>
    <phoneticPr fontId="20"/>
  </si>
  <si>
    <t>旧PAL低減率への換算</t>
    <rPh sb="0" eb="1">
      <t>キュウ</t>
    </rPh>
    <rPh sb="4" eb="6">
      <t>テイゲン</t>
    </rPh>
    <rPh sb="6" eb="7">
      <t>リツ</t>
    </rPh>
    <rPh sb="9" eb="11">
      <t>カンサン</t>
    </rPh>
    <phoneticPr fontId="20"/>
  </si>
  <si>
    <t>％</t>
    <phoneticPr fontId="20"/>
  </si>
  <si>
    <t>PAL*低減率</t>
    <rPh sb="4" eb="6">
      <t>テイゲン</t>
    </rPh>
    <rPh sb="6" eb="7">
      <t>リツ</t>
    </rPh>
    <phoneticPr fontId="20"/>
  </si>
  <si>
    <t>PAL低減率</t>
    <rPh sb="3" eb="5">
      <t>テイゲン</t>
    </rPh>
    <rPh sb="5" eb="6">
      <t>リツ</t>
    </rPh>
    <phoneticPr fontId="20"/>
  </si>
  <si>
    <t>[PAL＊低減率]＜2.5</t>
    <rPh sb="5" eb="7">
      <t>テイゲン</t>
    </rPh>
    <rPh sb="7" eb="8">
      <t>リツ</t>
    </rPh>
    <phoneticPr fontId="20"/>
  </si>
  <si>
    <t>2.5≦[PAL＊低減率]＜7.5</t>
    <rPh sb="9" eb="11">
      <t>テイゲン</t>
    </rPh>
    <rPh sb="11" eb="12">
      <t>リツ</t>
    </rPh>
    <phoneticPr fontId="20"/>
  </si>
  <si>
    <t>3</t>
    <phoneticPr fontId="20"/>
  </si>
  <si>
    <t>建物の一次エネルギー消費量</t>
    <rPh sb="0" eb="2">
      <t>タテモノ</t>
    </rPh>
    <rPh sb="3" eb="5">
      <t>イチジ</t>
    </rPh>
    <rPh sb="10" eb="13">
      <t>ショウヒリョウ</t>
    </rPh>
    <phoneticPr fontId="20"/>
  </si>
  <si>
    <t>7.5≦[PAL＊低減率]＜10</t>
    <rPh sb="9" eb="11">
      <t>テイゲン</t>
    </rPh>
    <rPh sb="11" eb="12">
      <t>リツ</t>
    </rPh>
    <phoneticPr fontId="20"/>
  </si>
  <si>
    <t>モデル建物法[BEIm]での評価</t>
    <rPh sb="3" eb="5">
      <t>タテモノ</t>
    </rPh>
    <rPh sb="5" eb="6">
      <t>ホウ</t>
    </rPh>
    <rPh sb="14" eb="16">
      <t>ヒョウカ</t>
    </rPh>
    <phoneticPr fontId="20"/>
  </si>
  <si>
    <t>専有部（全戸合計）</t>
    <rPh sb="0" eb="2">
      <t>センユウ</t>
    </rPh>
    <rPh sb="2" eb="3">
      <t>ブ</t>
    </rPh>
    <rPh sb="4" eb="6">
      <t>ゼンコ</t>
    </rPh>
    <rPh sb="6" eb="8">
      <t>ゴウケイ</t>
    </rPh>
    <phoneticPr fontId="20"/>
  </si>
  <si>
    <t>10≦[PAL＊低減率]</t>
    <rPh sb="8" eb="10">
      <t>テイゲン</t>
    </rPh>
    <rPh sb="10" eb="11">
      <t>リツ</t>
    </rPh>
    <phoneticPr fontId="20"/>
  </si>
  <si>
    <t>BEIｍ=</t>
    <phoneticPr fontId="20"/>
  </si>
  <si>
    <t>一次エネルギー消費率=</t>
    <rPh sb="0" eb="2">
      <t>イチジ</t>
    </rPh>
    <rPh sb="7" eb="9">
      <t>ショウヒ</t>
    </rPh>
    <rPh sb="9" eb="10">
      <t>リツ</t>
    </rPh>
    <phoneticPr fontId="20"/>
  </si>
  <si>
    <t>※専有部は家電・調理分除く</t>
    <rPh sb="1" eb="3">
      <t>センユウ</t>
    </rPh>
    <rPh sb="3" eb="4">
      <t>ブ</t>
    </rPh>
    <rPh sb="5" eb="7">
      <t>カデン</t>
    </rPh>
    <rPh sb="8" eb="10">
      <t>チョウリ</t>
    </rPh>
    <rPh sb="10" eb="11">
      <t>ブン</t>
    </rPh>
    <rPh sb="11" eb="12">
      <t>ノゾ</t>
    </rPh>
    <phoneticPr fontId="20"/>
  </si>
  <si>
    <t>BEIｍ（ｵﾝｻｲﾄ分含まない）=</t>
    <rPh sb="10" eb="11">
      <t>ブン</t>
    </rPh>
    <rPh sb="11" eb="12">
      <t>フク</t>
    </rPh>
    <phoneticPr fontId="20"/>
  </si>
  <si>
    <t>[BEI]での評価</t>
    <rPh sb="7" eb="9">
      <t>ヒョウカ</t>
    </rPh>
    <phoneticPr fontId="20"/>
  </si>
  <si>
    <t>LR1/3.設備システムの高効率化</t>
    <rPh sb="6" eb="8">
      <t>セツビ</t>
    </rPh>
    <rPh sb="13" eb="17">
      <t>コウコウリツカ</t>
    </rPh>
    <phoneticPr fontId="20"/>
  </si>
  <si>
    <t>LR1/3.2　実績値を用いた総合評価</t>
    <phoneticPr fontId="20"/>
  </si>
  <si>
    <t>(1)補正</t>
    <rPh sb="3" eb="5">
      <t>ホセイ</t>
    </rPh>
    <phoneticPr fontId="20"/>
  </si>
  <si>
    <t>(2)実測値</t>
    <rPh sb="3" eb="6">
      <t>ジッソクチ</t>
    </rPh>
    <phoneticPr fontId="20"/>
  </si>
  <si>
    <t>ERRへの換算</t>
    <rPh sb="5" eb="7">
      <t>カンサン</t>
    </rPh>
    <phoneticPr fontId="20"/>
  </si>
  <si>
    <t>■基準一次エネルギー消費量</t>
    <rPh sb="1" eb="3">
      <t>ｷｼﾞｭﾝ</t>
    </rPh>
    <rPh sb="3" eb="5">
      <t>ｲﾁｼﾞ</t>
    </rPh>
    <rPh sb="10" eb="13">
      <t>ｼｮｳﾋﾘｮｳ</t>
    </rPh>
    <phoneticPr fontId="30" type="noConversion"/>
  </si>
  <si>
    <t>GJ/年</t>
    <rPh sb="3" eb="4">
      <t>ネン</t>
    </rPh>
    <phoneticPr fontId="20"/>
  </si>
  <si>
    <t>←簡易計算から転記してよい</t>
    <rPh sb="1" eb="3">
      <t>カンイ</t>
    </rPh>
    <rPh sb="3" eb="5">
      <t>ケイサン</t>
    </rPh>
    <rPh sb="7" eb="9">
      <t>テンキ</t>
    </rPh>
    <phoneticPr fontId="20"/>
  </si>
  <si>
    <t>■設計一次エネルギー消費量(1)</t>
    <rPh sb="1" eb="3">
      <t>ｾｯｹｲ</t>
    </rPh>
    <rPh sb="3" eb="5">
      <t>ｲﾁｼﾞ</t>
    </rPh>
    <rPh sb="10" eb="13">
      <t>ｼｮｳﾋﾘｮｳ</t>
    </rPh>
    <phoneticPr fontId="30" type="noConversion"/>
  </si>
  <si>
    <t>■設計一次エネルギー消費量(2)※</t>
    <rPh sb="1" eb="3">
      <t>ｾｯｹｲ</t>
    </rPh>
    <rPh sb="3" eb="5">
      <t>ｲﾁｼﾞ</t>
    </rPh>
    <rPh sb="10" eb="13">
      <t>ｼｮｳﾋﾘｮｳ</t>
    </rPh>
    <phoneticPr fontId="30" type="noConversion"/>
  </si>
  <si>
    <t>■太陽光発電等エネルギー総量（③ｵﾝｻｲﾄの取組）</t>
    <rPh sb="1" eb="4">
      <t>ﾀｲﾖｳｺｳ</t>
    </rPh>
    <rPh sb="4" eb="6">
      <t>ﾊﾂﾃﾞﾝ</t>
    </rPh>
    <rPh sb="6" eb="7">
      <t>ﾄｳ</t>
    </rPh>
    <rPh sb="12" eb="14">
      <t>ｿｳﾘｮｳ</t>
    </rPh>
    <rPh sb="22" eb="24">
      <t>ﾄﾘｸﾐ</t>
    </rPh>
    <phoneticPr fontId="30" type="noConversion"/>
  </si>
  <si>
    <t>BEI(1)</t>
    <phoneticPr fontId="20"/>
  </si>
  <si>
    <t>BEI(2)</t>
    <phoneticPr fontId="20"/>
  </si>
  <si>
    <t>ERRレベル</t>
    <phoneticPr fontId="20"/>
  </si>
  <si>
    <t>　　③オンサイトの取組で評価するエネルギー消費削減量（太陽光発電分等）を足し戻した一次エネルギー量</t>
    <rPh sb="36" eb="37">
      <t>タ</t>
    </rPh>
    <rPh sb="38" eb="39">
      <t>モド</t>
    </rPh>
    <rPh sb="41" eb="43">
      <t>イチジ</t>
    </rPh>
    <rPh sb="48" eb="49">
      <t>リョウ</t>
    </rPh>
    <phoneticPr fontId="20"/>
  </si>
  <si>
    <t>■</t>
    <phoneticPr fontId="20"/>
  </si>
  <si>
    <t>住戸部その他エネルギー（家電・調理分）の簡易計算</t>
    <rPh sb="0" eb="2">
      <t>ジュウコ</t>
    </rPh>
    <rPh sb="2" eb="3">
      <t>ブ</t>
    </rPh>
    <rPh sb="5" eb="6">
      <t>ホカ</t>
    </rPh>
    <rPh sb="12" eb="14">
      <t>カデン</t>
    </rPh>
    <rPh sb="15" eb="17">
      <t>チョウリ</t>
    </rPh>
    <rPh sb="17" eb="18">
      <t>ブン</t>
    </rPh>
    <rPh sb="20" eb="22">
      <t>カンイ</t>
    </rPh>
    <rPh sb="22" eb="24">
      <t>ケイサン</t>
    </rPh>
    <phoneticPr fontId="20"/>
  </si>
  <si>
    <t>面積比率</t>
    <rPh sb="0" eb="2">
      <t>メンセキ</t>
    </rPh>
    <rPh sb="2" eb="4">
      <t>ヒリツ</t>
    </rPh>
    <phoneticPr fontId="20"/>
  </si>
  <si>
    <r>
      <t>延面積</t>
    </r>
    <r>
      <rPr>
        <sz val="10"/>
        <rFont val="ＭＳ Ｐゴシック"/>
        <family val="3"/>
        <charset val="128"/>
      </rPr>
      <t>(㎡)</t>
    </r>
    <rPh sb="0" eb="1">
      <t>ノ</t>
    </rPh>
    <rPh sb="1" eb="3">
      <t>メンセキ</t>
    </rPh>
    <phoneticPr fontId="20"/>
  </si>
  <si>
    <t>αM</t>
    <phoneticPr fontId="20"/>
  </si>
  <si>
    <t>住戸数</t>
    <rPh sb="0" eb="1">
      <t>ジュウ</t>
    </rPh>
    <rPh sb="1" eb="3">
      <t>コスウ</t>
    </rPh>
    <phoneticPr fontId="20"/>
  </si>
  <si>
    <t>βM</t>
    <phoneticPr fontId="20"/>
  </si>
  <si>
    <t>EM</t>
    <phoneticPr fontId="20"/>
  </si>
  <si>
    <t>計</t>
    <rPh sb="0" eb="1">
      <t>ケイ</t>
    </rPh>
    <phoneticPr fontId="20"/>
  </si>
  <si>
    <t>い（30㎡未満）</t>
    <rPh sb="5" eb="7">
      <t>ミマン</t>
    </rPh>
    <phoneticPr fontId="20"/>
  </si>
  <si>
    <t>ほ（120㎡以上）</t>
    <rPh sb="6" eb="8">
      <t>イジョウ</t>
    </rPh>
    <phoneticPr fontId="20"/>
  </si>
  <si>
    <t>算定プログラムによる評価</t>
    <rPh sb="0" eb="2">
      <t>サンテイ</t>
    </rPh>
    <rPh sb="10" eb="12">
      <t>ヒョウカ</t>
    </rPh>
    <phoneticPr fontId="20"/>
  </si>
  <si>
    <t>採点レベル</t>
    <rPh sb="0" eb="2">
      <t>サイテン</t>
    </rPh>
    <phoneticPr fontId="20"/>
  </si>
  <si>
    <t>暖房方式</t>
    <rPh sb="0" eb="2">
      <t>ダンボウ</t>
    </rPh>
    <rPh sb="2" eb="4">
      <t>ホウシキ</t>
    </rPh>
    <phoneticPr fontId="20"/>
  </si>
  <si>
    <t>－</t>
  </si>
  <si>
    <t>冷房方式</t>
    <rPh sb="0" eb="2">
      <t>レイボウ</t>
    </rPh>
    <rPh sb="2" eb="4">
      <t>ホウシキ</t>
    </rPh>
    <phoneticPr fontId="20"/>
  </si>
  <si>
    <t>Ａ：単位住戸全体を暖房する方式</t>
  </si>
  <si>
    <t>ａ ：単位住戸全体を冷房する方式</t>
  </si>
  <si>
    <t>Ｂ：居室のみを暖房する方式（連続運転）</t>
  </si>
  <si>
    <t>ｂ ：居室のみを冷房する方式（間歇運転）</t>
  </si>
  <si>
    <t>－</t>
    <phoneticPr fontId="20"/>
  </si>
  <si>
    <t>Ｃ：居室のみを暖房する方式（間歇運転）</t>
  </si>
  <si>
    <t>－：上記以外（不明な場合を含む）</t>
    <rPh sb="2" eb="4">
      <t>ジョウキ</t>
    </rPh>
    <rPh sb="4" eb="6">
      <t>イガイ</t>
    </rPh>
    <rPh sb="7" eb="9">
      <t>フメイ</t>
    </rPh>
    <rPh sb="10" eb="12">
      <t>バアイ</t>
    </rPh>
    <rPh sb="13" eb="14">
      <t>フク</t>
    </rPh>
    <phoneticPr fontId="3"/>
  </si>
  <si>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0"/>
  </si>
  <si>
    <t>BEI(2)</t>
    <phoneticPr fontId="20"/>
  </si>
  <si>
    <t>自然エネルギー削減量</t>
    <rPh sb="0" eb="2">
      <t>シゼン</t>
    </rPh>
    <rPh sb="7" eb="9">
      <t>サクゲン</t>
    </rPh>
    <rPh sb="9" eb="10">
      <t>リョウ</t>
    </rPh>
    <phoneticPr fontId="20"/>
  </si>
  <si>
    <t>効率的な運用低減率</t>
    <rPh sb="0" eb="2">
      <t>コウリツ</t>
    </rPh>
    <rPh sb="2" eb="3">
      <t>テキ</t>
    </rPh>
    <rPh sb="4" eb="6">
      <t>ウンヨウ</t>
    </rPh>
    <rPh sb="6" eb="8">
      <t>テイゲン</t>
    </rPh>
    <rPh sb="8" eb="9">
      <t>リツ</t>
    </rPh>
    <phoneticPr fontId="20"/>
  </si>
  <si>
    <t>非住宅部</t>
    <rPh sb="0" eb="1">
      <t>ヒ</t>
    </rPh>
    <rPh sb="1" eb="3">
      <t>ジュウタク</t>
    </rPh>
    <rPh sb="3" eb="4">
      <t>ブ</t>
    </rPh>
    <phoneticPr fontId="20"/>
  </si>
  <si>
    <t>用途別面積</t>
    <rPh sb="0" eb="2">
      <t>ヨウト</t>
    </rPh>
    <rPh sb="2" eb="3">
      <t>ベツ</t>
    </rPh>
    <rPh sb="3" eb="5">
      <t>メンセキ</t>
    </rPh>
    <phoneticPr fontId="32"/>
  </si>
  <si>
    <t>一次エネルギー消費量</t>
    <rPh sb="0" eb="2">
      <t>イチジ</t>
    </rPh>
    <rPh sb="7" eb="10">
      <t>ショウヒリョウ</t>
    </rPh>
    <phoneticPr fontId="32"/>
  </si>
  <si>
    <t>換算係数</t>
    <rPh sb="0" eb="2">
      <t>カンサン</t>
    </rPh>
    <rPh sb="2" eb="4">
      <t>ケイスウ</t>
    </rPh>
    <phoneticPr fontId="32"/>
  </si>
  <si>
    <t>統計値　MJ/年㎡</t>
    <rPh sb="0" eb="2">
      <t>トウケイ</t>
    </rPh>
    <rPh sb="2" eb="3">
      <t>チ</t>
    </rPh>
    <rPh sb="7" eb="8">
      <t>ネン</t>
    </rPh>
    <phoneticPr fontId="20"/>
  </si>
  <si>
    <t>電気％</t>
    <rPh sb="0" eb="2">
      <t>デンキ</t>
    </rPh>
    <phoneticPr fontId="20"/>
  </si>
  <si>
    <t>非住宅部分</t>
    <rPh sb="0" eb="1">
      <t>ヒ</t>
    </rPh>
    <rPh sb="1" eb="3">
      <t>ジュウタク</t>
    </rPh>
    <rPh sb="3" eb="5">
      <t>ブブン</t>
    </rPh>
    <phoneticPr fontId="20"/>
  </si>
  <si>
    <t>(GJ/年）</t>
    <rPh sb="4" eb="5">
      <t>ネン</t>
    </rPh>
    <phoneticPr fontId="20"/>
  </si>
  <si>
    <t>■自然エネルギーの直接利用量</t>
    <rPh sb="1" eb="3">
      <t>シゼン</t>
    </rPh>
    <rPh sb="9" eb="11">
      <t>チョクセツ</t>
    </rPh>
    <rPh sb="11" eb="13">
      <t>リヨウ</t>
    </rPh>
    <rPh sb="13" eb="14">
      <t>リョウ</t>
    </rPh>
    <phoneticPr fontId="20"/>
  </si>
  <si>
    <t>設計段階</t>
    <rPh sb="0" eb="2">
      <t>セッケイ</t>
    </rPh>
    <rPh sb="2" eb="4">
      <t>ダンカイ</t>
    </rPh>
    <phoneticPr fontId="20"/>
  </si>
  <si>
    <t>LR1/2.1　定量評価</t>
    <rPh sb="8" eb="10">
      <t>テイリョウ</t>
    </rPh>
    <rPh sb="10" eb="12">
      <t>ヒョウカ</t>
    </rPh>
    <phoneticPr fontId="20"/>
  </si>
  <si>
    <t>MＪ／年㎡　</t>
    <phoneticPr fontId="20"/>
  </si>
  <si>
    <t>LR1/2. 自然ｴﾈﾙｷﾞｰ利用</t>
    <rPh sb="7" eb="9">
      <t>シゼン</t>
    </rPh>
    <rPh sb="15" eb="17">
      <t>リヨウ</t>
    </rPh>
    <phoneticPr fontId="20"/>
  </si>
  <si>
    <t>小中学校・集合住宅</t>
    <rPh sb="0" eb="4">
      <t>ショウチュウガッコウ</t>
    </rPh>
    <rPh sb="5" eb="7">
      <t>シュウゴウ</t>
    </rPh>
    <rPh sb="7" eb="9">
      <t>ジュウタク</t>
    </rPh>
    <phoneticPr fontId="20"/>
  </si>
  <si>
    <t>上記以外</t>
    <rPh sb="0" eb="2">
      <t>ジョウキ</t>
    </rPh>
    <rPh sb="2" eb="4">
      <t>イガイ</t>
    </rPh>
    <phoneticPr fontId="20"/>
  </si>
  <si>
    <t>■効率的な運用</t>
    <rPh sb="1" eb="4">
      <t>コウリツテキ</t>
    </rPh>
    <rPh sb="5" eb="7">
      <t>ウンヨウ</t>
    </rPh>
    <phoneticPr fontId="20"/>
  </si>
  <si>
    <t>低減率</t>
    <rPh sb="0" eb="2">
      <t>テイゲン</t>
    </rPh>
    <rPh sb="2" eb="3">
      <t>リツ</t>
    </rPh>
    <phoneticPr fontId="20"/>
  </si>
  <si>
    <t>LR1/4.　効率的な運用</t>
    <rPh sb="7" eb="10">
      <t>コウリツテキ</t>
    </rPh>
    <rPh sb="11" eb="13">
      <t>ウンヨウ</t>
    </rPh>
    <phoneticPr fontId="20"/>
  </si>
  <si>
    <t>住宅部</t>
    <rPh sb="0" eb="2">
      <t>ジュウタク</t>
    </rPh>
    <rPh sb="2" eb="3">
      <t>ブ</t>
    </rPh>
    <phoneticPr fontId="20"/>
  </si>
  <si>
    <t>専有部面積</t>
    <rPh sb="0" eb="2">
      <t>センユウ</t>
    </rPh>
    <rPh sb="2" eb="3">
      <t>ブ</t>
    </rPh>
    <rPh sb="3" eb="5">
      <t>メンセキ</t>
    </rPh>
    <phoneticPr fontId="20"/>
  </si>
  <si>
    <t>仕様基準でLR1/3cを評価した場合</t>
    <rPh sb="0" eb="2">
      <t>シヨウ</t>
    </rPh>
    <rPh sb="2" eb="4">
      <t>キジュン</t>
    </rPh>
    <rPh sb="12" eb="14">
      <t>ヒョウカ</t>
    </rPh>
    <rPh sb="16" eb="18">
      <t>バアイ</t>
    </rPh>
    <phoneticPr fontId="20"/>
  </si>
  <si>
    <t>集合住宅</t>
    <phoneticPr fontId="20"/>
  </si>
  <si>
    <t>ｍ3/㎡</t>
    <phoneticPr fontId="20"/>
  </si>
  <si>
    <t>ホテル</t>
    <phoneticPr fontId="20"/>
  </si>
  <si>
    <t>◆</t>
    <phoneticPr fontId="20"/>
  </si>
  <si>
    <t>N.A.</t>
    <phoneticPr fontId="20"/>
  </si>
  <si>
    <t>一次エネ消費量　GJ/年</t>
    <phoneticPr fontId="20"/>
  </si>
  <si>
    <t>参照建物①</t>
    <rPh sb="0" eb="2">
      <t>サンショウ</t>
    </rPh>
    <rPh sb="2" eb="4">
      <t>タテモノ</t>
    </rPh>
    <phoneticPr fontId="20"/>
  </si>
  <si>
    <t>評価建物②</t>
    <rPh sb="0" eb="2">
      <t>ヒョウカ</t>
    </rPh>
    <rPh sb="2" eb="4">
      <t>タテモノ</t>
    </rPh>
    <phoneticPr fontId="20"/>
  </si>
  <si>
    <r>
      <t>kg-CO</t>
    </r>
    <r>
      <rPr>
        <vertAlign val="subscript"/>
        <sz val="10"/>
        <rFont val="ＭＳ Ｐゴシック"/>
        <family val="3"/>
        <charset val="128"/>
      </rPr>
      <t>2</t>
    </r>
    <r>
      <rPr>
        <sz val="10"/>
        <rFont val="ＭＳ Ｐゴシック"/>
        <family val="3"/>
        <charset val="128"/>
      </rPr>
      <t>/MJ</t>
    </r>
    <phoneticPr fontId="20"/>
  </si>
  <si>
    <t>住宅　専有部（住戸全体）</t>
    <rPh sb="0" eb="2">
      <t>ジュウタク</t>
    </rPh>
    <rPh sb="3" eb="5">
      <t>センユウ</t>
    </rPh>
    <rPh sb="5" eb="6">
      <t>ブ</t>
    </rPh>
    <rPh sb="7" eb="9">
      <t>ジュウコ</t>
    </rPh>
    <rPh sb="9" eb="11">
      <t>ゼンタイ</t>
    </rPh>
    <phoneticPr fontId="20"/>
  </si>
  <si>
    <t>住宅　共用部</t>
    <rPh sb="0" eb="2">
      <t>ジュウタク</t>
    </rPh>
    <rPh sb="3" eb="6">
      <t>キョウヨウブ</t>
    </rPh>
    <phoneticPr fontId="20"/>
  </si>
  <si>
    <t>削減分</t>
    <rPh sb="0" eb="2">
      <t>サクゲン</t>
    </rPh>
    <rPh sb="2" eb="3">
      <t>ブン</t>
    </rPh>
    <phoneticPr fontId="20"/>
  </si>
  <si>
    <t>評価建物③</t>
    <rPh sb="0" eb="2">
      <t>ヒョウカ</t>
    </rPh>
    <rPh sb="2" eb="4">
      <t>タテモノ</t>
    </rPh>
    <phoneticPr fontId="20"/>
  </si>
  <si>
    <t>Q1</t>
    <phoneticPr fontId="30" type="noConversion"/>
  </si>
  <si>
    <t>室内環境</t>
    <phoneticPr fontId="20"/>
  </si>
  <si>
    <t>騒音</t>
    <phoneticPr fontId="20"/>
  </si>
  <si>
    <t>騒音</t>
    <phoneticPr fontId="20"/>
  </si>
  <si>
    <t>1.2.1</t>
    <phoneticPr fontId="20"/>
  </si>
  <si>
    <t>開口部遮音性能</t>
    <phoneticPr fontId="20"/>
  </si>
  <si>
    <t>1.2.2</t>
    <phoneticPr fontId="20"/>
  </si>
  <si>
    <t>1.2.3</t>
    <phoneticPr fontId="20"/>
  </si>
  <si>
    <t>1.2.3</t>
    <phoneticPr fontId="20"/>
  </si>
  <si>
    <t>1.2.4</t>
    <phoneticPr fontId="20"/>
  </si>
  <si>
    <t>2.1.1</t>
    <phoneticPr fontId="20"/>
  </si>
  <si>
    <t>2.1.1</t>
    <phoneticPr fontId="20"/>
  </si>
  <si>
    <t>室温</t>
    <phoneticPr fontId="20"/>
  </si>
  <si>
    <t>2.3.1</t>
    <phoneticPr fontId="20"/>
  </si>
  <si>
    <t>2.3.1</t>
    <phoneticPr fontId="20"/>
  </si>
  <si>
    <t>2.3.2</t>
    <phoneticPr fontId="20"/>
  </si>
  <si>
    <t>2.3.2</t>
    <phoneticPr fontId="20"/>
  </si>
  <si>
    <t>3.1.1</t>
    <phoneticPr fontId="20"/>
  </si>
  <si>
    <t>3.1.2</t>
    <phoneticPr fontId="20"/>
  </si>
  <si>
    <t>3.1.2</t>
    <phoneticPr fontId="20"/>
  </si>
  <si>
    <t>3.1.3</t>
    <phoneticPr fontId="20"/>
  </si>
  <si>
    <t>3.2.1</t>
    <phoneticPr fontId="20"/>
  </si>
  <si>
    <t>3.2.1</t>
    <phoneticPr fontId="20"/>
  </si>
  <si>
    <t>3.2.2</t>
    <phoneticPr fontId="20"/>
  </si>
  <si>
    <t>3.2.2</t>
    <phoneticPr fontId="20"/>
  </si>
  <si>
    <t>3.2.3</t>
    <phoneticPr fontId="20"/>
  </si>
  <si>
    <t>3.3.1</t>
    <phoneticPr fontId="20"/>
  </si>
  <si>
    <t>3.3.1</t>
    <phoneticPr fontId="20"/>
  </si>
  <si>
    <t>照度</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</si>
  <si>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</si>
  <si>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</si>
  <si>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</si>
  <si>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</si>
  <si>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</si>
  <si>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</si>
  <si>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</si>
  <si>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</si>
  <si>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4.2.1</t>
    <phoneticPr fontId="20"/>
  </si>
  <si>
    <t>4.2.2</t>
    <phoneticPr fontId="20"/>
  </si>
  <si>
    <t>4.2.2</t>
    <phoneticPr fontId="20"/>
  </si>
  <si>
    <t>4.2.3</t>
    <phoneticPr fontId="20"/>
  </si>
  <si>
    <t>4.2.4</t>
    <phoneticPr fontId="20"/>
  </si>
  <si>
    <t>給気計画</t>
    <phoneticPr fontId="20"/>
  </si>
  <si>
    <t>4.3.1</t>
    <phoneticPr fontId="20"/>
  </si>
  <si>
    <t>CO2の監視</t>
    <phoneticPr fontId="20"/>
  </si>
  <si>
    <t>4.3.2</t>
    <phoneticPr fontId="20"/>
  </si>
  <si>
    <t>喫煙の制御</t>
    <phoneticPr fontId="20"/>
  </si>
  <si>
    <t>Q2</t>
    <phoneticPr fontId="20"/>
  </si>
  <si>
    <t>サービス性能</t>
    <phoneticPr fontId="20"/>
  </si>
  <si>
    <t>1.1.1</t>
    <phoneticPr fontId="20"/>
  </si>
  <si>
    <t>1.1.2</t>
    <phoneticPr fontId="20"/>
  </si>
  <si>
    <t>高度情報通信設備対応</t>
    <phoneticPr fontId="20"/>
  </si>
  <si>
    <t>1.1.3</t>
    <phoneticPr fontId="20"/>
  </si>
  <si>
    <t>1.2.1</t>
    <phoneticPr fontId="20"/>
  </si>
  <si>
    <t>1.2.2</t>
    <phoneticPr fontId="20"/>
  </si>
  <si>
    <t>1.2.3</t>
    <phoneticPr fontId="20"/>
  </si>
  <si>
    <t>0</t>
    <phoneticPr fontId="20"/>
  </si>
  <si>
    <t>2.1.1</t>
    <phoneticPr fontId="20"/>
  </si>
  <si>
    <t>2.1.2</t>
    <phoneticPr fontId="20"/>
  </si>
  <si>
    <t>2.2.1</t>
    <phoneticPr fontId="20"/>
  </si>
  <si>
    <t>2.2.2</t>
    <phoneticPr fontId="20"/>
  </si>
  <si>
    <t>2.2.3</t>
    <phoneticPr fontId="20"/>
  </si>
  <si>
    <t>2.2.4</t>
    <phoneticPr fontId="20"/>
  </si>
  <si>
    <t>2.2.5</t>
    <phoneticPr fontId="20"/>
  </si>
  <si>
    <t>2.2.6</t>
    <phoneticPr fontId="20"/>
  </si>
  <si>
    <t>2.3.1</t>
    <phoneticPr fontId="20"/>
  </si>
  <si>
    <t>2.3.2</t>
    <phoneticPr fontId="20"/>
  </si>
  <si>
    <t>2.3.3</t>
    <phoneticPr fontId="20"/>
  </si>
  <si>
    <t>2.4.1</t>
    <phoneticPr fontId="20"/>
  </si>
  <si>
    <t>3.1.1</t>
    <phoneticPr fontId="20"/>
  </si>
  <si>
    <t>3.1.2</t>
    <phoneticPr fontId="20"/>
  </si>
  <si>
    <t>3.3.1</t>
    <phoneticPr fontId="20"/>
  </si>
  <si>
    <t>3.3.2</t>
    <phoneticPr fontId="20"/>
  </si>
  <si>
    <t>3.3.2</t>
    <phoneticPr fontId="20"/>
  </si>
  <si>
    <t>3.3.3</t>
    <phoneticPr fontId="20"/>
  </si>
  <si>
    <t>3.3.3</t>
    <phoneticPr fontId="20"/>
  </si>
  <si>
    <t>3.3.4</t>
    <phoneticPr fontId="20"/>
  </si>
  <si>
    <t>3.3.5</t>
    <phoneticPr fontId="20"/>
  </si>
  <si>
    <t>3.3.5</t>
    <phoneticPr fontId="20"/>
  </si>
  <si>
    <t>3.3.6</t>
    <phoneticPr fontId="20"/>
  </si>
  <si>
    <t>Q3</t>
    <phoneticPr fontId="20"/>
  </si>
  <si>
    <t>Q3</t>
    <phoneticPr fontId="20"/>
  </si>
  <si>
    <t>室外環境（敷地内）</t>
    <phoneticPr fontId="20"/>
  </si>
  <si>
    <t>室外環境（敷地内）</t>
    <phoneticPr fontId="20"/>
  </si>
  <si>
    <t>まちなみ・景観への配慮</t>
    <phoneticPr fontId="20"/>
  </si>
  <si>
    <t>まちなみ・景観への配慮</t>
    <phoneticPr fontId="20"/>
  </si>
  <si>
    <t>地域性・アメニティへの配慮</t>
    <phoneticPr fontId="20"/>
  </si>
  <si>
    <t>3.1</t>
    <phoneticPr fontId="20"/>
  </si>
  <si>
    <t>3.1</t>
    <phoneticPr fontId="20"/>
  </si>
  <si>
    <t>3.2</t>
    <phoneticPr fontId="20"/>
  </si>
  <si>
    <t>3.2</t>
    <phoneticPr fontId="20"/>
  </si>
  <si>
    <t>敷地内温熱環境の向上</t>
    <phoneticPr fontId="20"/>
  </si>
  <si>
    <t>敷地内温熱環境の向上</t>
    <phoneticPr fontId="20"/>
  </si>
  <si>
    <t>LR</t>
    <phoneticPr fontId="30" type="noConversion"/>
  </si>
  <si>
    <t>LR1</t>
    <phoneticPr fontId="30" type="noConversion"/>
  </si>
  <si>
    <t>LR</t>
    <phoneticPr fontId="20"/>
  </si>
  <si>
    <t>LR</t>
    <phoneticPr fontId="20"/>
  </si>
  <si>
    <t>エネルギー</t>
    <phoneticPr fontId="20"/>
  </si>
  <si>
    <t>エネルギー</t>
    <phoneticPr fontId="20"/>
  </si>
  <si>
    <t>建物外皮の熱負荷抑制</t>
    <rPh sb="0" eb="2">
      <t>タテモノ</t>
    </rPh>
    <rPh sb="2" eb="4">
      <t>ガイヒ</t>
    </rPh>
    <rPh sb="5" eb="6">
      <t>ネツ</t>
    </rPh>
    <rPh sb="6" eb="8">
      <t>フカ</t>
    </rPh>
    <rPh sb="8" eb="10">
      <t>ヨクセイ</t>
    </rPh>
    <phoneticPr fontId="20"/>
  </si>
  <si>
    <t>2.1</t>
    <phoneticPr fontId="20"/>
  </si>
  <si>
    <t>2.1</t>
    <phoneticPr fontId="20"/>
  </si>
  <si>
    <t>2.2</t>
    <phoneticPr fontId="20"/>
  </si>
  <si>
    <t>2.2</t>
    <phoneticPr fontId="20"/>
  </si>
  <si>
    <t>3a.3b</t>
    <phoneticPr fontId="20"/>
  </si>
  <si>
    <t>LR1 3</t>
    <phoneticPr fontId="20"/>
  </si>
  <si>
    <t>非住宅部分</t>
    <rPh sb="0" eb="1">
      <t>ﾋ</t>
    </rPh>
    <rPh sb="1" eb="3">
      <t>ｼﾞｭｳﾀｸ</t>
    </rPh>
    <rPh sb="3" eb="5">
      <t>ﾌﾞﾌﾞﾝ</t>
    </rPh>
    <phoneticPr fontId="30" type="noConversion"/>
  </si>
  <si>
    <t>3b.c</t>
    <phoneticPr fontId="20"/>
  </si>
  <si>
    <t>LR1 3b</t>
    <phoneticPr fontId="20"/>
  </si>
  <si>
    <t>LR1 3b</t>
    <phoneticPr fontId="20"/>
  </si>
  <si>
    <t>住宅以外の評価</t>
    <rPh sb="0" eb="2">
      <t>ｼﾞｭｳﾀｸ</t>
    </rPh>
    <rPh sb="2" eb="4">
      <t>ｲｶﾞｲ</t>
    </rPh>
    <rPh sb="5" eb="7">
      <t>ﾋｮｳｶ</t>
    </rPh>
    <phoneticPr fontId="30" type="noConversion"/>
  </si>
  <si>
    <t>4.1.1</t>
    <phoneticPr fontId="20"/>
  </si>
  <si>
    <t>LR1 4.1</t>
    <phoneticPr fontId="20"/>
  </si>
  <si>
    <t>LR1 4.1</t>
    <phoneticPr fontId="20"/>
  </si>
  <si>
    <t>モニタリング</t>
    <phoneticPr fontId="30" type="noConversion"/>
  </si>
  <si>
    <t>4.1.2</t>
    <phoneticPr fontId="20"/>
  </si>
  <si>
    <t>住宅の評価</t>
    <rPh sb="0" eb="2">
      <t>ｼﾞｭｳﾀｸ</t>
    </rPh>
    <rPh sb="3" eb="5">
      <t>ﾋｮｳｶ</t>
    </rPh>
    <phoneticPr fontId="30" type="noConversion"/>
  </si>
  <si>
    <t>4.2.1</t>
    <phoneticPr fontId="20"/>
  </si>
  <si>
    <t>LR1 4.2</t>
    <phoneticPr fontId="20"/>
  </si>
  <si>
    <t>LR1 4.2</t>
    <phoneticPr fontId="20"/>
  </si>
  <si>
    <t>モニタリング</t>
    <phoneticPr fontId="3"/>
  </si>
  <si>
    <t>運用管理体制</t>
    <rPh sb="0" eb="2">
      <t>ウンヨウ</t>
    </rPh>
    <rPh sb="2" eb="4">
      <t>カンリ</t>
    </rPh>
    <rPh sb="4" eb="6">
      <t>タイセイ</t>
    </rPh>
    <phoneticPr fontId="20"/>
  </si>
  <si>
    <t>LR2</t>
    <phoneticPr fontId="30" type="noConversion"/>
  </si>
  <si>
    <t>資源・マテリアル</t>
    <phoneticPr fontId="20"/>
  </si>
  <si>
    <t>雨水利用システム導入の有無</t>
    <phoneticPr fontId="20"/>
  </si>
  <si>
    <t>2.3</t>
    <phoneticPr fontId="20"/>
  </si>
  <si>
    <t>2.4</t>
    <phoneticPr fontId="20"/>
  </si>
  <si>
    <t>躯体材料以外におけるリサイクル材の使用</t>
  </si>
  <si>
    <t>2.5</t>
    <phoneticPr fontId="20"/>
  </si>
  <si>
    <t>持続可能な森林から産出された木材</t>
    <phoneticPr fontId="20"/>
  </si>
  <si>
    <t>2.6</t>
    <phoneticPr fontId="20"/>
  </si>
  <si>
    <t>3.2.1</t>
    <phoneticPr fontId="20"/>
  </si>
  <si>
    <t>消火剤</t>
    <phoneticPr fontId="20"/>
  </si>
  <si>
    <t>消火剤</t>
    <phoneticPr fontId="20"/>
  </si>
  <si>
    <t>3.2.2</t>
    <phoneticPr fontId="20"/>
  </si>
  <si>
    <t>発泡剤（断熱材等）</t>
    <phoneticPr fontId="20"/>
  </si>
  <si>
    <t>3.2.3</t>
    <phoneticPr fontId="20"/>
  </si>
  <si>
    <t>3.2.3</t>
    <phoneticPr fontId="20"/>
  </si>
  <si>
    <t>LR3</t>
    <phoneticPr fontId="30" type="noConversion"/>
  </si>
  <si>
    <t>敷地外環境</t>
    <phoneticPr fontId="20"/>
  </si>
  <si>
    <t>温熱環境悪化の改善</t>
    <phoneticPr fontId="20"/>
  </si>
  <si>
    <t>2.3</t>
    <phoneticPr fontId="20"/>
  </si>
  <si>
    <t>雨水排水負荷低減</t>
    <phoneticPr fontId="30" type="noConversion"/>
  </si>
  <si>
    <t>汚水処理負荷抑制</t>
    <phoneticPr fontId="30" type="noConversion"/>
  </si>
  <si>
    <t>2.3.3</t>
    <phoneticPr fontId="20"/>
  </si>
  <si>
    <t>2.3.4</t>
    <phoneticPr fontId="20"/>
  </si>
  <si>
    <t>3.1.1</t>
    <phoneticPr fontId="20"/>
  </si>
  <si>
    <t>3.1.3</t>
    <phoneticPr fontId="20"/>
  </si>
  <si>
    <t>風害の抑制</t>
    <phoneticPr fontId="30" type="noConversion"/>
  </si>
  <si>
    <t>LR3 3.2</t>
    <phoneticPr fontId="20"/>
  </si>
  <si>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</si>
  <si>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</si>
  <si>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</si>
  <si>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</si>
  <si>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1.2.1</t>
    <phoneticPr fontId="20"/>
  </si>
  <si>
    <t>開口部遮音性能</t>
    <phoneticPr fontId="20"/>
  </si>
  <si>
    <t>1.2.2</t>
    <phoneticPr fontId="20"/>
  </si>
  <si>
    <t>1.2.4</t>
    <phoneticPr fontId="20"/>
  </si>
  <si>
    <t>照度均斉度</t>
    <phoneticPr fontId="20"/>
  </si>
  <si>
    <t>Q1</t>
    <phoneticPr fontId="30" type="noConversion"/>
  </si>
  <si>
    <t>室内環境</t>
    <phoneticPr fontId="20"/>
  </si>
  <si>
    <t>1.2.1</t>
    <phoneticPr fontId="20"/>
  </si>
  <si>
    <t>開口部遮音性能</t>
    <phoneticPr fontId="20"/>
  </si>
  <si>
    <t>1.2.2</t>
    <phoneticPr fontId="20"/>
  </si>
  <si>
    <t>1.2.3</t>
    <phoneticPr fontId="20"/>
  </si>
  <si>
    <t>1.2.4</t>
    <phoneticPr fontId="20"/>
  </si>
  <si>
    <t>2.1.1</t>
    <phoneticPr fontId="20"/>
  </si>
  <si>
    <t>室温</t>
    <phoneticPr fontId="20"/>
  </si>
  <si>
    <t>2.3.1</t>
    <phoneticPr fontId="20"/>
  </si>
  <si>
    <t>2.3.2</t>
    <phoneticPr fontId="20"/>
  </si>
  <si>
    <t>3.1.1</t>
    <phoneticPr fontId="20"/>
  </si>
  <si>
    <t>3.1.2</t>
    <phoneticPr fontId="20"/>
  </si>
  <si>
    <t>3.1.3</t>
    <phoneticPr fontId="20"/>
  </si>
  <si>
    <t>3.2.1</t>
    <phoneticPr fontId="20"/>
  </si>
  <si>
    <t>3.2.2</t>
    <phoneticPr fontId="20"/>
  </si>
  <si>
    <t>3.2.3</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</si>
  <si>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</si>
  <si>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</si>
  <si>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</si>
  <si>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</si>
  <si>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</si>
  <si>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</si>
  <si>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</si>
  <si>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</si>
  <si>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</si>
  <si>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2.1</t>
    <phoneticPr fontId="20"/>
  </si>
  <si>
    <t>2.2</t>
    <phoneticPr fontId="20"/>
  </si>
  <si>
    <t>温熱環境悪化の改善</t>
    <phoneticPr fontId="20"/>
  </si>
  <si>
    <t>2.3</t>
    <phoneticPr fontId="20"/>
  </si>
  <si>
    <t>2.3.1</t>
    <phoneticPr fontId="20"/>
  </si>
  <si>
    <t>雨水排水負荷低減</t>
    <phoneticPr fontId="30" type="noConversion"/>
  </si>
  <si>
    <t>2.3.2</t>
    <phoneticPr fontId="20"/>
  </si>
  <si>
    <t>汚水処理負荷抑制</t>
    <phoneticPr fontId="30" type="noConversion"/>
  </si>
  <si>
    <t>2.3.3</t>
    <phoneticPr fontId="20"/>
  </si>
  <si>
    <t>2.3.4</t>
    <phoneticPr fontId="20"/>
  </si>
  <si>
    <t>3.1</t>
    <phoneticPr fontId="20"/>
  </si>
  <si>
    <t>3.1.1</t>
    <phoneticPr fontId="20"/>
  </si>
  <si>
    <t>3.1.2</t>
    <phoneticPr fontId="20"/>
  </si>
  <si>
    <t>3.1.3</t>
    <phoneticPr fontId="20"/>
  </si>
  <si>
    <t>3.2</t>
    <phoneticPr fontId="20"/>
  </si>
  <si>
    <t>3.2.1</t>
    <phoneticPr fontId="20"/>
  </si>
  <si>
    <t>風害の抑制</t>
    <phoneticPr fontId="30" type="noConversion"/>
  </si>
  <si>
    <t>3.2.2</t>
    <phoneticPr fontId="20"/>
  </si>
  <si>
    <t>LR3 3.2</t>
    <phoneticPr fontId="20"/>
  </si>
  <si>
    <t>3.2.3</t>
    <phoneticPr fontId="20"/>
  </si>
  <si>
    <t>日照阻害の抑制</t>
    <phoneticPr fontId="30" type="noConversion"/>
  </si>
  <si>
    <t>3.3</t>
    <phoneticPr fontId="20"/>
  </si>
  <si>
    <t>3.3.1</t>
    <phoneticPr fontId="20"/>
  </si>
  <si>
    <t>屋外照明及び屋内照明のうち外に漏れる光への対策</t>
    <phoneticPr fontId="30" type="noConversion"/>
  </si>
  <si>
    <t>3.3.2</t>
    <phoneticPr fontId="20"/>
  </si>
  <si>
    <t>昼光の建物外壁による反射光（グレア）への対策</t>
    <phoneticPr fontId="30" type="noConversion"/>
  </si>
  <si>
    <t>Q1</t>
    <phoneticPr fontId="30" type="noConversion"/>
  </si>
  <si>
    <t>室内環境</t>
    <phoneticPr fontId="20"/>
  </si>
  <si>
    <t>騒音</t>
    <phoneticPr fontId="20"/>
  </si>
  <si>
    <t>1.2.1</t>
    <phoneticPr fontId="20"/>
  </si>
  <si>
    <t>開口部遮音性能</t>
    <phoneticPr fontId="20"/>
  </si>
  <si>
    <t>1.2.2</t>
    <phoneticPr fontId="20"/>
  </si>
  <si>
    <t>1.2.3</t>
    <phoneticPr fontId="20"/>
  </si>
  <si>
    <t>1.2.4</t>
    <phoneticPr fontId="20"/>
  </si>
  <si>
    <t>2.1.1</t>
    <phoneticPr fontId="20"/>
  </si>
  <si>
    <t>2.3.1</t>
    <phoneticPr fontId="20"/>
  </si>
  <si>
    <t>2.3.2</t>
    <phoneticPr fontId="20"/>
  </si>
  <si>
    <t>3.1.1</t>
    <phoneticPr fontId="20"/>
  </si>
  <si>
    <t>3.1.2</t>
    <phoneticPr fontId="20"/>
  </si>
  <si>
    <t>3.1.3</t>
    <phoneticPr fontId="20"/>
  </si>
  <si>
    <t>3.2.1</t>
    <phoneticPr fontId="20"/>
  </si>
  <si>
    <t>3.2.2</t>
    <phoneticPr fontId="20"/>
  </si>
  <si>
    <t>3.3.1</t>
    <phoneticPr fontId="20"/>
  </si>
  <si>
    <t>照度</t>
    <phoneticPr fontId="20"/>
  </si>
  <si>
    <t>3.3.2</t>
    <phoneticPr fontId="20"/>
  </si>
  <si>
    <t>照度均斉度</t>
    <phoneticPr fontId="20"/>
  </si>
  <si>
    <t>4.1.1</t>
    <phoneticPr fontId="20"/>
  </si>
  <si>
    <t>4.1.2</t>
    <phoneticPr fontId="20"/>
  </si>
  <si>
    <t xml:space="preserve"> アスベスト対策</t>
    <phoneticPr fontId="20"/>
  </si>
  <si>
    <t>4.1.3</t>
    <phoneticPr fontId="20"/>
  </si>
  <si>
    <t>4.1.4</t>
    <phoneticPr fontId="20"/>
  </si>
  <si>
    <t xml:space="preserve"> Q2 1.3</t>
    <phoneticPr fontId="20"/>
  </si>
  <si>
    <t xml:space="preserve"> Q2 2</t>
    <phoneticPr fontId="20"/>
  </si>
  <si>
    <t xml:space="preserve"> Q2 2.3</t>
    <phoneticPr fontId="20"/>
  </si>
  <si>
    <t>3.3.4</t>
    <phoneticPr fontId="20"/>
  </si>
  <si>
    <t>3.3.6</t>
    <phoneticPr fontId="20"/>
  </si>
  <si>
    <t>地域性・アメニティへの配慮</t>
    <phoneticPr fontId="20"/>
  </si>
  <si>
    <t>LR</t>
    <phoneticPr fontId="30" type="noConversion"/>
  </si>
  <si>
    <t>LR1</t>
    <phoneticPr fontId="30" type="noConversion"/>
  </si>
  <si>
    <t>3a.3b</t>
    <phoneticPr fontId="20"/>
  </si>
  <si>
    <t>LR1 3.1</t>
    <phoneticPr fontId="20"/>
  </si>
  <si>
    <t>3b.c</t>
    <phoneticPr fontId="20"/>
  </si>
  <si>
    <t>LR1 3.2</t>
    <phoneticPr fontId="20"/>
  </si>
  <si>
    <t>実績値を用いた総合評価</t>
  </si>
  <si>
    <t>モニタリング</t>
    <phoneticPr fontId="30" type="noConversion"/>
  </si>
  <si>
    <t>住まい方の提示</t>
    <rPh sb="5" eb="7">
      <t>テイジ</t>
    </rPh>
    <phoneticPr fontId="3"/>
  </si>
  <si>
    <t>エネルギーの管理と制御</t>
  </si>
  <si>
    <t>LR2</t>
    <phoneticPr fontId="30" type="noConversion"/>
  </si>
  <si>
    <t>資源・マテリアル</t>
    <phoneticPr fontId="20"/>
  </si>
  <si>
    <t>雨水利用システム導入の有無</t>
    <phoneticPr fontId="20"/>
  </si>
  <si>
    <t>2.4</t>
    <phoneticPr fontId="20"/>
  </si>
  <si>
    <t>2.5</t>
    <phoneticPr fontId="20"/>
  </si>
  <si>
    <t>持続可能な森林から産出された木材</t>
    <phoneticPr fontId="20"/>
  </si>
  <si>
    <t>2.6</t>
    <phoneticPr fontId="20"/>
  </si>
  <si>
    <t>LR3</t>
    <phoneticPr fontId="30" type="noConversion"/>
  </si>
  <si>
    <t>敷地外環境</t>
    <phoneticPr fontId="20"/>
  </si>
  <si>
    <t>LR1 3.1</t>
    <phoneticPr fontId="20"/>
  </si>
  <si>
    <t>LR1 3.2</t>
    <phoneticPr fontId="20"/>
  </si>
  <si>
    <t>温熱環境悪化の改善</t>
    <phoneticPr fontId="20"/>
  </si>
  <si>
    <t>雨水排水負荷低減</t>
    <phoneticPr fontId="30" type="noConversion"/>
  </si>
  <si>
    <t>汚水処理負荷抑制</t>
    <phoneticPr fontId="30" type="noConversion"/>
  </si>
  <si>
    <t>2.3.4</t>
    <phoneticPr fontId="20"/>
  </si>
  <si>
    <t>3.1.3</t>
    <phoneticPr fontId="20"/>
  </si>
  <si>
    <t>風害の抑制</t>
    <phoneticPr fontId="30" type="noConversion"/>
  </si>
  <si>
    <t>日照阻害の抑制</t>
    <phoneticPr fontId="30" type="noConversion"/>
  </si>
  <si>
    <t>3.3</t>
    <phoneticPr fontId="20"/>
  </si>
  <si>
    <t>屋外照明及び屋内照明のうち外に漏れる光への対策</t>
    <phoneticPr fontId="30" type="noConversion"/>
  </si>
  <si>
    <t>昼光の建物外壁による反射光（グレア）への対策</t>
    <phoneticPr fontId="30" type="noConversion"/>
  </si>
  <si>
    <t>BPI=</t>
    <phoneticPr fontId="20"/>
  </si>
  <si>
    <t>BPIm=</t>
    <phoneticPr fontId="20"/>
  </si>
  <si>
    <t>1</t>
    <phoneticPr fontId="20"/>
  </si>
  <si>
    <t>BPI</t>
    <phoneticPr fontId="20"/>
  </si>
  <si>
    <t>レベル</t>
    <phoneticPr fontId="20"/>
  </si>
  <si>
    <t>BPIｍ</t>
    <phoneticPr fontId="20"/>
  </si>
  <si>
    <t>㎡</t>
    <phoneticPr fontId="20"/>
  </si>
  <si>
    <t>％</t>
    <phoneticPr fontId="20"/>
  </si>
  <si>
    <t>レベル</t>
    <phoneticPr fontId="20"/>
  </si>
  <si>
    <t>3</t>
    <phoneticPr fontId="20"/>
  </si>
  <si>
    <t>BEIｍ=</t>
    <phoneticPr fontId="20"/>
  </si>
  <si>
    <t>LR1/3.1　設計仕様に基づく評価</t>
    <rPh sb="8" eb="10">
      <t>セッケイ</t>
    </rPh>
    <rPh sb="10" eb="12">
      <t>シヨウ</t>
    </rPh>
    <rPh sb="13" eb="14">
      <t>モト</t>
    </rPh>
    <rPh sb="16" eb="18">
      <t>ヒョウカ</t>
    </rPh>
    <phoneticPr fontId="20"/>
  </si>
  <si>
    <t>LR1/3.2　実績値を用いた総合評価</t>
    <phoneticPr fontId="20"/>
  </si>
  <si>
    <t>％</t>
    <phoneticPr fontId="20"/>
  </si>
  <si>
    <t>BEI(1)</t>
    <phoneticPr fontId="20"/>
  </si>
  <si>
    <t>BEI(2)</t>
    <phoneticPr fontId="20"/>
  </si>
  <si>
    <t>ERRレベル</t>
    <phoneticPr fontId="20"/>
  </si>
  <si>
    <t>■</t>
    <phoneticPr fontId="20"/>
  </si>
  <si>
    <t>αM</t>
    <phoneticPr fontId="20"/>
  </si>
  <si>
    <t>βM</t>
    <phoneticPr fontId="20"/>
  </si>
  <si>
    <t>EM</t>
    <phoneticPr fontId="20"/>
  </si>
  <si>
    <t>加点有無</t>
    <rPh sb="0" eb="2">
      <t>カテン</t>
    </rPh>
    <rPh sb="2" eb="4">
      <t>ウム</t>
    </rPh>
    <phoneticPr fontId="20"/>
  </si>
  <si>
    <t>BEI＊</t>
    <phoneticPr fontId="20"/>
  </si>
  <si>
    <t>換算係数(参照値)</t>
    <rPh sb="0" eb="2">
      <t>カンサン</t>
    </rPh>
    <rPh sb="2" eb="4">
      <t>ケイスウ</t>
    </rPh>
    <rPh sb="5" eb="7">
      <t>サンショウ</t>
    </rPh>
    <rPh sb="7" eb="8">
      <t>チ</t>
    </rPh>
    <phoneticPr fontId="32"/>
  </si>
  <si>
    <t>㎡</t>
    <phoneticPr fontId="20"/>
  </si>
  <si>
    <t>MＪ／年㎡　</t>
    <phoneticPr fontId="20"/>
  </si>
  <si>
    <t>仕様基準でLR1/3.1cを評価した場合</t>
    <rPh sb="0" eb="2">
      <t>シヨウ</t>
    </rPh>
    <rPh sb="2" eb="4">
      <t>キジュン</t>
    </rPh>
    <rPh sb="14" eb="16">
      <t>ヒョウカ</t>
    </rPh>
    <rPh sb="18" eb="20">
      <t>バアイ</t>
    </rPh>
    <phoneticPr fontId="20"/>
  </si>
  <si>
    <t>1)　建物全体のエネルギー消費量実績の入力</t>
    <rPh sb="3" eb="5">
      <t>タテモノ</t>
    </rPh>
    <rPh sb="5" eb="7">
      <t>ゼンタイ</t>
    </rPh>
    <rPh sb="13" eb="15">
      <t>ショウヒ</t>
    </rPh>
    <rPh sb="15" eb="16">
      <t>リョウ</t>
    </rPh>
    <rPh sb="16" eb="18">
      <t>ジッセキ</t>
    </rPh>
    <rPh sb="19" eb="21">
      <t>ニュウリョク</t>
    </rPh>
    <phoneticPr fontId="20"/>
  </si>
  <si>
    <t>①非住宅部分全体（集合住宅除く）</t>
    <rPh sb="1" eb="2">
      <t>ヒ</t>
    </rPh>
    <rPh sb="2" eb="4">
      <t>ジュウタク</t>
    </rPh>
    <rPh sb="4" eb="6">
      <t>ブブン</t>
    </rPh>
    <rPh sb="6" eb="8">
      <t>ゼンタイ</t>
    </rPh>
    <rPh sb="9" eb="11">
      <t>シュウゴウ</t>
    </rPh>
    <rPh sb="11" eb="13">
      <t>ジュウタク</t>
    </rPh>
    <rPh sb="13" eb="14">
      <t>ノゾ</t>
    </rPh>
    <phoneticPr fontId="20"/>
  </si>
  <si>
    <t>GJ/年</t>
    <phoneticPr fontId="20"/>
  </si>
  <si>
    <t>②工場部分（給湯・照明のみ対象）※</t>
    <rPh sb="1" eb="3">
      <t>コウジョウ</t>
    </rPh>
    <rPh sb="3" eb="5">
      <t>ブブン</t>
    </rPh>
    <rPh sb="6" eb="8">
      <t>キュウトウ</t>
    </rPh>
    <rPh sb="9" eb="11">
      <t>ショウメイ</t>
    </rPh>
    <rPh sb="13" eb="15">
      <t>タイショウ</t>
    </rPh>
    <phoneticPr fontId="20"/>
  </si>
  <si>
    <t>③評価対象となる建物のエネルギー種別一次エネルギー構成比率（集合住宅除く）※</t>
    <rPh sb="1" eb="3">
      <t>ヒョウカ</t>
    </rPh>
    <rPh sb="3" eb="5">
      <t>タイショウ</t>
    </rPh>
    <rPh sb="8" eb="10">
      <t>タテモノ</t>
    </rPh>
    <rPh sb="16" eb="18">
      <t>シュベツ</t>
    </rPh>
    <rPh sb="18" eb="20">
      <t>イチジ</t>
    </rPh>
    <rPh sb="25" eb="27">
      <t>コウセイ</t>
    </rPh>
    <rPh sb="27" eb="29">
      <t>ヒリツ</t>
    </rPh>
    <rPh sb="30" eb="32">
      <t>シュウゴウ</t>
    </rPh>
    <rPh sb="32" eb="34">
      <t>ジュウタク</t>
    </rPh>
    <rPh sb="34" eb="35">
      <t>ノゾ</t>
    </rPh>
    <phoneticPr fontId="20"/>
  </si>
  <si>
    <t>その他</t>
    <rPh sb="2" eb="3">
      <t>ホカ</t>
    </rPh>
    <phoneticPr fontId="4"/>
  </si>
  <si>
    <t>　※運用CO2算定のための入力項目</t>
    <rPh sb="2" eb="4">
      <t>ウンヨウ</t>
    </rPh>
    <rPh sb="7" eb="9">
      <t>サンテイ</t>
    </rPh>
    <rPh sb="13" eb="15">
      <t>ニュウリョク</t>
    </rPh>
    <rPh sb="15" eb="17">
      <t>コウモク</t>
    </rPh>
    <phoneticPr fontId="20"/>
  </si>
  <si>
    <t>2)　除外部分の入力</t>
    <phoneticPr fontId="20"/>
  </si>
  <si>
    <t>対象部分の床面積(㎡)</t>
    <rPh sb="0" eb="2">
      <t>タイショウ</t>
    </rPh>
    <rPh sb="2" eb="4">
      <t>ブブン</t>
    </rPh>
    <rPh sb="5" eb="6">
      <t>ユカ</t>
    </rPh>
    <rPh sb="6" eb="8">
      <t>メンセキ</t>
    </rPh>
    <phoneticPr fontId="20"/>
  </si>
  <si>
    <t>※備考；　非住宅部分の延床面積</t>
    <rPh sb="1" eb="3">
      <t>ビコウ</t>
    </rPh>
    <rPh sb="5" eb="6">
      <t>ヒ</t>
    </rPh>
    <rPh sb="6" eb="8">
      <t>ジュウタク</t>
    </rPh>
    <rPh sb="8" eb="10">
      <t>ブブン</t>
    </rPh>
    <phoneticPr fontId="20"/>
  </si>
  <si>
    <t>境界値a</t>
    <phoneticPr fontId="20"/>
  </si>
  <si>
    <t>境界値b</t>
    <phoneticPr fontId="20"/>
  </si>
  <si>
    <t>ﾃﾞﾊﾟｰﾄ･ｽｰﾊﾟｰ</t>
  </si>
  <si>
    <t>ﾃﾞﾊﾟｰﾄ･ｽｰﾊﾟｰ</t>
    <phoneticPr fontId="20"/>
  </si>
  <si>
    <t>物販店</t>
    <phoneticPr fontId="20"/>
  </si>
  <si>
    <t>飲食店</t>
    <phoneticPr fontId="20"/>
  </si>
  <si>
    <t>ホテル</t>
    <phoneticPr fontId="20"/>
  </si>
  <si>
    <t>（メインシートより）</t>
    <phoneticPr fontId="20"/>
  </si>
  <si>
    <t>MJ/㎡年</t>
    <phoneticPr fontId="20"/>
  </si>
  <si>
    <t>a</t>
    <phoneticPr fontId="20"/>
  </si>
  <si>
    <t>b</t>
    <phoneticPr fontId="20"/>
  </si>
  <si>
    <t>c</t>
    <phoneticPr fontId="20"/>
  </si>
  <si>
    <t>d</t>
    <phoneticPr fontId="20"/>
  </si>
  <si>
    <t>e</t>
    <phoneticPr fontId="20"/>
  </si>
  <si>
    <t>f</t>
    <phoneticPr fontId="20"/>
  </si>
  <si>
    <t>g</t>
    <phoneticPr fontId="20"/>
  </si>
  <si>
    <t>ﾃﾞﾊﾟｰﾄ･ｽｰﾊﾟｰ</t>
    <phoneticPr fontId="20"/>
  </si>
  <si>
    <t>物販店</t>
    <phoneticPr fontId="20"/>
  </si>
  <si>
    <t>飲食店</t>
    <phoneticPr fontId="20"/>
  </si>
  <si>
    <t>ホテル</t>
    <phoneticPr fontId="20"/>
  </si>
  <si>
    <t>集合住宅</t>
    <phoneticPr fontId="20"/>
  </si>
  <si>
    <t>ｍ3/㎡</t>
    <phoneticPr fontId="20"/>
  </si>
  <si>
    <t>◆</t>
    <phoneticPr fontId="20"/>
  </si>
  <si>
    <t>N.A.</t>
    <phoneticPr fontId="20"/>
  </si>
  <si>
    <t>一次エネ消費量　GJ/年</t>
    <phoneticPr fontId="20"/>
  </si>
  <si>
    <r>
      <t>kg-CO</t>
    </r>
    <r>
      <rPr>
        <vertAlign val="subscript"/>
        <sz val="10"/>
        <rFont val="ＭＳ Ｐゴシック"/>
        <family val="3"/>
        <charset val="128"/>
      </rPr>
      <t>2</t>
    </r>
    <r>
      <rPr>
        <sz val="10"/>
        <rFont val="ＭＳ Ｐゴシック"/>
        <family val="3"/>
        <charset val="128"/>
      </rPr>
      <t>/MJ</t>
    </r>
    <phoneticPr fontId="20"/>
  </si>
  <si>
    <t>kg-CO2/MJ</t>
    <phoneticPr fontId="20"/>
  </si>
  <si>
    <t>改修後</t>
    <rPh sb="0" eb="2">
      <t>カイシュウ</t>
    </rPh>
    <rPh sb="2" eb="3">
      <t>ゴ</t>
    </rPh>
    <phoneticPr fontId="20"/>
  </si>
  <si>
    <t>評価建物</t>
    <rPh sb="0" eb="2">
      <t>ヒョウカ</t>
    </rPh>
    <rPh sb="2" eb="4">
      <t>タテモノ</t>
    </rPh>
    <phoneticPr fontId="20"/>
  </si>
  <si>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0"/>
  </si>
  <si>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0"/>
  </si>
  <si>
    <t>対象外</t>
    <rPh sb="0" eb="3">
      <t>タイショウガイ</t>
    </rPh>
    <phoneticPr fontId="20"/>
  </si>
  <si>
    <t>改修前</t>
    <rPh sb="0" eb="2">
      <t>カイシュウ</t>
    </rPh>
    <rPh sb="2" eb="3">
      <t>マエ</t>
    </rPh>
    <phoneticPr fontId="20"/>
  </si>
  <si>
    <t>改修後</t>
    <rPh sb="0" eb="2">
      <t>カイシュウ</t>
    </rPh>
    <rPh sb="2" eb="3">
      <t>ゴ</t>
    </rPh>
    <phoneticPr fontId="20"/>
  </si>
  <si>
    <t>エネルギー消費量の実績値（工場用途は照明と給湯分）</t>
    <rPh sb="5" eb="8">
      <t>ショウヒリョウ</t>
    </rPh>
    <rPh sb="9" eb="11">
      <t>ジッセキ</t>
    </rPh>
    <rPh sb="11" eb="12">
      <t>チ</t>
    </rPh>
    <rPh sb="13" eb="15">
      <t>コウジョウ</t>
    </rPh>
    <rPh sb="15" eb="17">
      <t>ヨウト</t>
    </rPh>
    <rPh sb="18" eb="20">
      <t>ショウメイ</t>
    </rPh>
    <rPh sb="21" eb="23">
      <t>キュウトウ</t>
    </rPh>
    <rPh sb="23" eb="24">
      <t>ブン</t>
    </rPh>
    <phoneticPr fontId="20"/>
  </si>
  <si>
    <t>改修しない</t>
    <rPh sb="0" eb="2">
      <t>カイシュウ</t>
    </rPh>
    <phoneticPr fontId="20"/>
  </si>
  <si>
    <t>新築</t>
    <rPh sb="0" eb="2">
      <t>シンチク</t>
    </rPh>
    <phoneticPr fontId="20"/>
  </si>
  <si>
    <t>既存</t>
    <rPh sb="0" eb="2">
      <t>キソン</t>
    </rPh>
    <phoneticPr fontId="20"/>
  </si>
  <si>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0"/>
  </si>
  <si>
    <t>一次ｴﾈﾙｷﾞｰあたり　非住宅</t>
    <rPh sb="0" eb="2">
      <t>イチジ</t>
    </rPh>
    <rPh sb="12" eb="13">
      <t>ヒ</t>
    </rPh>
    <rPh sb="13" eb="15">
      <t>ジュウタク</t>
    </rPh>
    <phoneticPr fontId="20"/>
  </si>
  <si>
    <t>同上　　住宅（専有部）</t>
    <rPh sb="0" eb="2">
      <t>ドウジョウ</t>
    </rPh>
    <rPh sb="4" eb="6">
      <t>ジュウタク</t>
    </rPh>
    <rPh sb="7" eb="9">
      <t>センユウ</t>
    </rPh>
    <rPh sb="9" eb="10">
      <t>ブ</t>
    </rPh>
    <phoneticPr fontId="20"/>
  </si>
  <si>
    <r>
      <t>kg-CO</t>
    </r>
    <r>
      <rPr>
        <vertAlign val="subscript"/>
        <sz val="10"/>
        <rFont val="ＭＳ Ｐゴシック"/>
        <family val="3"/>
        <charset val="128"/>
      </rPr>
      <t>2</t>
    </r>
    <r>
      <rPr>
        <sz val="10"/>
        <rFont val="ＭＳ Ｐゴシック"/>
        <family val="3"/>
        <charset val="128"/>
      </rPr>
      <t>/ｋWh</t>
    </r>
    <phoneticPr fontId="20"/>
  </si>
  <si>
    <t>④上記+
　オフサイト手法</t>
    <phoneticPr fontId="20"/>
  </si>
  <si>
    <t>ratio</t>
    <phoneticPr fontId="20"/>
  </si>
  <si>
    <t>負荷変動・追従制御性</t>
    <phoneticPr fontId="20"/>
  </si>
  <si>
    <t>温度・湿度制御</t>
    <phoneticPr fontId="20"/>
  </si>
  <si>
    <t>時間外空調に対する配慮</t>
    <rPh sb="0" eb="3">
      <t>ジカンガイ</t>
    </rPh>
    <rPh sb="3" eb="5">
      <t>クウチョウ</t>
    </rPh>
    <rPh sb="6" eb="7">
      <t>タイ</t>
    </rPh>
    <rPh sb="9" eb="11">
      <t>ハイリョ</t>
    </rPh>
    <phoneticPr fontId="20"/>
  </si>
  <si>
    <t>照度</t>
    <rPh sb="0" eb="2">
      <t>ショウド</t>
    </rPh>
    <phoneticPr fontId="20"/>
  </si>
  <si>
    <t>照度均斉度</t>
    <rPh sb="0" eb="2">
      <t>ショウド</t>
    </rPh>
    <rPh sb="2" eb="3">
      <t>タモツ</t>
    </rPh>
    <rPh sb="3" eb="4">
      <t>サイ</t>
    </rPh>
    <rPh sb="4" eb="5">
      <t>タビ</t>
    </rPh>
    <phoneticPr fontId="20"/>
  </si>
  <si>
    <t>集合住宅以外の評価(3.1a. 3.1b)</t>
    <rPh sb="0" eb="2">
      <t>シュウゴウ</t>
    </rPh>
    <rPh sb="2" eb="4">
      <t>ジュウタク</t>
    </rPh>
    <rPh sb="4" eb="6">
      <t>イガイ</t>
    </rPh>
    <rPh sb="7" eb="9">
      <t>ヒョウカ</t>
    </rPh>
    <phoneticPr fontId="20"/>
  </si>
  <si>
    <t>集合住宅の評価(3.1c)</t>
    <rPh sb="0" eb="2">
      <t>シュウゴウ</t>
    </rPh>
    <rPh sb="2" eb="4">
      <t>ジュウタク</t>
    </rPh>
    <rPh sb="5" eb="7">
      <t>ヒョウカ</t>
    </rPh>
    <phoneticPr fontId="20"/>
  </si>
  <si>
    <t>実績値を用いた総合評価</t>
    <phoneticPr fontId="20"/>
  </si>
  <si>
    <t>集合住宅以外の評価</t>
    <rPh sb="0" eb="2">
      <t>ｼｭｳｺﾞｳ</t>
    </rPh>
    <rPh sb="2" eb="4">
      <t>ｼﾞｭｳﾀｸ</t>
    </rPh>
    <rPh sb="4" eb="6">
      <t>ｲｶﾞｲ</t>
    </rPh>
    <rPh sb="7" eb="9">
      <t>ﾋｮｳｶ</t>
    </rPh>
    <phoneticPr fontId="30" type="noConversion"/>
  </si>
  <si>
    <t>モニタリング</t>
    <phoneticPr fontId="20"/>
  </si>
  <si>
    <t>集合住宅の評価</t>
    <rPh sb="0" eb="2">
      <t>ｼｭｳｺﾞｳ</t>
    </rPh>
    <rPh sb="2" eb="4">
      <t>ｼﾞｭｳﾀｸ</t>
    </rPh>
    <rPh sb="5" eb="7">
      <t>ﾋｮｳｶ</t>
    </rPh>
    <phoneticPr fontId="30" type="noConversion"/>
  </si>
  <si>
    <t>躯体材料以外におけるリサイクル材の使用</t>
    <rPh sb="0" eb="2">
      <t>クタイ</t>
    </rPh>
    <rPh sb="2" eb="4">
      <t>ザイリョウ</t>
    </rPh>
    <rPh sb="4" eb="6">
      <t>イガイ</t>
    </rPh>
    <rPh sb="15" eb="16">
      <t>ザイ</t>
    </rPh>
    <rPh sb="17" eb="19">
      <t>シヨウ</t>
    </rPh>
    <phoneticPr fontId="21"/>
  </si>
  <si>
    <t>EB</t>
    <phoneticPr fontId="20"/>
  </si>
  <si>
    <t>建物外皮の熱負荷抑制</t>
  </si>
  <si>
    <t>自然エネルギー利用</t>
  </si>
  <si>
    <t>2.1</t>
  </si>
  <si>
    <t>2.2</t>
  </si>
  <si>
    <t>設備システムの高効率化</t>
  </si>
  <si>
    <t>3a.3b</t>
  </si>
  <si>
    <t>非住宅部分</t>
  </si>
  <si>
    <t>3b.c</t>
  </si>
  <si>
    <t>集合住宅の評価</t>
  </si>
  <si>
    <t>効率的運用</t>
  </si>
  <si>
    <t>住宅以外の評価</t>
  </si>
  <si>
    <t>4.1.1</t>
  </si>
  <si>
    <t>モニタリング</t>
  </si>
  <si>
    <t>4.1.2</t>
  </si>
  <si>
    <t>運用管理体制</t>
  </si>
  <si>
    <t>住宅の評価</t>
  </si>
  <si>
    <t>4.2.1</t>
  </si>
  <si>
    <t>住まい方の提示</t>
  </si>
  <si>
    <t>4.2.2</t>
  </si>
  <si>
    <t>2a</t>
  </si>
  <si>
    <t>2a</t>
    <phoneticPr fontId="20"/>
  </si>
  <si>
    <t>2b</t>
  </si>
  <si>
    <t>2b</t>
    <phoneticPr fontId="20"/>
  </si>
  <si>
    <t>2a</t>
    <phoneticPr fontId="20"/>
  </si>
  <si>
    <t>2b</t>
    <phoneticPr fontId="20"/>
  </si>
  <si>
    <t>LR1 2</t>
    <phoneticPr fontId="20"/>
  </si>
  <si>
    <t>小中学校・集合住宅</t>
  </si>
  <si>
    <t>上記以外</t>
  </si>
  <si>
    <t>８地域</t>
  </si>
  <si>
    <r>
      <t>kg-CO</t>
    </r>
    <r>
      <rPr>
        <vertAlign val="subscript"/>
        <sz val="10"/>
        <rFont val="ＭＳ Ｐゴシック"/>
        <family val="3"/>
        <charset val="128"/>
      </rPr>
      <t>2</t>
    </r>
    <r>
      <rPr>
        <sz val="10"/>
        <rFont val="ＭＳ Ｐゴシック"/>
        <family val="3"/>
        <charset val="128"/>
      </rPr>
      <t>/㎡</t>
    </r>
    <phoneticPr fontId="20"/>
  </si>
  <si>
    <t>○○</t>
  </si>
  <si>
    <t>新築</t>
    <rPh sb="0" eb="2">
      <t>シンチク</t>
    </rPh>
    <phoneticPr fontId="20"/>
  </si>
  <si>
    <t>既存</t>
    <rPh sb="0" eb="2">
      <t>キソン</t>
    </rPh>
    <phoneticPr fontId="20"/>
  </si>
  <si>
    <t>■算定プログラムを使わない場合の評価　 (以下の３カ所を必ず選択して下さい）</t>
    <rPh sb="1" eb="3">
      <t>ｻﾝﾃｲ</t>
    </rPh>
    <rPh sb="9" eb="10">
      <t>ﾂｶ</t>
    </rPh>
    <rPh sb="13" eb="15">
      <t>ﾊﾞｱｲ</t>
    </rPh>
    <rPh sb="16" eb="18">
      <t>ﾋｮｳｶ</t>
    </rPh>
    <rPh sb="21" eb="23">
      <t>ｲｶ</t>
    </rPh>
    <rPh sb="26" eb="27">
      <t>ｼｮ</t>
    </rPh>
    <rPh sb="28" eb="29">
      <t>ｶﾅﾗ</t>
    </rPh>
    <rPh sb="30" eb="32">
      <t>ｾﾝﾀｸ</t>
    </rPh>
    <rPh sb="34" eb="35">
      <t>ｸﾀﾞ</t>
    </rPh>
    <phoneticPr fontId="30" type="noConversion"/>
  </si>
  <si>
    <t>メンテナンスに配慮した設計[総合的な取組]</t>
    <rPh sb="14" eb="17">
      <t>ソウゴウテキ</t>
    </rPh>
    <phoneticPr fontId="20"/>
  </si>
  <si>
    <t>LR1の取組による省エネルギー量を推定</t>
    <rPh sb="9" eb="10">
      <t>ショウ</t>
    </rPh>
    <rPh sb="15" eb="16">
      <t>リョウ</t>
    </rPh>
    <rPh sb="17" eb="19">
      <t>スイテイ</t>
    </rPh>
    <phoneticPr fontId="20"/>
  </si>
  <si>
    <t>評価建物のLR1の取組による省エネルギー量から推計</t>
    <rPh sb="0" eb="2">
      <t>ヒョウカ</t>
    </rPh>
    <rPh sb="2" eb="4">
      <t>タテモノ</t>
    </rPh>
    <rPh sb="14" eb="15">
      <t>ショウ</t>
    </rPh>
    <rPh sb="20" eb="21">
      <t>リョウ</t>
    </rPh>
    <rPh sb="21" eb="22">
      <t>スイリョウ</t>
    </rPh>
    <rPh sb="23" eb="25">
      <t>スイケイ</t>
    </rPh>
    <phoneticPr fontId="20"/>
  </si>
  <si>
    <t>維持管理に配慮した設計[総合的な取組]</t>
  </si>
  <si>
    <t>部材の再利用可能性向上への取組</t>
    <rPh sb="9" eb="11">
      <t>コウジョウ</t>
    </rPh>
    <phoneticPr fontId="20"/>
  </si>
  <si>
    <t>建築物の取組（②）</t>
    <rPh sb="0" eb="3">
      <t>ケンチクブツ</t>
    </rPh>
    <phoneticPr fontId="20"/>
  </si>
  <si>
    <t>①参照値／
②建築物の取組</t>
  </si>
  <si>
    <t>3-1.　建築物の取組（②）</t>
    <rPh sb="5" eb="8">
      <t>ケンチクブツ</t>
    </rPh>
    <phoneticPr fontId="20"/>
  </si>
  <si>
    <t>総合的な取組</t>
    <rPh sb="0" eb="3">
      <t>ソウゴウテキ</t>
    </rPh>
    <phoneticPr fontId="20"/>
  </si>
  <si>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0"/>
  </si>
  <si>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0"/>
  </si>
  <si>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0"/>
  </si>
  <si>
    <t xml:space="preserve"> 事務所，庁舎，郵便局 など</t>
    <rPh sb="1" eb="3">
      <t>ジム</t>
    </rPh>
    <rPh sb="3" eb="4">
      <t>ショ</t>
    </rPh>
    <rPh sb="5" eb="7">
      <t>チョウシャ</t>
    </rPh>
    <rPh sb="8" eb="11">
      <t>ユウビンキョク</t>
    </rPh>
    <phoneticPr fontId="20"/>
  </si>
  <si>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0"/>
  </si>
  <si>
    <t xml:space="preserve"> 百貨店，マーケット など</t>
    <rPh sb="1" eb="4">
      <t>ヒャッカテン</t>
    </rPh>
    <phoneticPr fontId="20"/>
  </si>
  <si>
    <t xml:space="preserve"> 飲食店，食堂，喫茶店 など</t>
    <rPh sb="1" eb="3">
      <t>インショク</t>
    </rPh>
    <rPh sb="3" eb="4">
      <t>テン</t>
    </rPh>
    <rPh sb="5" eb="7">
      <t>ショクドウ</t>
    </rPh>
    <rPh sb="8" eb="11">
      <t>キッサテン</t>
    </rPh>
    <phoneticPr fontId="20"/>
  </si>
  <si>
    <t xml:space="preserve"> 公会堂，集会場，ボーリング場，体育館，劇場，映画館，展示施設 など</t>
    <rPh sb="1" eb="4">
      <t>コウカイドウ</t>
    </rPh>
    <rPh sb="5" eb="8">
      <t>シュウカイジョウ</t>
    </rPh>
    <rPh sb="14" eb="15">
      <t>ジョウ</t>
    </rPh>
    <rPh sb="16" eb="19">
      <t>タイイクカン</t>
    </rPh>
    <rPh sb="20" eb="22">
      <t>ゲキジョウ</t>
    </rPh>
    <rPh sb="23" eb="26">
      <t>エイガカン</t>
    </rPh>
    <phoneticPr fontId="20"/>
  </si>
  <si>
    <t xml:space="preserve"> 工場，車庫，倉庫，観覧場，卸売市場，電算室など</t>
    <rPh sb="1" eb="3">
      <t>コウジョウ</t>
    </rPh>
    <rPh sb="4" eb="6">
      <t>シャコ</t>
    </rPh>
    <rPh sb="7" eb="9">
      <t>ソウコ</t>
    </rPh>
    <rPh sb="10" eb="12">
      <t>カンラン</t>
    </rPh>
    <rPh sb="12" eb="13">
      <t>バ</t>
    </rPh>
    <rPh sb="14" eb="16">
      <t>オロシウリ</t>
    </rPh>
    <rPh sb="16" eb="18">
      <t>シジョウ</t>
    </rPh>
    <rPh sb="19" eb="21">
      <t>デンサン</t>
    </rPh>
    <rPh sb="21" eb="22">
      <t>シツ</t>
    </rPh>
    <phoneticPr fontId="20"/>
  </si>
  <si>
    <t xml:space="preserve"> 病院，老人ホーム，身体障害者福祉ホームなど</t>
    <rPh sb="1" eb="3">
      <t>ビョウイン</t>
    </rPh>
    <rPh sb="4" eb="6">
      <t>ロウジン</t>
    </rPh>
    <rPh sb="10" eb="12">
      <t>シンタイ</t>
    </rPh>
    <rPh sb="12" eb="15">
      <t>ショウガイシャ</t>
    </rPh>
    <rPh sb="15" eb="17">
      <t>フクシ</t>
    </rPh>
    <phoneticPr fontId="20"/>
  </si>
  <si>
    <t xml:space="preserve"> ホテル，旅館など</t>
    <rPh sb="5" eb="7">
      <t>リョカン</t>
    </rPh>
    <phoneticPr fontId="20"/>
  </si>
  <si>
    <t>　（１）評価条件として，与えられた排出係数を用いる場合</t>
  </si>
  <si>
    <t>地域性への配慮，快適性の向上</t>
  </si>
  <si>
    <t>風害，砂塵，日照阻害の抑制</t>
    <rPh sb="0" eb="2">
      <t>フウガイ</t>
    </rPh>
    <rPh sb="3" eb="5">
      <t>サジン</t>
    </rPh>
    <rPh sb="6" eb="8">
      <t>ニッショウ</t>
    </rPh>
    <rPh sb="8" eb="10">
      <t>ソガイ</t>
    </rPh>
    <rPh sb="11" eb="13">
      <t>ヨクセイ</t>
    </rPh>
    <phoneticPr fontId="20"/>
  </si>
  <si>
    <t>うち，その他エネルギー消費量（家電・調理分）</t>
    <rPh sb="5" eb="6">
      <t>ホカ</t>
    </rPh>
    <rPh sb="11" eb="14">
      <t>ショウヒリョウ</t>
    </rPh>
    <rPh sb="15" eb="17">
      <t>カデン</t>
    </rPh>
    <rPh sb="18" eb="20">
      <t>チョウリ</t>
    </rPh>
    <rPh sb="20" eb="21">
      <t>ブン</t>
    </rPh>
    <phoneticPr fontId="20"/>
  </si>
  <si>
    <t>※設計一次エネルギー消費量(2)；省エネルギー計算でBEIを求める際の設計一次エネルギー消費量(1)に，</t>
    <rPh sb="1" eb="3">
      <t>セッケイ</t>
    </rPh>
    <rPh sb="3" eb="5">
      <t>イチジ</t>
    </rPh>
    <rPh sb="10" eb="13">
      <t>ショウヒリョウ</t>
    </rPh>
    <rPh sb="17" eb="18">
      <t>ショウ</t>
    </rPh>
    <rPh sb="23" eb="25">
      <t>ケイサン</t>
    </rPh>
    <rPh sb="30" eb="31">
      <t>モト</t>
    </rPh>
    <rPh sb="33" eb="34">
      <t>サイ</t>
    </rPh>
    <rPh sb="35" eb="37">
      <t>セッケイ</t>
    </rPh>
    <rPh sb="37" eb="39">
      <t>イチジ</t>
    </rPh>
    <rPh sb="44" eb="47">
      <t>ショウヒリョウ</t>
    </rPh>
    <phoneticPr fontId="20"/>
  </si>
  <si>
    <t>ろ（30㎡以上，60㎡未満）</t>
    <rPh sb="5" eb="7">
      <t>イジョウ</t>
    </rPh>
    <rPh sb="11" eb="13">
      <t>ミマン</t>
    </rPh>
    <phoneticPr fontId="20"/>
  </si>
  <si>
    <t>は（60㎡以上，90㎡未満）</t>
    <rPh sb="5" eb="7">
      <t>イジョウ</t>
    </rPh>
    <rPh sb="11" eb="13">
      <t>ミマン</t>
    </rPh>
    <phoneticPr fontId="20"/>
  </si>
  <si>
    <t>に（90㎡以上，120㎡未満）</t>
    <rPh sb="5" eb="7">
      <t>イジョウ</t>
    </rPh>
    <rPh sb="12" eb="14">
      <t>ミマン</t>
    </rPh>
    <phoneticPr fontId="20"/>
  </si>
  <si>
    <t>「住宅に係るエネルギーの合理化に関する設計，施工及び維持保全の指針」に定められる「一次エネルギー消費量に関する基準」を満たし，且つ日本住宅性能表示基準「5-1断熱等性能等級」における等級４を満たす場合はレベル４と評価することができる。上記を満たさない場合はレベル１を選択する。</t>
    <rPh sb="133" eb="135">
      <t>センタク</t>
    </rPh>
    <phoneticPr fontId="20"/>
  </si>
  <si>
    <t>■エネルギー消費実績に基づくレベルの加点・減点（工場，集合住宅を除く）</t>
    <rPh sb="24" eb="26">
      <t>コウジョウ</t>
    </rPh>
    <rPh sb="27" eb="29">
      <t>シュウゴウ</t>
    </rPh>
    <rPh sb="29" eb="31">
      <t>ジュウタク</t>
    </rPh>
    <rPh sb="32" eb="33">
      <t>ノゾ</t>
    </rPh>
    <phoneticPr fontId="20"/>
  </si>
  <si>
    <t>色欄について，プルダウンメニューから選択，または数値を記入</t>
    <rPh sb="0" eb="1">
      <t>イロ</t>
    </rPh>
    <rPh sb="1" eb="2">
      <t>ラン</t>
    </rPh>
    <rPh sb="18" eb="20">
      <t>センタク</t>
    </rPh>
    <rPh sb="24" eb="26">
      <t>スウチ</t>
    </rPh>
    <rPh sb="27" eb="29">
      <t>キニュウ</t>
    </rPh>
    <phoneticPr fontId="20"/>
  </si>
  <si>
    <t>1)　実績評価の対象面積（工場，集合住宅を除く）</t>
    <rPh sb="3" eb="5">
      <t>ジッセキ</t>
    </rPh>
    <rPh sb="5" eb="7">
      <t>ヒョウカ</t>
    </rPh>
    <rPh sb="8" eb="10">
      <t>タイショウ</t>
    </rPh>
    <rPh sb="10" eb="12">
      <t>メンセキ</t>
    </rPh>
    <phoneticPr fontId="20"/>
  </si>
  <si>
    <t>※加点条件；[実績値]&lt;境界値a，　減点条件；[実績値]&gt;境界値b</t>
    <rPh sb="1" eb="3">
      <t>カテン</t>
    </rPh>
    <rPh sb="3" eb="5">
      <t>ジョウケン</t>
    </rPh>
    <rPh sb="7" eb="9">
      <t>ジッセキ</t>
    </rPh>
    <rPh sb="9" eb="10">
      <t>チ</t>
    </rPh>
    <rPh sb="12" eb="14">
      <t>キョウカイ</t>
    </rPh>
    <rPh sb="14" eb="15">
      <t>チ</t>
    </rPh>
    <rPh sb="18" eb="20">
      <t>ゲンテン</t>
    </rPh>
    <rPh sb="20" eb="22">
      <t>ジョウケン</t>
    </rPh>
    <phoneticPr fontId="20"/>
  </si>
  <si>
    <t>風害，砂塵，日照阻害の抑制</t>
    <rPh sb="0" eb="2">
      <t>ﾌｳｶﾞｲ</t>
    </rPh>
    <rPh sb="3" eb="5">
      <t>ｻｼﾞﾝ</t>
    </rPh>
    <rPh sb="6" eb="8">
      <t>ﾆｯｼｮｳ</t>
    </rPh>
    <rPh sb="8" eb="10">
      <t>ｿｶﾞｲ</t>
    </rPh>
    <rPh sb="11" eb="13">
      <t>ﾖｸｾｲ</t>
    </rPh>
    <phoneticPr fontId="30" type="noConversion"/>
  </si>
  <si>
    <t>このグラフは，LR3中の「地球温暖化への配慮」の内容を，一般的な建物（参照値）と比べたライフサイクルCO2 排出量の目安で示したものです</t>
    <rPh sb="32" eb="34">
      <t>タテモノ</t>
    </rPh>
    <phoneticPr fontId="20"/>
  </si>
  <si>
    <t>このグラフは，一般的な建物（参照値）と比べたライフサイクルCO2 排出量を評価者自身の計算（個別計算）により算出した結果を示しています。LCCO2の算定条件等については，「LCCO2算定条件シート（個別計算）」を参照されたい</t>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0"/>
  </si>
  <si>
    <t>＜実施設計段階，竣工段階で詳細な評価を行う場合に記入＞</t>
  </si>
  <si>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0"/>
  </si>
  <si>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0"/>
  </si>
  <si>
    <t>(3)の評価はオプションとし，実施設計段階および竣工段階で可能な範囲で記入する。</t>
  </si>
  <si>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0"/>
  </si>
  <si>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0"/>
  </si>
  <si>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0"/>
  </si>
  <si>
    <t>S造，</t>
    <rPh sb="1" eb="2">
      <t>ゾウ</t>
    </rPh>
    <phoneticPr fontId="20"/>
  </si>
  <si>
    <t>「DECC非住宅建築物の環境関連データーベース（2013年4月公開データ，一般財団法人日本サステナブル建築協会）」を集計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0"/>
  </si>
  <si>
    <t>「家庭部門エネルギー種別最終エネルギー消費（平成23年度におけるエネルギー需給実績，資源エネルギー庁）」</t>
  </si>
  <si>
    <t>工場については，統計値がないため，省エネ法告示第7号による事務所の照明エネルギー消費量としている。</t>
    <rPh sb="0" eb="2">
      <t>コウジョウ</t>
    </rPh>
    <rPh sb="8" eb="10">
      <t>トウケイ</t>
    </rPh>
    <rPh sb="10" eb="11">
      <t>チ</t>
    </rPh>
    <rPh sb="17" eb="18">
      <t>ショウ</t>
    </rPh>
    <rPh sb="20" eb="21">
      <t>ホウ</t>
    </rPh>
    <rPh sb="21" eb="23">
      <t>コクジ</t>
    </rPh>
    <rPh sb="23" eb="24">
      <t>ダイ</t>
    </rPh>
    <rPh sb="25" eb="26">
      <t>ゴウ</t>
    </rPh>
    <rPh sb="29" eb="31">
      <t>ジム</t>
    </rPh>
    <rPh sb="31" eb="32">
      <t>ショ</t>
    </rPh>
    <rPh sb="33" eb="35">
      <t>ショウメイ</t>
    </rPh>
    <rPh sb="40" eb="43">
      <t>ショウヒリョウ</t>
    </rPh>
    <phoneticPr fontId="20"/>
  </si>
  <si>
    <t>風害・砂塵，日照阻害の抑制</t>
  </si>
  <si>
    <t>風害，日照阻害の抑制</t>
  </si>
  <si>
    <t>＜参考＞　個別計算にあたって，利用できる計算値</t>
    <rPh sb="1" eb="3">
      <t>サンコウ</t>
    </rPh>
    <rPh sb="5" eb="7">
      <t>コベツ</t>
    </rPh>
    <rPh sb="7" eb="9">
      <t>ケイサン</t>
    </rPh>
    <rPh sb="15" eb="17">
      <t>リヨウ</t>
    </rPh>
    <rPh sb="20" eb="23">
      <t>ケイサンチ</t>
    </rPh>
    <phoneticPr fontId="20"/>
  </si>
  <si>
    <t>評　価　ソ　フ　ト（標準システム）</t>
    <rPh sb="0" eb="1">
      <t>ヒョウ</t>
    </rPh>
    <rPh sb="2" eb="3">
      <t>アタイ</t>
    </rPh>
    <rPh sb="10" eb="12">
      <t>ヒョウジュン</t>
    </rPh>
    <phoneticPr fontId="20"/>
  </si>
  <si>
    <t>CASBEE京都-改修（2015年版）</t>
    <phoneticPr fontId="20"/>
  </si>
  <si>
    <r>
      <t>CASBEE</t>
    </r>
    <r>
      <rPr>
        <b/>
        <sz val="10"/>
        <rFont val="ＭＳ Ｐゴシック"/>
        <family val="3"/>
        <charset val="128"/>
      </rPr>
      <t>京都</t>
    </r>
    <r>
      <rPr>
        <b/>
        <sz val="10"/>
        <rFont val="Arial"/>
        <family val="2"/>
      </rPr>
      <t>-</t>
    </r>
    <r>
      <rPr>
        <b/>
        <sz val="10"/>
        <rFont val="ＭＳ Ｐゴシック"/>
        <family val="3"/>
        <charset val="128"/>
      </rPr>
      <t>改修</t>
    </r>
    <r>
      <rPr>
        <b/>
        <sz val="10"/>
        <rFont val="Arial"/>
        <family val="2"/>
      </rPr>
      <t>2015</t>
    </r>
    <r>
      <rPr>
        <b/>
        <sz val="10"/>
        <rFont val="ＭＳ Ｐゴシック"/>
        <family val="3"/>
        <charset val="128"/>
      </rPr>
      <t>（</t>
    </r>
    <r>
      <rPr>
        <b/>
        <sz val="10"/>
        <rFont val="Arial"/>
        <family val="2"/>
      </rPr>
      <t>v.1.0</t>
    </r>
    <r>
      <rPr>
        <b/>
        <sz val="10"/>
        <rFont val="ＭＳ Ｐゴシック"/>
        <family val="3"/>
        <charset val="128"/>
      </rPr>
      <t>）</t>
    </r>
    <phoneticPr fontId="20"/>
  </si>
  <si>
    <t xml:space="preserve">     小・中学校</t>
    <phoneticPr fontId="20"/>
  </si>
  <si>
    <t>（改修前）</t>
    <rPh sb="1" eb="3">
      <t>カイシュウ</t>
    </rPh>
    <rPh sb="3" eb="4">
      <t>マエ</t>
    </rPh>
    <phoneticPr fontId="20"/>
  </si>
  <si>
    <t>A</t>
    <phoneticPr fontId="20"/>
  </si>
  <si>
    <t>★★★★</t>
    <phoneticPr fontId="20"/>
  </si>
  <si>
    <t>B-</t>
    <phoneticPr fontId="20"/>
  </si>
  <si>
    <t>★★</t>
    <phoneticPr fontId="20"/>
  </si>
  <si>
    <t>B+</t>
    <phoneticPr fontId="20"/>
  </si>
  <si>
    <t>★★★</t>
    <phoneticPr fontId="20"/>
  </si>
  <si>
    <t>1　建物概要</t>
    <rPh sb="2" eb="3">
      <t>ｹﾝ</t>
    </rPh>
    <rPh sb="3" eb="4">
      <t>ﾓﾉ</t>
    </rPh>
    <rPh sb="4" eb="6">
      <t>ｶﾞｲﾖｳ</t>
    </rPh>
    <phoneticPr fontId="30" type="noConversion"/>
  </si>
  <si>
    <t>★</t>
    <phoneticPr fontId="20"/>
  </si>
  <si>
    <t>建物名称</t>
    <rPh sb="0" eb="2">
      <t>タテモノ</t>
    </rPh>
    <rPh sb="2" eb="4">
      <t>メイショウ</t>
    </rPh>
    <phoneticPr fontId="20"/>
  </si>
  <si>
    <t>S</t>
    <phoneticPr fontId="20"/>
  </si>
  <si>
    <t>★★★★★</t>
    <phoneticPr fontId="20"/>
  </si>
  <si>
    <t>延床面積</t>
    <rPh sb="0" eb="1">
      <t>ノベ</t>
    </rPh>
    <rPh sb="1" eb="4">
      <t>ユカメンセキ</t>
    </rPh>
    <phoneticPr fontId="189"/>
  </si>
  <si>
    <t>用途</t>
    <rPh sb="0" eb="2">
      <t>ヨウト</t>
    </rPh>
    <phoneticPr fontId="189"/>
  </si>
  <si>
    <t>使用CASBEE評価マニュアル</t>
  </si>
  <si>
    <t xml:space="preserve">使用CASBEE評価ソフト </t>
    <phoneticPr fontId="20"/>
  </si>
  <si>
    <t>2　重点項目への取組度</t>
    <rPh sb="2" eb="4">
      <t>ｼﾞｭｳﾃﾝ</t>
    </rPh>
    <rPh sb="4" eb="6">
      <t>ｺｳﾓｸ</t>
    </rPh>
    <rPh sb="10" eb="11">
      <t>ﾄﾞ</t>
    </rPh>
    <phoneticPr fontId="30" type="noConversion"/>
  </si>
  <si>
    <t>キーワード</t>
    <phoneticPr fontId="20"/>
  </si>
  <si>
    <t>取組度</t>
    <rPh sb="2" eb="3">
      <t>ド</t>
    </rPh>
    <phoneticPr fontId="20"/>
  </si>
  <si>
    <t>1　大切に使う</t>
    <phoneticPr fontId="20"/>
  </si>
  <si>
    <t>2　ともに住まう</t>
    <phoneticPr fontId="20"/>
  </si>
  <si>
    <t>3　自然からつくる</t>
    <phoneticPr fontId="20"/>
  </si>
  <si>
    <t>3　設計上の配慮事項とCASBEEのスコア</t>
    <rPh sb="2" eb="4">
      <t>セッケイ</t>
    </rPh>
    <rPh sb="4" eb="5">
      <t>ジョウ</t>
    </rPh>
    <rPh sb="6" eb="8">
      <t>ハイリョ</t>
    </rPh>
    <rPh sb="8" eb="10">
      <t>ジコウ</t>
    </rPh>
    <phoneticPr fontId="20"/>
  </si>
  <si>
    <t>大切に使う</t>
    <rPh sb="0" eb="2">
      <t>タイセツ</t>
    </rPh>
    <rPh sb="3" eb="4">
      <t>ツカ</t>
    </rPh>
    <phoneticPr fontId="20"/>
  </si>
  <si>
    <t>合計点</t>
    <rPh sb="0" eb="2">
      <t>ゴウケイ</t>
    </rPh>
    <rPh sb="2" eb="3">
      <t>テン</t>
    </rPh>
    <phoneticPr fontId="20"/>
  </si>
  <si>
    <t>■長寿命化</t>
    <rPh sb="1" eb="2">
      <t>チョウ</t>
    </rPh>
    <rPh sb="2" eb="4">
      <t>ジュミョウ</t>
    </rPh>
    <rPh sb="4" eb="5">
      <t>カ</t>
    </rPh>
    <phoneticPr fontId="189"/>
  </si>
  <si>
    <t>合計点</t>
    <rPh sb="0" eb="2">
      <t>ゴウケイ</t>
    </rPh>
    <rPh sb="2" eb="3">
      <t>テン</t>
    </rPh>
    <phoneticPr fontId="189"/>
  </si>
  <si>
    <t>◇メンテナンスの容易性</t>
    <rPh sb="8" eb="11">
      <t>ヨウイセイ</t>
    </rPh>
    <phoneticPr fontId="20"/>
  </si>
  <si>
    <t>◇物理的長寿命</t>
    <rPh sb="1" eb="4">
      <t>ブツリテキ</t>
    </rPh>
    <rPh sb="4" eb="5">
      <t>チョウ</t>
    </rPh>
    <rPh sb="5" eb="7">
      <t>ジュミョウ</t>
    </rPh>
    <phoneticPr fontId="20"/>
  </si>
  <si>
    <t>Q2/3.3平均</t>
    <rPh sb="6" eb="8">
      <t>ヘイキン</t>
    </rPh>
    <phoneticPr fontId="20"/>
  </si>
  <si>
    <t>　Q2/　3.3.1　空調配管の更新性</t>
    <rPh sb="11" eb="13">
      <t>クウチョウ</t>
    </rPh>
    <rPh sb="13" eb="15">
      <t>ハイカン</t>
    </rPh>
    <rPh sb="16" eb="19">
      <t>コウシンセイ</t>
    </rPh>
    <phoneticPr fontId="20"/>
  </si>
  <si>
    <t>スコア</t>
    <phoneticPr fontId="20"/>
  </si>
  <si>
    <t>　Q2/　2.2.1　躯体材料の耐用年数</t>
    <rPh sb="11" eb="13">
      <t>クタイ</t>
    </rPh>
    <rPh sb="13" eb="15">
      <t>ザイリョウ</t>
    </rPh>
    <rPh sb="16" eb="18">
      <t>タイヨウ</t>
    </rPh>
    <rPh sb="18" eb="20">
      <t>ネンスウ</t>
    </rPh>
    <phoneticPr fontId="20"/>
  </si>
  <si>
    <t>　Q2/　3.3.2　給排水管の更新性</t>
    <rPh sb="11" eb="12">
      <t>キュウ</t>
    </rPh>
    <rPh sb="12" eb="15">
      <t>ハイスイカン</t>
    </rPh>
    <rPh sb="16" eb="19">
      <t>コウシンセイ</t>
    </rPh>
    <phoneticPr fontId="20"/>
  </si>
  <si>
    <t>　＜自由記述＞</t>
    <phoneticPr fontId="20"/>
  </si>
  <si>
    <t>　Q2/　3.3.3　電気配線の更新性</t>
    <rPh sb="11" eb="13">
      <t>デンキ</t>
    </rPh>
    <rPh sb="13" eb="15">
      <t>ハイセン</t>
    </rPh>
    <rPh sb="16" eb="19">
      <t>コウシンセイ</t>
    </rPh>
    <phoneticPr fontId="20"/>
  </si>
  <si>
    <t>　Q2/　3.3.4　通信配線の更新性</t>
    <rPh sb="11" eb="13">
      <t>ツウシン</t>
    </rPh>
    <rPh sb="13" eb="15">
      <t>ハイセン</t>
    </rPh>
    <rPh sb="16" eb="19">
      <t>コウシンセイ</t>
    </rPh>
    <phoneticPr fontId="20"/>
  </si>
  <si>
    <t>◇社会的長寿命</t>
    <rPh sb="1" eb="3">
      <t>シャカイ</t>
    </rPh>
    <rPh sb="3" eb="4">
      <t>テキ</t>
    </rPh>
    <rPh sb="4" eb="5">
      <t>チョウ</t>
    </rPh>
    <rPh sb="5" eb="7">
      <t>ジュミョウ</t>
    </rPh>
    <phoneticPr fontId="20"/>
  </si>
  <si>
    <t>　Q2/　3.3.5　設備機器の更新性</t>
    <rPh sb="11" eb="13">
      <t>セツビ</t>
    </rPh>
    <rPh sb="13" eb="15">
      <t>キキ</t>
    </rPh>
    <rPh sb="16" eb="19">
      <t>コウシンセイ</t>
    </rPh>
    <phoneticPr fontId="20"/>
  </si>
  <si>
    <t>　Q2/　1.1.3　バリアフリー計画</t>
    <rPh sb="17" eb="19">
      <t>ケイカク</t>
    </rPh>
    <phoneticPr fontId="20"/>
  </si>
  <si>
    <t>(注　上記5項目のスコアの平均が合計点に加算される）</t>
    <rPh sb="1" eb="2">
      <t>チュウ</t>
    </rPh>
    <rPh sb="3" eb="5">
      <t>ジョウキ</t>
    </rPh>
    <rPh sb="6" eb="8">
      <t>コウモク</t>
    </rPh>
    <rPh sb="13" eb="15">
      <t>ヘイキン</t>
    </rPh>
    <rPh sb="16" eb="18">
      <t>ゴウケイ</t>
    </rPh>
    <rPh sb="18" eb="19">
      <t>テン</t>
    </rPh>
    <rPh sb="20" eb="22">
      <t>カサン</t>
    </rPh>
    <phoneticPr fontId="20"/>
  </si>
  <si>
    <t>　Q2/　3.1.2　空間の形状・自由さ</t>
    <rPh sb="11" eb="13">
      <t>クウカン</t>
    </rPh>
    <rPh sb="14" eb="16">
      <t>ケイジョウ</t>
    </rPh>
    <rPh sb="17" eb="19">
      <t>ジユウ</t>
    </rPh>
    <phoneticPr fontId="20"/>
  </si>
  <si>
    <t>　＜自由記述＞</t>
  </si>
  <si>
    <t>■省資源</t>
    <rPh sb="1" eb="4">
      <t>ショウシゲン</t>
    </rPh>
    <phoneticPr fontId="189"/>
  </si>
  <si>
    <t>　LR2/　2.1　材料使用量の削減</t>
    <rPh sb="10" eb="12">
      <t>ザイリョウ</t>
    </rPh>
    <rPh sb="12" eb="15">
      <t>シヨウリョウ</t>
    </rPh>
    <rPh sb="16" eb="18">
      <t>サクゲン</t>
    </rPh>
    <phoneticPr fontId="20"/>
  </si>
  <si>
    <t>スコア</t>
  </si>
  <si>
    <t>　LR2/　2.3　躯体材料におけるリサイクル材の使用</t>
    <rPh sb="10" eb="12">
      <t>クタイ</t>
    </rPh>
    <rPh sb="12" eb="14">
      <t>ザイリョウ</t>
    </rPh>
    <rPh sb="23" eb="24">
      <t>ザイ</t>
    </rPh>
    <rPh sb="25" eb="27">
      <t>シヨウ</t>
    </rPh>
    <phoneticPr fontId="20"/>
  </si>
  <si>
    <t>　LR2/　2.6　部材の再利用可能性向上への取組</t>
    <rPh sb="10" eb="12">
      <t>ブザイ</t>
    </rPh>
    <rPh sb="13" eb="16">
      <t>サイリヨウ</t>
    </rPh>
    <rPh sb="16" eb="19">
      <t>カノウセイ</t>
    </rPh>
    <rPh sb="19" eb="21">
      <t>コウジョウ</t>
    </rPh>
    <phoneticPr fontId="20"/>
  </si>
  <si>
    <t>スコア</t>
    <phoneticPr fontId="20"/>
  </si>
  <si>
    <t>　</t>
    <phoneticPr fontId="20"/>
  </si>
  <si>
    <t>＜自由記述＞</t>
  </si>
  <si>
    <t>◆独自加点項目</t>
    <rPh sb="1" eb="3">
      <t>ドクジ</t>
    </rPh>
    <rPh sb="3" eb="5">
      <t>カテン</t>
    </rPh>
    <rPh sb="5" eb="7">
      <t>コウモク</t>
    </rPh>
    <phoneticPr fontId="20"/>
  </si>
  <si>
    <t>　LR2/　2.1　材料使用量の削減</t>
  </si>
  <si>
    <t>「持続可能な森林から産出された木材」のうち，地域産木材を使用している。</t>
  </si>
  <si>
    <t>　LR2/　2.3　躯体材料におけるリサイクル材の使用</t>
  </si>
  <si>
    <t>　</t>
  </si>
  <si>
    <t>　LR2/　2.4　非構造材料におけるリサイクル材の使用</t>
  </si>
  <si>
    <t>「持続可能な森林から産出された木材」のうち，地域産木材を使用している。</t>
    <rPh sb="28" eb="30">
      <t>シヨウ</t>
    </rPh>
    <phoneticPr fontId="20"/>
  </si>
  <si>
    <t>ともに住まう</t>
    <rPh sb="3" eb="4">
      <t>ス</t>
    </rPh>
    <phoneticPr fontId="20"/>
  </si>
  <si>
    <t>■自然とともに住まう</t>
    <rPh sb="1" eb="3">
      <t>シゼン</t>
    </rPh>
    <rPh sb="7" eb="8">
      <t>ス</t>
    </rPh>
    <phoneticPr fontId="189"/>
  </si>
  <si>
    <t>合計点</t>
    <phoneticPr fontId="20"/>
  </si>
  <si>
    <t>■地域とともに住まう</t>
    <rPh sb="1" eb="3">
      <t>チイキ</t>
    </rPh>
    <rPh sb="7" eb="8">
      <t>ス</t>
    </rPh>
    <phoneticPr fontId="189"/>
  </si>
  <si>
    <t>◇自然を感じられる計画</t>
    <rPh sb="1" eb="3">
      <t>シゼン</t>
    </rPh>
    <rPh sb="4" eb="5">
      <t>カン</t>
    </rPh>
    <rPh sb="9" eb="11">
      <t>ケイカク</t>
    </rPh>
    <phoneticPr fontId="20"/>
  </si>
  <si>
    <t>◇地域環境やコミュニティーへの配慮</t>
    <rPh sb="1" eb="3">
      <t>チイキ</t>
    </rPh>
    <rPh sb="3" eb="5">
      <t>カンキョウ</t>
    </rPh>
    <rPh sb="15" eb="17">
      <t>ハイリョ</t>
    </rPh>
    <phoneticPr fontId="20"/>
  </si>
  <si>
    <t>　Q2/　1.2.1　広さ感・景観</t>
    <rPh sb="11" eb="12">
      <t>ヒロ</t>
    </rPh>
    <rPh sb="13" eb="14">
      <t>カン</t>
    </rPh>
    <rPh sb="15" eb="17">
      <t>ケイカン</t>
    </rPh>
    <phoneticPr fontId="20"/>
  </si>
  <si>
    <t>　Q3/　3.1　地域性への配慮，快適性の向上</t>
    <rPh sb="9" eb="12">
      <t>チイキセイ</t>
    </rPh>
    <rPh sb="14" eb="16">
      <t>ハイリョ</t>
    </rPh>
    <rPh sb="17" eb="20">
      <t>カイテキセイ</t>
    </rPh>
    <rPh sb="21" eb="23">
      <t>コウジョウ</t>
    </rPh>
    <phoneticPr fontId="20"/>
  </si>
  <si>
    <t>　Q3/　1　生物環境の保全と創出</t>
    <rPh sb="7" eb="9">
      <t>セイブツ</t>
    </rPh>
    <rPh sb="9" eb="11">
      <t>カンキョウ</t>
    </rPh>
    <rPh sb="12" eb="14">
      <t>ホゼン</t>
    </rPh>
    <rPh sb="15" eb="17">
      <t>ソウシュツ</t>
    </rPh>
    <phoneticPr fontId="20"/>
  </si>
  <si>
    <t>　LR3/　2.2　温熱環境悪化の改善</t>
    <rPh sb="10" eb="12">
      <t>オンネツ</t>
    </rPh>
    <rPh sb="12" eb="14">
      <t>カンキョウ</t>
    </rPh>
    <rPh sb="14" eb="16">
      <t>アッカ</t>
    </rPh>
    <rPh sb="17" eb="19">
      <t>カイゼン</t>
    </rPh>
    <phoneticPr fontId="20"/>
  </si>
  <si>
    <t>　Q3/　3.2　敷地内温熱環境の向上</t>
    <rPh sb="9" eb="11">
      <t>シキチ</t>
    </rPh>
    <rPh sb="11" eb="12">
      <t>ナイ</t>
    </rPh>
    <rPh sb="12" eb="14">
      <t>オンネツ</t>
    </rPh>
    <rPh sb="14" eb="16">
      <t>カンキョウ</t>
    </rPh>
    <rPh sb="17" eb="19">
      <t>コウジョウ</t>
    </rPh>
    <phoneticPr fontId="20"/>
  </si>
  <si>
    <t>　LR3/　3.3.2　昼光の建物外壁による反射光（グレア）への対策</t>
    <rPh sb="12" eb="14">
      <t>チュウコウ</t>
    </rPh>
    <rPh sb="15" eb="17">
      <t>タテモノ</t>
    </rPh>
    <rPh sb="17" eb="19">
      <t>ガイヘキ</t>
    </rPh>
    <rPh sb="22" eb="24">
      <t>ハンシャ</t>
    </rPh>
    <rPh sb="24" eb="25">
      <t>コウ</t>
    </rPh>
    <rPh sb="32" eb="34">
      <t>タイサク</t>
    </rPh>
    <phoneticPr fontId="20"/>
  </si>
  <si>
    <t>■歴史とともに住まう</t>
    <rPh sb="1" eb="3">
      <t>レキシ</t>
    </rPh>
    <rPh sb="7" eb="8">
      <t>ス</t>
    </rPh>
    <phoneticPr fontId="189"/>
  </si>
  <si>
    <t>◇歴史性への配慮</t>
    <rPh sb="1" eb="3">
      <t>レキシ</t>
    </rPh>
    <rPh sb="3" eb="4">
      <t>セイ</t>
    </rPh>
    <rPh sb="6" eb="8">
      <t>ハイリョ</t>
    </rPh>
    <phoneticPr fontId="20"/>
  </si>
  <si>
    <t>　Q2/　1.2.3　内装計画</t>
    <rPh sb="11" eb="13">
      <t>ナイソウ</t>
    </rPh>
    <rPh sb="13" eb="15">
      <t>ケイカク</t>
    </rPh>
    <phoneticPr fontId="20"/>
  </si>
  <si>
    <t>◆独自加点項目</t>
    <rPh sb="1" eb="3">
      <t>ドクジ</t>
    </rPh>
    <rPh sb="3" eb="5">
      <t>カテン</t>
    </rPh>
    <phoneticPr fontId="20"/>
  </si>
  <si>
    <t>　Q2/　1.2.1 広さ感・景観</t>
    <rPh sb="11" eb="12">
      <t>ヒロ</t>
    </rPh>
    <rPh sb="13" eb="14">
      <t>カン</t>
    </rPh>
    <rPh sb="15" eb="17">
      <t>ケイカン</t>
    </rPh>
    <phoneticPr fontId="189"/>
  </si>
  <si>
    <t>京都重点項目による加点により，レベル5を超える。</t>
    <rPh sb="0" eb="2">
      <t>キョウト</t>
    </rPh>
    <rPh sb="2" eb="4">
      <t>ジュウテン</t>
    </rPh>
    <rPh sb="4" eb="6">
      <t>コウモク</t>
    </rPh>
    <rPh sb="9" eb="11">
      <t>カテン</t>
    </rPh>
    <rPh sb="20" eb="21">
      <t>コ</t>
    </rPh>
    <phoneticPr fontId="20"/>
  </si>
  <si>
    <t>　LR3/　3.3.2 昼光の建物外壁による反射光（グレア）への対策</t>
    <phoneticPr fontId="189"/>
  </si>
  <si>
    <t>格子状ルーバーや簾状スクリーンによりガラス面等の反射光を抑制している，または外壁に反射率の低い自然素材を採用している等の推奨内容の取組を，１以上実施している。</t>
  </si>
  <si>
    <t>自然からつくる</t>
    <rPh sb="0" eb="2">
      <t>シゼン</t>
    </rPh>
    <phoneticPr fontId="20"/>
  </si>
  <si>
    <t>合計点</t>
  </si>
  <si>
    <t>■自然材料の利用</t>
    <rPh sb="1" eb="3">
      <t>シゼン</t>
    </rPh>
    <rPh sb="3" eb="5">
      <t>ザイリョウ</t>
    </rPh>
    <rPh sb="6" eb="8">
      <t>リヨウ</t>
    </rPh>
    <phoneticPr fontId="189"/>
  </si>
  <si>
    <t>　LR2/　2.5　持続可能な森林から産出された木材</t>
    <rPh sb="10" eb="12">
      <t>ジゾク</t>
    </rPh>
    <rPh sb="12" eb="14">
      <t>カノウ</t>
    </rPh>
    <rPh sb="15" eb="17">
      <t>シンリン</t>
    </rPh>
    <rPh sb="19" eb="21">
      <t>サンシュツ</t>
    </rPh>
    <rPh sb="24" eb="26">
      <t>モクザイ</t>
    </rPh>
    <phoneticPr fontId="20"/>
  </si>
  <si>
    <t>■自然環境の利用</t>
    <phoneticPr fontId="189"/>
  </si>
  <si>
    <t>　Q1/　3.1.1　昼光率</t>
    <rPh sb="11" eb="13">
      <t>チュウコウ</t>
    </rPh>
    <rPh sb="13" eb="14">
      <t>リツ</t>
    </rPh>
    <phoneticPr fontId="20"/>
  </si>
  <si>
    <t>Q1/3.1.3 昼光利用設備</t>
    <phoneticPr fontId="20"/>
  </si>
  <si>
    <t>　Q1/　3.1.3　昼光利用設備</t>
    <rPh sb="11" eb="13">
      <t>チュウコウ</t>
    </rPh>
    <rPh sb="13" eb="15">
      <t>リヨウ</t>
    </rPh>
    <rPh sb="15" eb="17">
      <t>セツビ</t>
    </rPh>
    <phoneticPr fontId="20"/>
  </si>
  <si>
    <t>Q1/3.2.2 昼光制御</t>
    <phoneticPr fontId="20"/>
  </si>
  <si>
    <t>　LR2/　1.2.1　雨水利用システム</t>
    <rPh sb="12" eb="14">
      <t>ウスイ</t>
    </rPh>
    <rPh sb="14" eb="16">
      <t>リヨウ</t>
    </rPh>
    <phoneticPr fontId="20"/>
  </si>
  <si>
    <t>Q3/1 生物環境の保全と創出</t>
    <phoneticPr fontId="20"/>
  </si>
  <si>
    <t>　Q1/　4.2.2　自然換気性能</t>
    <rPh sb="11" eb="13">
      <t>シゼン</t>
    </rPh>
    <rPh sb="13" eb="15">
      <t>カンキ</t>
    </rPh>
    <rPh sb="15" eb="17">
      <t>セイノウ</t>
    </rPh>
    <phoneticPr fontId="20"/>
  </si>
  <si>
    <t>Q3/3.2 敷地内温熱環境の向上</t>
    <phoneticPr fontId="20"/>
  </si>
  <si>
    <t>LR3/2.2 温熱環境悪化の改善　</t>
    <phoneticPr fontId="20"/>
  </si>
  <si>
    <t>LR3/3.3.2 昼光の建物外壁による反射光（グレア）への対策</t>
    <phoneticPr fontId="20"/>
  </si>
  <si>
    <t>　LR2/　2.5 持続可能な森林から産出された木材</t>
    <rPh sb="10" eb="12">
      <t>ジゾク</t>
    </rPh>
    <rPh sb="12" eb="14">
      <t>カノウ</t>
    </rPh>
    <rPh sb="15" eb="17">
      <t>シンリン</t>
    </rPh>
    <rPh sb="19" eb="21">
      <t>サンシュツ</t>
    </rPh>
    <rPh sb="24" eb="26">
      <t>モクザイ</t>
    </rPh>
    <phoneticPr fontId="189"/>
  </si>
  <si>
    <t>　Q1/　3.1.3 昼光利用設備</t>
    <phoneticPr fontId="189"/>
  </si>
  <si>
    <t>デザインされた格子状ルーバーやライトシェルフ，軒，庇等，推奨内容の昼光利用設備を採用している。</t>
    <phoneticPr fontId="20"/>
  </si>
  <si>
    <t>4　低炭素景観の創出に関する評価（Ｑ３／２）</t>
    <rPh sb="2" eb="5">
      <t>テイタンソ</t>
    </rPh>
    <rPh sb="5" eb="7">
      <t>ケイカン</t>
    </rPh>
    <rPh sb="8" eb="10">
      <t>ソウシュツ</t>
    </rPh>
    <rPh sb="11" eb="12">
      <t>カン</t>
    </rPh>
    <rPh sb="14" eb="16">
      <t>ヒョウカ</t>
    </rPh>
    <phoneticPr fontId="189"/>
  </si>
  <si>
    <t>低炭素景観</t>
    <rPh sb="0" eb="3">
      <t>テイタンソ</t>
    </rPh>
    <rPh sb="3" eb="5">
      <t>ケイカン</t>
    </rPh>
    <phoneticPr fontId="20"/>
  </si>
  <si>
    <t>取組数</t>
    <rPh sb="0" eb="1">
      <t>ト</t>
    </rPh>
    <rPh sb="1" eb="2">
      <t>ク</t>
    </rPh>
    <rPh sb="2" eb="3">
      <t>スウ</t>
    </rPh>
    <phoneticPr fontId="20"/>
  </si>
  <si>
    <r>
      <t>５　ライフサイクルCO</t>
    </r>
    <r>
      <rPr>
        <b/>
        <vertAlign val="subscript"/>
        <sz val="12"/>
        <color indexed="9"/>
        <rFont val="ＭＳ Ｐゴシック"/>
        <family val="3"/>
        <charset val="128"/>
      </rPr>
      <t>2</t>
    </r>
    <r>
      <rPr>
        <b/>
        <sz val="12"/>
        <color indexed="9"/>
        <rFont val="ＭＳ Ｐゴシック"/>
        <family val="3"/>
        <charset val="128"/>
      </rPr>
      <t>とCO</t>
    </r>
    <r>
      <rPr>
        <b/>
        <vertAlign val="subscript"/>
        <sz val="12"/>
        <color indexed="9"/>
        <rFont val="ＭＳ Ｐゴシック"/>
        <family val="3"/>
        <charset val="128"/>
      </rPr>
      <t>2</t>
    </r>
    <r>
      <rPr>
        <b/>
        <sz val="12"/>
        <color indexed="9"/>
        <rFont val="ＭＳ Ｐゴシック"/>
        <family val="3"/>
        <charset val="128"/>
      </rPr>
      <t>削減率</t>
    </r>
    <rPh sb="16" eb="18">
      <t>サクゲン</t>
    </rPh>
    <rPh sb="18" eb="19">
      <t>リツ</t>
    </rPh>
    <phoneticPr fontId="189"/>
  </si>
  <si>
    <r>
      <t>ライフサイクルCO</t>
    </r>
    <r>
      <rPr>
        <vertAlign val="subscript"/>
        <sz val="9"/>
        <rFont val="ＭＳ Ｐゴシック"/>
        <family val="3"/>
        <charset val="128"/>
      </rPr>
      <t>2</t>
    </r>
    <phoneticPr fontId="189"/>
  </si>
  <si>
    <r>
      <t>ｋｇ-CO</t>
    </r>
    <r>
      <rPr>
        <vertAlign val="subscript"/>
        <sz val="9"/>
        <rFont val="ＭＳ Ｐゴシック"/>
        <family val="3"/>
        <charset val="128"/>
      </rPr>
      <t>2</t>
    </r>
    <r>
      <rPr>
        <sz val="9"/>
        <rFont val="ＭＳ Ｐゴシック"/>
        <family val="3"/>
        <charset val="128"/>
      </rPr>
      <t>/年㎡</t>
    </r>
    <rPh sb="7" eb="8">
      <t>ネン</t>
    </rPh>
    <phoneticPr fontId="189"/>
  </si>
  <si>
    <t>ライフサイクル</t>
    <phoneticPr fontId="189"/>
  </si>
  <si>
    <r>
      <t>（ライフサイクルCO</t>
    </r>
    <r>
      <rPr>
        <vertAlign val="subscript"/>
        <sz val="9"/>
        <rFont val="ＭＳ Ｐゴシック"/>
        <family val="3"/>
        <charset val="128"/>
      </rPr>
      <t>2</t>
    </r>
    <r>
      <rPr>
        <sz val="9"/>
        <rFont val="ＭＳ Ｐゴシック"/>
        <family val="3"/>
        <charset val="128"/>
      </rPr>
      <t>参照値）</t>
    </r>
    <rPh sb="11" eb="13">
      <t>サンショウ</t>
    </rPh>
    <rPh sb="13" eb="14">
      <t>チ</t>
    </rPh>
    <phoneticPr fontId="20"/>
  </si>
  <si>
    <r>
      <t>CO</t>
    </r>
    <r>
      <rPr>
        <b/>
        <vertAlign val="subscript"/>
        <sz val="11"/>
        <rFont val="ＭＳ Ｐゴシック"/>
        <family val="3"/>
        <charset val="128"/>
      </rPr>
      <t>2</t>
    </r>
    <r>
      <rPr>
        <b/>
        <sz val="11"/>
        <rFont val="ＭＳ Ｐゴシック"/>
        <family val="3"/>
        <charset val="128"/>
      </rPr>
      <t>削減率</t>
    </r>
    <phoneticPr fontId="189"/>
  </si>
  <si>
    <r>
      <t>CO</t>
    </r>
    <r>
      <rPr>
        <vertAlign val="subscript"/>
        <sz val="9"/>
        <rFont val="ＭＳ Ｐゴシック"/>
        <family val="3"/>
        <charset val="128"/>
      </rPr>
      <t>2</t>
    </r>
    <r>
      <rPr>
        <sz val="9"/>
        <rFont val="ＭＳ Ｐゴシック"/>
        <family val="3"/>
        <charset val="128"/>
      </rPr>
      <t>削減量</t>
    </r>
    <rPh sb="5" eb="6">
      <t>リョウ</t>
    </rPh>
    <phoneticPr fontId="189"/>
  </si>
  <si>
    <r>
      <t>６　ウッドマイレージＣＯ</t>
    </r>
    <r>
      <rPr>
        <b/>
        <vertAlign val="subscript"/>
        <sz val="12"/>
        <color indexed="9"/>
        <rFont val="ＭＳ Ｐゴシック"/>
        <family val="3"/>
        <charset val="128"/>
      </rPr>
      <t>２</t>
    </r>
    <r>
      <rPr>
        <b/>
        <sz val="12"/>
        <color indexed="9"/>
        <rFont val="ＭＳ Ｐゴシック"/>
        <family val="3"/>
        <charset val="128"/>
      </rPr>
      <t>とＣＯ</t>
    </r>
    <r>
      <rPr>
        <b/>
        <vertAlign val="subscript"/>
        <sz val="12"/>
        <color indexed="9"/>
        <rFont val="ＭＳ Ｐゴシック"/>
        <family val="3"/>
        <charset val="128"/>
      </rPr>
      <t>２</t>
    </r>
    <r>
      <rPr>
        <b/>
        <sz val="12"/>
        <color indexed="9"/>
        <rFont val="ＭＳ Ｐゴシック"/>
        <family val="3"/>
        <charset val="128"/>
      </rPr>
      <t>削減率</t>
    </r>
    <rPh sb="17" eb="19">
      <t>サクゲン</t>
    </rPh>
    <rPh sb="19" eb="20">
      <t>リツ</t>
    </rPh>
    <phoneticPr fontId="189"/>
  </si>
  <si>
    <r>
      <t>ウッドマイレージCO</t>
    </r>
    <r>
      <rPr>
        <vertAlign val="subscript"/>
        <sz val="9"/>
        <rFont val="ＭＳ Ｐゴシック"/>
        <family val="3"/>
        <charset val="128"/>
      </rPr>
      <t>2</t>
    </r>
    <phoneticPr fontId="189"/>
  </si>
  <si>
    <r>
      <t>ｋｇ-CO</t>
    </r>
    <r>
      <rPr>
        <vertAlign val="subscript"/>
        <sz val="9"/>
        <rFont val="ＭＳ Ｐゴシック"/>
        <family val="3"/>
        <charset val="128"/>
      </rPr>
      <t>2</t>
    </r>
    <phoneticPr fontId="189"/>
  </si>
  <si>
    <t>ウッドマイレージ</t>
    <phoneticPr fontId="189"/>
  </si>
  <si>
    <r>
      <t>CO</t>
    </r>
    <r>
      <rPr>
        <vertAlign val="subscript"/>
        <sz val="9"/>
        <rFont val="ＭＳ Ｐゴシック"/>
        <family val="3"/>
        <charset val="128"/>
      </rPr>
      <t>2</t>
    </r>
    <r>
      <rPr>
        <sz val="9"/>
        <rFont val="ＭＳ Ｐゴシック"/>
        <family val="3"/>
        <charset val="128"/>
      </rPr>
      <t>削減効果</t>
    </r>
    <phoneticPr fontId="189"/>
  </si>
  <si>
    <t>：「ウッドマイレージ計算書」から転記</t>
    <rPh sb="10" eb="13">
      <t>ケイサンショ</t>
    </rPh>
    <rPh sb="16" eb="18">
      <t>テンキ</t>
    </rPh>
    <phoneticPr fontId="20"/>
  </si>
  <si>
    <t>：自由記述入力欄</t>
    <rPh sb="1" eb="3">
      <t>ジユウ</t>
    </rPh>
    <rPh sb="3" eb="5">
      <t>キジュツ</t>
    </rPh>
    <rPh sb="5" eb="7">
      <t>ニュウリョク</t>
    </rPh>
    <rPh sb="7" eb="8">
      <t>ラン</t>
    </rPh>
    <phoneticPr fontId="20"/>
  </si>
  <si>
    <t>　LR2/　2.4　躯体材料以外におけるリサイクル材の使用</t>
    <rPh sb="10" eb="12">
      <t>クタイ</t>
    </rPh>
    <rPh sb="12" eb="14">
      <t>ザイリョウ</t>
    </rPh>
    <rPh sb="14" eb="16">
      <t>イガイ</t>
    </rPh>
    <rPh sb="25" eb="26">
      <t>ザイ</t>
    </rPh>
    <rPh sb="27" eb="29">
      <t>シヨウ</t>
    </rPh>
    <phoneticPr fontId="20"/>
  </si>
  <si>
    <t>　Q1/　3.2.1　昼光制御</t>
    <phoneticPr fontId="20"/>
  </si>
  <si>
    <t>　LR1/　2　自然エネルギー利用</t>
    <rPh sb="8" eb="10">
      <t>シゼン</t>
    </rPh>
    <rPh sb="15" eb="17">
      <t>リヨウ</t>
    </rPh>
    <phoneticPr fontId="21"/>
  </si>
  <si>
    <t>　LR1/　3 設備システムの高効率化</t>
    <phoneticPr fontId="20"/>
  </si>
  <si>
    <t>評価する取組みのうち、何れかの手法が採用されている。（但し、モニュメントの計画を除く）</t>
    <rPh sb="0" eb="2">
      <t>ヒョウカ</t>
    </rPh>
    <rPh sb="4" eb="5">
      <t>ト</t>
    </rPh>
    <rPh sb="5" eb="6">
      <t>ク</t>
    </rPh>
    <rPh sb="11" eb="12">
      <t>イズ</t>
    </rPh>
    <rPh sb="15" eb="17">
      <t>シュホウ</t>
    </rPh>
    <rPh sb="18" eb="20">
      <t>サイヨウ</t>
    </rPh>
    <rPh sb="27" eb="28">
      <t>タダ</t>
    </rPh>
    <rPh sb="37" eb="39">
      <t>ケイカク</t>
    </rPh>
    <rPh sb="40" eb="41">
      <t>ノゾ</t>
    </rPh>
    <phoneticPr fontId="20"/>
  </si>
  <si>
    <t>上記の内容に加え、利用量が15MJ/㎡・年以上となる場合。</t>
    <rPh sb="0" eb="2">
      <t>ジョウキ</t>
    </rPh>
    <rPh sb="3" eb="5">
      <t>ナイヨウ</t>
    </rPh>
    <rPh sb="6" eb="7">
      <t>クワ</t>
    </rPh>
    <rPh sb="9" eb="11">
      <t>リヨウ</t>
    </rPh>
    <rPh sb="11" eb="12">
      <t>リョウ</t>
    </rPh>
    <rPh sb="20" eb="23">
      <t>ネンイジョウ</t>
    </rPh>
    <rPh sb="26" eb="28">
      <t>バアイ</t>
    </rPh>
    <phoneticPr fontId="20"/>
  </si>
  <si>
    <t>　Q1/　3.2.1 昼光制御</t>
    <phoneticPr fontId="20"/>
  </si>
  <si>
    <t>（改修後）</t>
    <rPh sb="1" eb="3">
      <t>カイシュウ</t>
    </rPh>
    <rPh sb="3" eb="4">
      <t>ゴ</t>
    </rPh>
    <phoneticPr fontId="20"/>
  </si>
  <si>
    <t>C</t>
    <phoneticPr fontId="20"/>
  </si>
  <si>
    <t xml:space="preserve">使用CASBEE評価ソフト </t>
    <phoneticPr fontId="20"/>
  </si>
  <si>
    <t>キーワード</t>
    <phoneticPr fontId="20"/>
  </si>
  <si>
    <t>1　大切に使う</t>
    <phoneticPr fontId="20"/>
  </si>
  <si>
    <t>2　ともに住まう</t>
    <phoneticPr fontId="20"/>
  </si>
  <si>
    <t>スコア</t>
    <phoneticPr fontId="20"/>
  </si>
  <si>
    <t>　＜自由記述＞</t>
    <phoneticPr fontId="20"/>
  </si>
  <si>
    <t>(注　上記5項目のスコアの平均が合計点に加算される）</t>
    <rPh sb="1" eb="2">
      <t>チュウ</t>
    </rPh>
    <rPh sb="3" eb="5">
      <t>ジョウキ</t>
    </rPh>
    <rPh sb="6" eb="8">
      <t>コウモク</t>
    </rPh>
    <rPh sb="13" eb="15">
      <t>ヘイキン</t>
    </rPh>
    <rPh sb="16" eb="18">
      <t>ゴウケイ</t>
    </rPh>
    <rPh sb="18" eb="19">
      <t>テン</t>
    </rPh>
    <rPh sb="20" eb="22">
      <t>カサン</t>
    </rPh>
    <phoneticPr fontId="20"/>
  </si>
  <si>
    <t>スコア</t>
    <phoneticPr fontId="20"/>
  </si>
  <si>
    <t>　</t>
    <phoneticPr fontId="20"/>
  </si>
  <si>
    <t>合計点</t>
    <phoneticPr fontId="20"/>
  </si>
  <si>
    <t>　LR3/　3.3.2 昼光の建物外壁による反射光（グレア）への対策</t>
    <phoneticPr fontId="189"/>
  </si>
  <si>
    <t>■自然環境の利用</t>
    <phoneticPr fontId="189"/>
  </si>
  <si>
    <t>Q1/3.1.3 昼光利用設備</t>
    <phoneticPr fontId="20"/>
  </si>
  <si>
    <t>Q1/3.2.2 昼光制御</t>
    <phoneticPr fontId="20"/>
  </si>
  <si>
    <t>Q3/1 生物環境の保全と創出</t>
    <phoneticPr fontId="20"/>
  </si>
  <si>
    <t>Q3/3.2 敷地内温熱環境の向上</t>
    <phoneticPr fontId="20"/>
  </si>
  <si>
    <t>LR3/2.2 温熱環境悪化の改善　</t>
    <phoneticPr fontId="20"/>
  </si>
  <si>
    <t>LR3/3.3.2 昼光の建物外壁による反射光（グレア）への対策</t>
    <phoneticPr fontId="20"/>
  </si>
  <si>
    <t>　Q1/　3.1.3 昼光利用設備</t>
    <phoneticPr fontId="189"/>
  </si>
  <si>
    <t>デザインされた格子状ルーバーやライトシェルフ，軒，庇等，推奨内容の昼光利用設備を採用している。</t>
    <phoneticPr fontId="20"/>
  </si>
  <si>
    <t>低炭素景観</t>
    <rPh sb="0" eb="3">
      <t>テイタンソ</t>
    </rPh>
    <rPh sb="3" eb="5">
      <t>ケイカン</t>
    </rPh>
    <phoneticPr fontId="20"/>
  </si>
  <si>
    <r>
      <t>ライフサイクルCO</t>
    </r>
    <r>
      <rPr>
        <vertAlign val="subscript"/>
        <sz val="9"/>
        <rFont val="ＭＳ Ｐゴシック"/>
        <family val="3"/>
        <charset val="128"/>
      </rPr>
      <t>2</t>
    </r>
    <phoneticPr fontId="189"/>
  </si>
  <si>
    <t>ライフサイクル</t>
    <phoneticPr fontId="189"/>
  </si>
  <si>
    <r>
      <t>CO</t>
    </r>
    <r>
      <rPr>
        <b/>
        <vertAlign val="subscript"/>
        <sz val="11"/>
        <rFont val="ＭＳ Ｐゴシック"/>
        <family val="3"/>
        <charset val="128"/>
      </rPr>
      <t>2</t>
    </r>
    <r>
      <rPr>
        <b/>
        <sz val="11"/>
        <rFont val="ＭＳ Ｐゴシック"/>
        <family val="3"/>
        <charset val="128"/>
      </rPr>
      <t>削減率</t>
    </r>
    <phoneticPr fontId="189"/>
  </si>
  <si>
    <r>
      <t>ウッドマイレージCO</t>
    </r>
    <r>
      <rPr>
        <vertAlign val="subscript"/>
        <sz val="9"/>
        <rFont val="ＭＳ Ｐゴシック"/>
        <family val="3"/>
        <charset val="128"/>
      </rPr>
      <t>2</t>
    </r>
    <phoneticPr fontId="189"/>
  </si>
  <si>
    <r>
      <t>ｋｇ-CO</t>
    </r>
    <r>
      <rPr>
        <vertAlign val="subscript"/>
        <sz val="9"/>
        <rFont val="ＭＳ Ｐゴシック"/>
        <family val="3"/>
        <charset val="128"/>
      </rPr>
      <t>2</t>
    </r>
    <phoneticPr fontId="189"/>
  </si>
  <si>
    <t>ウッドマイレージ</t>
    <phoneticPr fontId="189"/>
  </si>
  <si>
    <r>
      <t>CO</t>
    </r>
    <r>
      <rPr>
        <vertAlign val="subscript"/>
        <sz val="9"/>
        <rFont val="ＭＳ Ｐゴシック"/>
        <family val="3"/>
        <charset val="128"/>
      </rPr>
      <t>2</t>
    </r>
    <r>
      <rPr>
        <sz val="9"/>
        <rFont val="ＭＳ Ｐゴシック"/>
        <family val="3"/>
        <charset val="128"/>
      </rPr>
      <t>削減効果</t>
    </r>
    <phoneticPr fontId="189"/>
  </si>
  <si>
    <t>　LR2/　2.4　躯体材料以外におけるリサイクル材の使用</t>
    <phoneticPr fontId="20"/>
  </si>
  <si>
    <t>　Q1/　3.2.1　昼光制御</t>
    <phoneticPr fontId="20"/>
  </si>
  <si>
    <t>　Q1/　3.2.1 昼光制御</t>
    <phoneticPr fontId="20"/>
  </si>
  <si>
    <t>（改修前後</t>
    <phoneticPr fontId="20"/>
  </si>
  <si>
    <t>の比較）</t>
    <rPh sb="1" eb="3">
      <t>ヒカク</t>
    </rPh>
    <phoneticPr fontId="20"/>
  </si>
  <si>
    <t>BEE（改修前）</t>
    <rPh sb="4" eb="6">
      <t>カイシュウ</t>
    </rPh>
    <rPh sb="6" eb="7">
      <t>マエ</t>
    </rPh>
    <phoneticPr fontId="20"/>
  </si>
  <si>
    <t>BEE（改修後）</t>
    <rPh sb="4" eb="6">
      <t>カイシュウ</t>
    </rPh>
    <rPh sb="6" eb="7">
      <t>ゴ</t>
    </rPh>
    <phoneticPr fontId="20"/>
  </si>
  <si>
    <t xml:space="preserve">使用CASBEE評価ソフト </t>
    <phoneticPr fontId="20"/>
  </si>
  <si>
    <t>キーワード</t>
    <phoneticPr fontId="20"/>
  </si>
  <si>
    <t xml:space="preserve">    取組度(改修前) </t>
    <rPh sb="6" eb="7">
      <t>ド</t>
    </rPh>
    <rPh sb="8" eb="10">
      <t>カイシュウ</t>
    </rPh>
    <rPh sb="10" eb="11">
      <t>マエ</t>
    </rPh>
    <phoneticPr fontId="20"/>
  </si>
  <si>
    <t xml:space="preserve">       取組度(改修後)</t>
  </si>
  <si>
    <t>1　大切に使う</t>
    <phoneticPr fontId="20"/>
  </si>
  <si>
    <t>2　ともに住まう</t>
    <phoneticPr fontId="20"/>
  </si>
  <si>
    <r>
      <t xml:space="preserve">合計点  </t>
    </r>
    <r>
      <rPr>
        <sz val="11"/>
        <rFont val="ＭＳ Ｐゴシック"/>
        <family val="3"/>
        <charset val="128"/>
      </rPr>
      <t>改修前</t>
    </r>
    <rPh sb="0" eb="2">
      <t>ゴウケイ</t>
    </rPh>
    <rPh sb="2" eb="3">
      <t>テン</t>
    </rPh>
    <rPh sb="7" eb="8">
      <t>マエ</t>
    </rPh>
    <phoneticPr fontId="189"/>
  </si>
  <si>
    <r>
      <t xml:space="preserve">合計点  </t>
    </r>
    <r>
      <rPr>
        <sz val="10"/>
        <rFont val="ＭＳ Ｐゴシック"/>
        <family val="3"/>
        <charset val="128"/>
      </rPr>
      <t xml:space="preserve"> 改修前</t>
    </r>
    <rPh sb="0" eb="2">
      <t>ゴウケイ</t>
    </rPh>
    <rPh sb="2" eb="3">
      <t>テン</t>
    </rPh>
    <rPh sb="8" eb="9">
      <t>マエ</t>
    </rPh>
    <phoneticPr fontId="189"/>
  </si>
  <si>
    <t>(注　上記5項目のスコアの平均が合計点に加算される）</t>
    <rPh sb="1" eb="2">
      <t>チュウ</t>
    </rPh>
    <rPh sb="3" eb="5">
      <t>ジョウキ</t>
    </rPh>
    <rPh sb="6" eb="8">
      <t>コウモク</t>
    </rPh>
    <rPh sb="13" eb="15">
      <t>ヘイキン</t>
    </rPh>
    <rPh sb="16" eb="18">
      <t>ゴウケイ</t>
    </rPh>
    <rPh sb="18" eb="19">
      <t>テン</t>
    </rPh>
    <rPh sb="20" eb="22">
      <t>カサン</t>
    </rPh>
    <phoneticPr fontId="20"/>
  </si>
  <si>
    <t>スコア</t>
    <phoneticPr fontId="20"/>
  </si>
  <si>
    <t>　</t>
    <phoneticPr fontId="20"/>
  </si>
  <si>
    <r>
      <t xml:space="preserve">合計点  </t>
    </r>
    <r>
      <rPr>
        <sz val="11"/>
        <rFont val="ＭＳ Ｐゴシック"/>
        <family val="3"/>
        <charset val="128"/>
      </rPr>
      <t xml:space="preserve"> 改修前</t>
    </r>
    <rPh sb="0" eb="2">
      <t>ゴウケイ</t>
    </rPh>
    <rPh sb="2" eb="3">
      <t>テン</t>
    </rPh>
    <rPh sb="8" eb="9">
      <t>マエ</t>
    </rPh>
    <phoneticPr fontId="189"/>
  </si>
  <si>
    <t>　Q3/　1　生物環境の保全（と創出）</t>
    <rPh sb="7" eb="9">
      <t>セイブツ</t>
    </rPh>
    <rPh sb="9" eb="11">
      <t>カンキョウ</t>
    </rPh>
    <rPh sb="12" eb="14">
      <t>ホゼン</t>
    </rPh>
    <rPh sb="16" eb="18">
      <t>ソウシュツ</t>
    </rPh>
    <phoneticPr fontId="20"/>
  </si>
  <si>
    <t>　LR3/　3.3.2 昼光の建物外壁による反射光（グレア）への対策</t>
    <phoneticPr fontId="189"/>
  </si>
  <si>
    <t>■自然環境の利用</t>
    <phoneticPr fontId="189"/>
  </si>
  <si>
    <t>Q1/3.1.3 昼光利用設備</t>
    <phoneticPr fontId="20"/>
  </si>
  <si>
    <t>Q1/3.2.2 昼光制御</t>
    <phoneticPr fontId="20"/>
  </si>
  <si>
    <t>Q3/1 生物環境の保全と創出</t>
    <phoneticPr fontId="20"/>
  </si>
  <si>
    <t>Q3/3.2 敷地内温熱環境の向上</t>
    <phoneticPr fontId="20"/>
  </si>
  <si>
    <t>LR3/2.2 温熱環境悪化の改善　</t>
    <phoneticPr fontId="20"/>
  </si>
  <si>
    <t>LR3/3.3.2 昼光の建物外壁による反射光（グレア）への対策</t>
    <phoneticPr fontId="20"/>
  </si>
  <si>
    <t>　Q1/　3.1.3 昼光利用設備</t>
    <phoneticPr fontId="189"/>
  </si>
  <si>
    <t>デザインされた格子状ルーバーやライトシェルフ，軒，庇等，推奨内容の昼光利用設備を採用している。</t>
    <phoneticPr fontId="20"/>
  </si>
  <si>
    <t>低炭素景観</t>
    <rPh sb="0" eb="3">
      <t>テイタンソ</t>
    </rPh>
    <rPh sb="3" eb="5">
      <t>ケイカン</t>
    </rPh>
    <phoneticPr fontId="20"/>
  </si>
  <si>
    <r>
      <t>ライフサイクルCO</t>
    </r>
    <r>
      <rPr>
        <vertAlign val="subscript"/>
        <sz val="9"/>
        <rFont val="ＭＳ Ｐゴシック"/>
        <family val="3"/>
        <charset val="128"/>
      </rPr>
      <t>2</t>
    </r>
    <phoneticPr fontId="189"/>
  </si>
  <si>
    <r>
      <t>CO</t>
    </r>
    <r>
      <rPr>
        <b/>
        <vertAlign val="subscript"/>
        <sz val="11"/>
        <rFont val="ＭＳ Ｐゴシック"/>
        <family val="3"/>
        <charset val="128"/>
      </rPr>
      <t>2</t>
    </r>
    <r>
      <rPr>
        <b/>
        <sz val="11"/>
        <rFont val="ＭＳ Ｐゴシック"/>
        <family val="3"/>
        <charset val="128"/>
      </rPr>
      <t>削減率</t>
    </r>
    <phoneticPr fontId="189"/>
  </si>
  <si>
    <t>ウッドマイレージ</t>
    <phoneticPr fontId="189"/>
  </si>
  <si>
    <r>
      <t>ウッドマイレージCO</t>
    </r>
    <r>
      <rPr>
        <vertAlign val="subscript"/>
        <sz val="9"/>
        <rFont val="ＭＳ Ｐゴシック"/>
        <family val="3"/>
        <charset val="128"/>
      </rPr>
      <t>2</t>
    </r>
    <phoneticPr fontId="189"/>
  </si>
  <si>
    <r>
      <t>ｋｇ-CO</t>
    </r>
    <r>
      <rPr>
        <vertAlign val="subscript"/>
        <sz val="9"/>
        <rFont val="ＭＳ Ｐゴシック"/>
        <family val="3"/>
        <charset val="128"/>
      </rPr>
      <t>2</t>
    </r>
    <phoneticPr fontId="189"/>
  </si>
  <si>
    <r>
      <t>CO</t>
    </r>
    <r>
      <rPr>
        <vertAlign val="subscript"/>
        <sz val="9"/>
        <rFont val="ＭＳ Ｐゴシック"/>
        <family val="3"/>
        <charset val="128"/>
      </rPr>
      <t>2</t>
    </r>
    <r>
      <rPr>
        <sz val="9"/>
        <rFont val="ＭＳ Ｐゴシック"/>
        <family val="3"/>
        <charset val="128"/>
      </rPr>
      <t>削減効果</t>
    </r>
    <phoneticPr fontId="189"/>
  </si>
  <si>
    <t>７　低炭素改修</t>
    <rPh sb="2" eb="3">
      <t>テイ</t>
    </rPh>
    <rPh sb="3" eb="5">
      <t>タンソ</t>
    </rPh>
    <rPh sb="5" eb="7">
      <t>カイシュウ</t>
    </rPh>
    <phoneticPr fontId="189"/>
  </si>
  <si>
    <t>■廃材の利用</t>
    <rPh sb="1" eb="3">
      <t>ハイザイ</t>
    </rPh>
    <rPh sb="4" eb="6">
      <t>リヨウ</t>
    </rPh>
    <phoneticPr fontId="20"/>
  </si>
  <si>
    <t>■地域産材（木材以外）の利用</t>
    <rPh sb="1" eb="3">
      <t>チイキ</t>
    </rPh>
    <rPh sb="3" eb="4">
      <t>サン</t>
    </rPh>
    <rPh sb="4" eb="5">
      <t>ザイ</t>
    </rPh>
    <rPh sb="6" eb="8">
      <t>モクザイ</t>
    </rPh>
    <rPh sb="8" eb="10">
      <t>イガイ</t>
    </rPh>
    <rPh sb="12" eb="14">
      <t>リヨウ</t>
    </rPh>
    <phoneticPr fontId="20"/>
  </si>
  <si>
    <t>コンクリートガラを再利用している</t>
    <rPh sb="9" eb="12">
      <t>サイリヨウ</t>
    </rPh>
    <phoneticPr fontId="20"/>
  </si>
  <si>
    <t>石，土などに地域産材を利用している</t>
    <rPh sb="0" eb="1">
      <t>イシ</t>
    </rPh>
    <rPh sb="2" eb="3">
      <t>ツチ</t>
    </rPh>
    <rPh sb="6" eb="8">
      <t>チイキ</t>
    </rPh>
    <rPh sb="8" eb="9">
      <t>サン</t>
    </rPh>
    <rPh sb="9" eb="10">
      <t>ザイ</t>
    </rPh>
    <rPh sb="11" eb="13">
      <t>リヨウ</t>
    </rPh>
    <phoneticPr fontId="20"/>
  </si>
  <si>
    <t>木材や石，建具などを再利用している</t>
    <rPh sb="0" eb="2">
      <t>モクザイ</t>
    </rPh>
    <rPh sb="3" eb="4">
      <t>イシ</t>
    </rPh>
    <rPh sb="5" eb="7">
      <t>タテグ</t>
    </rPh>
    <rPh sb="10" eb="13">
      <t>サイリヨウ</t>
    </rPh>
    <phoneticPr fontId="20"/>
  </si>
  <si>
    <t>発生した木材等を廃棄せず，古材として流通</t>
    <rPh sb="0" eb="2">
      <t>ハッセイ</t>
    </rPh>
    <rPh sb="4" eb="6">
      <t>モクザイ</t>
    </rPh>
    <rPh sb="6" eb="7">
      <t>トウ</t>
    </rPh>
    <rPh sb="8" eb="10">
      <t>ハイキ</t>
    </rPh>
    <rPh sb="13" eb="15">
      <t>コザイ</t>
    </rPh>
    <rPh sb="18" eb="20">
      <t>リュウツウ</t>
    </rPh>
    <phoneticPr fontId="20"/>
  </si>
  <si>
    <t>■資源節約型の改修</t>
    <rPh sb="1" eb="3">
      <t>シゲン</t>
    </rPh>
    <rPh sb="3" eb="6">
      <t>セツヤクガタ</t>
    </rPh>
    <rPh sb="7" eb="9">
      <t>カイシュウ</t>
    </rPh>
    <phoneticPr fontId="20"/>
  </si>
  <si>
    <t>　LR3/　3.3.2　昼光の建物外壁による反射光（グレア）への対策           スコア</t>
    <rPh sb="12" eb="14">
      <t>チュウコウ</t>
    </rPh>
    <rPh sb="15" eb="17">
      <t>タテモノ</t>
    </rPh>
    <rPh sb="17" eb="19">
      <t>ガイヘキ</t>
    </rPh>
    <rPh sb="22" eb="24">
      <t>ハンシャ</t>
    </rPh>
    <rPh sb="24" eb="25">
      <t>コウ</t>
    </rPh>
    <rPh sb="32" eb="34">
      <t>タイサク</t>
    </rPh>
    <phoneticPr fontId="20"/>
  </si>
  <si>
    <t>　LR2/　2.4　躯体材料以外におけるリサイクル材の使用</t>
    <phoneticPr fontId="20"/>
  </si>
  <si>
    <t>　Q1/　3.2.1　昼光制御</t>
    <phoneticPr fontId="20"/>
  </si>
  <si>
    <t>　Q1/　3.2.1 昼光制御</t>
    <phoneticPr fontId="20"/>
  </si>
  <si>
    <t xml:space="preserve"> 改修後</t>
    <rPh sb="1" eb="3">
      <t>カイシュウ</t>
    </rPh>
    <rPh sb="3" eb="4">
      <t>ゴ</t>
    </rPh>
    <phoneticPr fontId="20"/>
  </si>
  <si>
    <t xml:space="preserve">注）　改修における総合的なコンセプトを簡潔に記載してください。
　（省エネ改修，室内環境改善，外装の更新，高耐久化，情報化対応，コンバージョンなど）
</t>
    <phoneticPr fontId="20"/>
  </si>
  <si>
    <t xml:space="preserve">注）　改修における「Q1　室内環境」に対する配慮事項を簡潔に記載してください。
</t>
    <rPh sb="22" eb="24">
      <t>ハイリョ</t>
    </rPh>
    <rPh sb="24" eb="26">
      <t>ジコウ</t>
    </rPh>
    <phoneticPr fontId="20"/>
  </si>
  <si>
    <t xml:space="preserve">注）　改修における「Q2　サービス性能」に対する配慮事項を簡潔に記載してください。
</t>
    <phoneticPr fontId="20"/>
  </si>
  <si>
    <t xml:space="preserve">注）　改修における「Q3　室外環境（敷地内）」に対する配慮事項を簡潔に記載してください。
</t>
    <phoneticPr fontId="20"/>
  </si>
  <si>
    <t xml:space="preserve">注）　改修における「LR1　エネルギー」に対する配慮事項を簡潔に記載してください。
</t>
    <phoneticPr fontId="20"/>
  </si>
  <si>
    <t xml:space="preserve">注）　改修における「LR2　資源・マテリアル」に対する配慮事項を簡潔に記載してください。
</t>
    <phoneticPr fontId="20"/>
  </si>
  <si>
    <t xml:space="preserve">注）　改修における「LR3　敷地外環境」に対する配慮事項を簡潔に記載してください。
</t>
    <phoneticPr fontId="20"/>
  </si>
  <si>
    <t xml:space="preserve">注）　上記の６つのカテゴリー以外に，改修工事における廃棄物削減・リサイクル，改修による歴史的建造物の延命など，建物自体の環境性能としてＣＡＳＢＥＥで評価し難い環境配慮の取組があれば，ここに記載してください。
</t>
    <phoneticPr fontId="20"/>
  </si>
  <si>
    <t>主要構造部が木造躯体である場合で，「持続可能な森林から産出された木材」を使用しており，うち地域産木材を使用している。</t>
    <phoneticPr fontId="20"/>
  </si>
  <si>
    <t>主要構造部に使用した「持続可能な森林から産出された木材」のうち，地域産木材を使用している。</t>
    <phoneticPr fontId="20"/>
  </si>
  <si>
    <t>主要構造部が木造躯体である場合で，「持続可能な森林から産出された木材」を使用しており，うち地域産木材を使用している。</t>
    <phoneticPr fontId="20"/>
  </si>
  <si>
    <t>主要構造部に使用した「持続可能な森林から産出された木材」のうち，地域産木材を使用している。</t>
    <phoneticPr fontId="20"/>
  </si>
  <si>
    <t>主要構造部に使用した「持続可能な森林から産出された木材」のうち，地域産木材を使用している。</t>
    <phoneticPr fontId="20"/>
  </si>
  <si>
    <t>：「CASBEE京都－改修（標準システム）」から転記</t>
    <rPh sb="8" eb="10">
      <t>キョウト</t>
    </rPh>
    <rPh sb="11" eb="13">
      <t>カイシュウ</t>
    </rPh>
    <rPh sb="14" eb="16">
      <t>ヒョウジュン</t>
    </rPh>
    <rPh sb="24" eb="26">
      <t>テンキ</t>
    </rPh>
    <phoneticPr fontId="20"/>
  </si>
</sst>
</file>

<file path=xl/styles.xml><?xml version="1.0" encoding="utf-8"?>
<styleSheet xmlns="http://schemas.openxmlformats.org/spreadsheetml/2006/main">
  <numFmts count="42">
    <numFmt numFmtId="41" formatCode="_ * #,##0_ ;_ * \-#,##0_ ;_ * &quot;-&quot;_ ;_ @_ "/>
    <numFmt numFmtId="176" formatCode="0.0_ "/>
    <numFmt numFmtId="177" formatCode="0.00_ "/>
    <numFmt numFmtId="178" formatCode="0.00_);[Red]\(0.00\)"/>
    <numFmt numFmtId="179" formatCode="0;0;&quot;－&quot;"/>
    <numFmt numFmtId="180" formatCode="#,##0_ "/>
    <numFmt numFmtId="181" formatCode="0.0"/>
    <numFmt numFmtId="182" formatCode="0.0;0.0;&quot;-&quot;\ "/>
    <numFmt numFmtId="183" formatCode="0.00;0.00;&quot;-&quot;\ "/>
    <numFmt numFmtId="184" formatCode="0.0;0.0;&quot;－&quot;"/>
    <numFmt numFmtId="185" formatCode="#,##0.0;[Red]\-#,##0.0"/>
    <numFmt numFmtId="186" formatCode="0.000_ "/>
    <numFmt numFmtId="187" formatCode="0.000_);[Red]\(0.000\)"/>
    <numFmt numFmtId="188" formatCode="0_ "/>
    <numFmt numFmtId="189" formatCode="#,###&quot;㎡&quot;"/>
    <numFmt numFmtId="190" formatCode="0.00;0.00;&quot;&quot;\ "/>
    <numFmt numFmtId="191" formatCode="0.00;0.00;&quot;-&quot;"/>
    <numFmt numFmtId="192" formatCode="&quot;レベル &quot;#0.0"/>
    <numFmt numFmtId="193" formatCode="&quot;レベル &quot;#.0;0.0;&quot;レベル&quot;"/>
    <numFmt numFmtId="194" formatCode="0.000;_Ā"/>
    <numFmt numFmtId="195" formatCode="#&quot;年&quot;"/>
    <numFmt numFmtId="196" formatCode="#,##0.000;[Red]\-#,##0.000"/>
    <numFmt numFmtId="197" formatCode="#,##0.0000;[Red]\-#,##0.0000"/>
    <numFmt numFmtId="198" formatCode="0.0000_ "/>
    <numFmt numFmtId="199" formatCode="0.0_);[Red]\(0.0\)"/>
    <numFmt numFmtId="200" formatCode="0.0;&quot;-&quot;\ "/>
    <numFmt numFmtId="201" formatCode="#,##0.0_ ;[Red]\-#,##0.0\ "/>
    <numFmt numFmtId="202" formatCode="#,##0.0_ "/>
    <numFmt numFmtId="203" formatCode=";;&quot;&quot;"/>
    <numFmt numFmtId="204" formatCode="0.000000_ "/>
    <numFmt numFmtId="205" formatCode="General;General;"/>
    <numFmt numFmtId="206" formatCode="0.0000"/>
    <numFmt numFmtId="207" formatCode="#,##0_);[Red]\(#,##0\)"/>
    <numFmt numFmtId="208" formatCode="&quot;レベル &quot;#.00;0.00;&quot;レベル&quot;"/>
    <numFmt numFmtId="209" formatCode="0.000"/>
    <numFmt numFmtId="210" formatCode="&quot;レベル &quot;#"/>
    <numFmt numFmtId="211" formatCode="&quot;レベル &quot;#0.0;0.00;&quot;対象外&quot;"/>
    <numFmt numFmtId="212" formatCode="0.00000_ "/>
    <numFmt numFmtId="213" formatCode="#&quot;／6項目&quot;"/>
    <numFmt numFmtId="214" formatCode="#,##0.0000_);\(#,##0.0000\)"/>
    <numFmt numFmtId="215" formatCode="0_);\(0\)"/>
    <numFmt numFmtId="216" formatCode="&quot;/&quot;0"/>
  </numFmts>
  <fonts count="196">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color indexed="17"/>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10"/>
      <name val="ＭＳ Ｐゴシック"/>
      <family val="3"/>
      <charset val="128"/>
    </font>
    <font>
      <sz val="9"/>
      <name val="ＭＳ Ｐゴシック"/>
      <family val="3"/>
      <charset val="128"/>
    </font>
    <font>
      <b/>
      <sz val="10"/>
      <color indexed="9"/>
      <name val="ＭＳ Ｐゴシック"/>
      <family val="3"/>
      <charset val="128"/>
    </font>
    <font>
      <sz val="10"/>
      <name val="Arial"/>
      <family val="2"/>
    </font>
    <font>
      <sz val="10"/>
      <color indexed="9"/>
      <name val="ＭＳ Ｐゴシック"/>
      <family val="3"/>
      <charset val="128"/>
    </font>
    <font>
      <b/>
      <sz val="11"/>
      <name val="ＭＳ Ｐゴシック"/>
      <family val="3"/>
      <charset val="128"/>
    </font>
    <font>
      <sz val="10"/>
      <color indexed="53"/>
      <name val="ＭＳ Ｐゴシック"/>
      <family val="3"/>
      <charset val="128"/>
    </font>
    <font>
      <sz val="9"/>
      <color indexed="21"/>
      <name val="ＭＳ Ｐゴシック"/>
      <family val="3"/>
      <charset val="128"/>
    </font>
    <font>
      <b/>
      <sz val="9"/>
      <name val="Arial"/>
      <family val="2"/>
    </font>
    <font>
      <sz val="9"/>
      <color indexed="8"/>
      <name val="ＭＳ Ｐゴシック"/>
      <family val="3"/>
      <charset val="128"/>
    </font>
    <font>
      <sz val="8"/>
      <name val="ＭＳ Ｐゴシック"/>
      <family val="3"/>
      <charset val="128"/>
    </font>
    <font>
      <vertAlign val="subscript"/>
      <sz val="9"/>
      <color indexed="8"/>
      <name val="ＭＳ Ｐゴシック"/>
      <family val="3"/>
      <charset val="128"/>
    </font>
    <font>
      <b/>
      <sz val="8"/>
      <color indexed="10"/>
      <name val="ＭＳ Ｐゴシック"/>
      <family val="3"/>
      <charset val="128"/>
    </font>
    <font>
      <sz val="10"/>
      <color indexed="10"/>
      <name val="ＭＳ Ｐゴシック"/>
      <family val="3"/>
      <charset val="128"/>
    </font>
    <font>
      <b/>
      <sz val="10"/>
      <name val="ＭＳ Ｐゴシック"/>
      <family val="3"/>
      <charset val="128"/>
    </font>
    <font>
      <sz val="9"/>
      <color indexed="20"/>
      <name val="ＭＳ Ｐゴシック"/>
      <family val="3"/>
      <charset val="128"/>
    </font>
    <font>
      <sz val="10"/>
      <color indexed="21"/>
      <name val="ＭＳ Ｐゴシック"/>
      <family val="3"/>
      <charset val="128"/>
    </font>
    <font>
      <b/>
      <sz val="16"/>
      <name val="ＭＳ Ｐゴシック"/>
      <family val="3"/>
      <charset val="128"/>
    </font>
    <font>
      <b/>
      <sz val="18"/>
      <name val="ＭＳ Ｐゴシック"/>
      <family val="3"/>
      <charset val="128"/>
    </font>
    <font>
      <sz val="10"/>
      <color indexed="63"/>
      <name val="ＭＳ Ｐゴシック"/>
      <family val="3"/>
      <charset val="128"/>
    </font>
    <font>
      <sz val="9"/>
      <name val="Arial"/>
      <family val="2"/>
    </font>
    <font>
      <b/>
      <sz val="14"/>
      <color indexed="9"/>
      <name val="ＭＳ Ｐゴシック"/>
      <family val="3"/>
      <charset val="128"/>
    </font>
    <font>
      <sz val="9"/>
      <color indexed="9"/>
      <name val="ＭＳ Ｐゴシック"/>
      <family val="3"/>
      <charset val="128"/>
    </font>
    <font>
      <b/>
      <sz val="8"/>
      <name val="Arial"/>
      <family val="2"/>
    </font>
    <font>
      <sz val="9"/>
      <color indexed="10"/>
      <name val="Arial"/>
      <family val="2"/>
    </font>
    <font>
      <b/>
      <i/>
      <sz val="14"/>
      <name val="ＭＳ Ｐゴシック"/>
      <family val="3"/>
      <charset val="128"/>
    </font>
    <font>
      <sz val="9"/>
      <color indexed="17"/>
      <name val="ＭＳ Ｐゴシック"/>
      <family val="3"/>
      <charset val="128"/>
    </font>
    <font>
      <b/>
      <sz val="8"/>
      <color indexed="17"/>
      <name val="ＭＳ Ｐゴシック"/>
      <family val="3"/>
      <charset val="128"/>
    </font>
    <font>
      <sz val="9"/>
      <color indexed="10"/>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8"/>
      <name val="ＭＳ Ｐゴシック"/>
      <family val="3"/>
      <charset val="128"/>
    </font>
    <font>
      <b/>
      <sz val="12"/>
      <color indexed="9"/>
      <name val="ＭＳ Ｐゴシック"/>
      <family val="3"/>
      <charset val="128"/>
    </font>
    <font>
      <b/>
      <sz val="9"/>
      <color indexed="9"/>
      <name val="ＭＳ Ｐゴシック"/>
      <family val="3"/>
      <charset val="128"/>
    </font>
    <font>
      <b/>
      <sz val="9"/>
      <color indexed="26"/>
      <name val="ＭＳ Ｐゴシック"/>
      <family val="3"/>
      <charset val="128"/>
    </font>
    <font>
      <sz val="9"/>
      <color indexed="12"/>
      <name val="Arial"/>
      <family val="2"/>
    </font>
    <font>
      <b/>
      <sz val="9"/>
      <color indexed="8"/>
      <name val="ＭＳ Ｐゴシック"/>
      <family val="3"/>
      <charset val="128"/>
    </font>
    <font>
      <b/>
      <sz val="10"/>
      <color indexed="18"/>
      <name val="Arial"/>
      <family val="2"/>
    </font>
    <font>
      <b/>
      <sz val="10"/>
      <color indexed="17"/>
      <name val="ＭＳ Ｐゴシック"/>
      <family val="3"/>
      <charset val="128"/>
    </font>
    <font>
      <sz val="10"/>
      <color indexed="8"/>
      <name val="ＭＳ Ｐゴシック"/>
      <family val="3"/>
      <charset val="128"/>
    </font>
    <font>
      <vertAlign val="subscript"/>
      <sz val="10"/>
      <name val="ＭＳ Ｐゴシック"/>
      <family val="3"/>
      <charset val="128"/>
    </font>
    <font>
      <b/>
      <sz val="10"/>
      <color indexed="18"/>
      <name val="ＭＳ Ｐゴシック"/>
      <family val="3"/>
      <charset val="128"/>
    </font>
    <font>
      <b/>
      <sz val="12"/>
      <name val="ＭＳ Ｐゴシック"/>
      <family val="3"/>
      <charset val="128"/>
    </font>
    <font>
      <sz val="10"/>
      <color indexed="22"/>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0"/>
      <color indexed="10"/>
      <name val="ＭＳ Ｐゴシック"/>
      <family val="3"/>
      <charset val="128"/>
    </font>
    <font>
      <sz val="11"/>
      <name val="Arial"/>
      <family val="2"/>
    </font>
    <font>
      <b/>
      <sz val="11"/>
      <name val="Arial"/>
      <family val="2"/>
    </font>
    <font>
      <b/>
      <sz val="14"/>
      <name val="ＭＳ Ｐゴシック"/>
      <family val="3"/>
      <charset val="128"/>
    </font>
    <font>
      <sz val="11"/>
      <color indexed="9"/>
      <name val="Arial"/>
      <family val="2"/>
    </font>
    <font>
      <sz val="12"/>
      <name val="ＭＳ Ｐゴシック"/>
      <family val="3"/>
      <charset val="128"/>
    </font>
    <font>
      <b/>
      <sz val="14"/>
      <name val="Arial"/>
      <family val="2"/>
    </font>
    <font>
      <sz val="12"/>
      <name val="Arial"/>
      <family val="2"/>
    </font>
    <font>
      <b/>
      <sz val="12"/>
      <name val="Arial"/>
      <family val="2"/>
    </font>
    <font>
      <sz val="14"/>
      <name val="ＭＳ Ｐゴシック"/>
      <family val="3"/>
      <charset val="128"/>
    </font>
    <font>
      <sz val="8"/>
      <name val="Arial"/>
      <family val="2"/>
    </font>
    <font>
      <b/>
      <sz val="8"/>
      <color indexed="9"/>
      <name val="ＭＳ Ｐゴシック"/>
      <family val="3"/>
      <charset val="128"/>
    </font>
    <font>
      <b/>
      <i/>
      <sz val="11"/>
      <name val="ＭＳ Ｐゴシック"/>
      <family val="3"/>
      <charset val="128"/>
    </font>
    <font>
      <sz val="11"/>
      <color indexed="23"/>
      <name val="ＭＳ Ｐゴシック"/>
      <family val="3"/>
      <charset val="128"/>
    </font>
    <font>
      <b/>
      <sz val="10"/>
      <color indexed="9"/>
      <name val="Arial"/>
      <family val="2"/>
    </font>
    <font>
      <b/>
      <sz val="11"/>
      <color indexed="63"/>
      <name val="Arial"/>
      <family val="2"/>
    </font>
    <font>
      <sz val="9"/>
      <color indexed="63"/>
      <name val="Arial"/>
      <family val="2"/>
    </font>
    <font>
      <b/>
      <sz val="9"/>
      <color indexed="63"/>
      <name val="Arial"/>
      <family val="2"/>
    </font>
    <font>
      <b/>
      <sz val="10"/>
      <color indexed="63"/>
      <name val="ＭＳ Ｐゴシック"/>
      <family val="3"/>
      <charset val="128"/>
    </font>
    <font>
      <b/>
      <sz val="10"/>
      <color indexed="63"/>
      <name val="Arial"/>
      <family val="2"/>
    </font>
    <font>
      <b/>
      <sz val="18"/>
      <name val="Arial"/>
      <family val="2"/>
    </font>
    <font>
      <sz val="12"/>
      <color indexed="10"/>
      <name val="Arial"/>
      <family val="2"/>
    </font>
    <font>
      <b/>
      <i/>
      <sz val="9"/>
      <name val="ＭＳ Ｐ明朝"/>
      <family val="1"/>
      <charset val="128"/>
    </font>
    <font>
      <sz val="9"/>
      <color indexed="17"/>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Arial"/>
      <family val="2"/>
    </font>
    <font>
      <b/>
      <sz val="6"/>
      <color indexed="9"/>
      <name val="ＭＳ Ｐゴシック"/>
      <family val="3"/>
      <charset val="128"/>
    </font>
    <font>
      <sz val="11"/>
      <color indexed="63"/>
      <name val="Arial"/>
      <family val="2"/>
    </font>
    <font>
      <i/>
      <sz val="10"/>
      <name val="ＭＳ Ｐゴシック"/>
      <family val="3"/>
      <charset val="128"/>
    </font>
    <font>
      <sz val="10"/>
      <color indexed="10"/>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b/>
      <sz val="11"/>
      <color indexed="10"/>
      <name val="Arial"/>
      <family val="2"/>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i/>
      <sz val="8"/>
      <name val="Arial"/>
      <family val="2"/>
    </font>
    <font>
      <sz val="8"/>
      <color indexed="23"/>
      <name val="Arial"/>
      <family val="2"/>
    </font>
    <font>
      <sz val="8"/>
      <color indexed="10"/>
      <name val="Arial"/>
      <family val="2"/>
    </font>
    <font>
      <sz val="8"/>
      <color indexed="10"/>
      <name val="ＭＳ Ｐゴシック"/>
      <family val="3"/>
      <charset val="128"/>
    </font>
    <font>
      <sz val="6"/>
      <color indexed="23"/>
      <name val="Arial"/>
      <family val="2"/>
    </font>
    <font>
      <sz val="6"/>
      <name val="Arial"/>
      <family val="2"/>
    </font>
    <font>
      <b/>
      <sz val="10"/>
      <color indexed="22"/>
      <name val="Arial"/>
      <family val="2"/>
    </font>
    <font>
      <sz val="10"/>
      <color indexed="22"/>
      <name val="Arial"/>
      <family val="2"/>
    </font>
    <font>
      <i/>
      <sz val="10"/>
      <name val="Arial"/>
      <family val="2"/>
    </font>
    <font>
      <b/>
      <i/>
      <sz val="14"/>
      <name val="Arial"/>
      <family val="2"/>
    </font>
    <font>
      <b/>
      <vertAlign val="subscript"/>
      <sz val="12"/>
      <color indexed="9"/>
      <name val="Arial"/>
      <family val="2"/>
    </font>
    <font>
      <b/>
      <vertAlign val="subscript"/>
      <sz val="13"/>
      <name val="ＭＳ Ｐゴシック"/>
      <family val="3"/>
      <charset val="128"/>
    </font>
    <font>
      <b/>
      <sz val="13"/>
      <name val="ＭＳ Ｐゴシック"/>
      <family val="3"/>
      <charset val="128"/>
    </font>
    <font>
      <sz val="13"/>
      <name val="ＭＳ Ｐゴシック"/>
      <family val="3"/>
      <charset val="128"/>
    </font>
    <font>
      <b/>
      <vertAlign val="subscript"/>
      <sz val="10"/>
      <name val="Arial"/>
      <family val="2"/>
    </font>
    <font>
      <b/>
      <sz val="12"/>
      <color indexed="17"/>
      <name val="Arial"/>
      <family val="2"/>
    </font>
    <font>
      <b/>
      <sz val="10"/>
      <color indexed="8"/>
      <name val="ＭＳ Ｐゴシック"/>
      <family val="3"/>
      <charset val="128"/>
    </font>
    <font>
      <sz val="9"/>
      <color indexed="8"/>
      <name val="Arial"/>
      <family val="2"/>
    </font>
    <font>
      <vertAlign val="subscript"/>
      <sz val="12"/>
      <name val="ＭＳ Ｐゴシック"/>
      <family val="3"/>
      <charset val="128"/>
    </font>
    <font>
      <b/>
      <sz val="12"/>
      <color indexed="10"/>
      <name val="Arial"/>
      <family val="2"/>
    </font>
    <font>
      <sz val="12"/>
      <color indexed="8"/>
      <name val="Arial"/>
      <family val="2"/>
    </font>
    <font>
      <b/>
      <sz val="12"/>
      <color indexed="50"/>
      <name val="Arial"/>
      <family val="2"/>
    </font>
    <font>
      <b/>
      <vertAlign val="subscript"/>
      <sz val="12"/>
      <name val="ＭＳ Ｐゴシック"/>
      <family val="3"/>
      <charset val="128"/>
    </font>
    <font>
      <b/>
      <vertAlign val="subscript"/>
      <sz val="11"/>
      <name val="ＭＳ Ｐゴシック"/>
      <family val="3"/>
      <charset val="128"/>
    </font>
    <font>
      <b/>
      <sz val="10"/>
      <color indexed="12"/>
      <name val="ＭＳ Ｐゴシック"/>
      <family val="3"/>
      <charset val="128"/>
    </font>
    <font>
      <b/>
      <sz val="14"/>
      <color indexed="8"/>
      <name val="ＭＳ Ｐゴシック"/>
      <family val="3"/>
      <charset val="128"/>
    </font>
    <font>
      <sz val="14"/>
      <color indexed="8"/>
      <name val="ＭＳ Ｐゴシック"/>
      <family val="3"/>
      <charset val="128"/>
    </font>
    <font>
      <sz val="14"/>
      <color indexed="10"/>
      <name val="ＭＳ Ｐゴシック"/>
      <family val="3"/>
      <charset val="128"/>
    </font>
    <font>
      <sz val="9"/>
      <color indexed="81"/>
      <name val="ＭＳ Ｐゴシック"/>
      <family val="3"/>
      <charset val="128"/>
    </font>
    <font>
      <sz val="11"/>
      <color indexed="81"/>
      <name val="ＭＳ Ｐゴシック"/>
      <family val="3"/>
      <charset val="128"/>
    </font>
    <font>
      <b/>
      <sz val="10"/>
      <color indexed="81"/>
      <name val="ＭＳ Ｐゴシック"/>
      <family val="3"/>
      <charset val="128"/>
    </font>
    <font>
      <b/>
      <strike/>
      <sz val="10"/>
      <name val="ＭＳ Ｐゴシック"/>
      <family val="3"/>
      <charset val="128"/>
    </font>
    <font>
      <b/>
      <strike/>
      <sz val="10"/>
      <color indexed="18"/>
      <name val="Arial"/>
      <family val="2"/>
    </font>
    <font>
      <strike/>
      <sz val="10"/>
      <name val="ＭＳ Ｐゴシック"/>
      <family val="3"/>
      <charset val="128"/>
    </font>
    <font>
      <b/>
      <strike/>
      <sz val="9"/>
      <color indexed="8"/>
      <name val="ＭＳ Ｐゴシック"/>
      <family val="3"/>
      <charset val="128"/>
    </font>
    <font>
      <strike/>
      <sz val="9"/>
      <name val="ＭＳ Ｐゴシック"/>
      <family val="3"/>
      <charset val="128"/>
    </font>
    <font>
      <strike/>
      <sz val="8"/>
      <name val="ＭＳ Ｐゴシック"/>
      <family val="3"/>
      <charset val="128"/>
    </font>
    <font>
      <b/>
      <sz val="16"/>
      <color indexed="9"/>
      <name val="ＭＳ Ｐゴシック"/>
      <family val="3"/>
      <charset val="128"/>
    </font>
    <font>
      <b/>
      <sz val="9"/>
      <color indexed="10"/>
      <name val="ＭＳ Ｐゴシック"/>
      <family val="3"/>
      <charset val="128"/>
    </font>
    <font>
      <b/>
      <sz val="9"/>
      <color indexed="81"/>
      <name val="ＭＳ Ｐゴシック"/>
      <family val="3"/>
      <charset val="128"/>
    </font>
    <font>
      <i/>
      <sz val="9"/>
      <name val="ＭＳ Ｐ明朝"/>
      <family val="1"/>
      <charset val="128"/>
    </font>
    <font>
      <sz val="10"/>
      <color indexed="12"/>
      <name val="ＭＳ Ｐゴシック"/>
      <family val="3"/>
      <charset val="128"/>
    </font>
    <font>
      <b/>
      <sz val="10"/>
      <color theme="1" tint="0.249977111117893"/>
      <name val="ＭＳ Ｐゴシック"/>
      <family val="3"/>
      <charset val="128"/>
    </font>
    <font>
      <b/>
      <sz val="10"/>
      <color indexed="10"/>
      <name val="Arial"/>
      <family val="2"/>
    </font>
    <font>
      <b/>
      <strike/>
      <sz val="11"/>
      <name val="ＭＳ Ｐゴシック"/>
      <family val="3"/>
      <charset val="128"/>
    </font>
    <font>
      <sz val="10.5"/>
      <name val="ＭＳ Ｐゴシック"/>
      <family val="3"/>
      <charset val="128"/>
    </font>
    <font>
      <sz val="50"/>
      <name val="ＭＳ Ｐゴシック"/>
      <family val="3"/>
      <charset val="128"/>
    </font>
    <font>
      <sz val="24"/>
      <name val="ＭＳ Ｐゴシック"/>
      <family val="3"/>
      <charset val="128"/>
    </font>
    <font>
      <sz val="14"/>
      <name val="HGP創英角ｺﾞｼｯｸUB"/>
      <family val="3"/>
      <charset val="128"/>
    </font>
    <font>
      <b/>
      <sz val="20"/>
      <name val="ＭＳ Ｐゴシック"/>
      <family val="3"/>
      <charset val="128"/>
    </font>
    <font>
      <sz val="6"/>
      <name val="ＭＳ 明朝"/>
      <family val="1"/>
      <charset val="128"/>
    </font>
    <font>
      <sz val="12"/>
      <color indexed="9"/>
      <name val="ＭＳ Ｐゴシック"/>
      <family val="3"/>
      <charset val="128"/>
    </font>
    <font>
      <sz val="14"/>
      <color indexed="9"/>
      <name val="ＭＳ Ｐゴシック"/>
      <family val="3"/>
      <charset val="128"/>
    </font>
    <font>
      <vertAlign val="subscript"/>
      <sz val="9"/>
      <name val="ＭＳ Ｐゴシック"/>
      <family val="3"/>
      <charset val="128"/>
    </font>
    <font>
      <sz val="9"/>
      <color rgb="FF000000"/>
      <name val="MS UI Gothic"/>
      <family val="3"/>
      <charset val="128"/>
    </font>
    <font>
      <sz val="18"/>
      <name val="ＭＳ Ｐゴシック"/>
      <family val="3"/>
      <charset val="128"/>
    </font>
    <font>
      <sz val="10"/>
      <name val="HGP創英角ｺﾞｼｯｸUB"/>
      <family val="3"/>
      <charset val="128"/>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6"/>
        <bgColor indexed="64"/>
      </patternFill>
    </fill>
    <fill>
      <patternFill patternType="solid">
        <fgColor indexed="17"/>
        <bgColor indexed="64"/>
      </patternFill>
    </fill>
    <fill>
      <patternFill patternType="solid">
        <fgColor indexed="22"/>
        <bgColor indexed="64"/>
      </patternFill>
    </fill>
    <fill>
      <patternFill patternType="solid">
        <fgColor indexed="41"/>
        <bgColor indexed="64"/>
      </patternFill>
    </fill>
    <fill>
      <patternFill patternType="solid">
        <fgColor indexed="63"/>
        <bgColor indexed="64"/>
      </patternFill>
    </fill>
    <fill>
      <patternFill patternType="solid">
        <fgColor indexed="47"/>
        <bgColor indexed="64"/>
      </patternFill>
    </fill>
    <fill>
      <patternFill patternType="solid">
        <fgColor indexed="23"/>
        <bgColor indexed="64"/>
      </patternFill>
    </fill>
    <fill>
      <patternFill patternType="lightTrellis">
        <bgColor indexed="26"/>
      </patternFill>
    </fill>
    <fill>
      <patternFill patternType="solid">
        <fgColor indexed="45"/>
        <bgColor indexed="64"/>
      </patternFill>
    </fill>
    <fill>
      <patternFill patternType="solid">
        <fgColor indexed="46"/>
        <bgColor indexed="64"/>
      </patternFill>
    </fill>
    <fill>
      <patternFill patternType="lightTrellis"/>
    </fill>
    <fill>
      <patternFill patternType="solid">
        <fgColor indexed="8"/>
        <bgColor indexed="64"/>
      </patternFill>
    </fill>
    <fill>
      <patternFill patternType="solid">
        <fgColor indexed="40"/>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27"/>
        <bgColor indexed="64"/>
      </patternFill>
    </fill>
    <fill>
      <patternFill patternType="solid">
        <fgColor indexed="10"/>
        <bgColor indexed="64"/>
      </patternFill>
    </fill>
    <fill>
      <patternFill patternType="solid">
        <fgColor indexed="13"/>
        <bgColor indexed="64"/>
      </patternFill>
    </fill>
    <fill>
      <patternFill patternType="lightTrellis">
        <bgColor indexed="9"/>
      </patternFill>
    </fill>
    <fill>
      <patternFill patternType="solid">
        <fgColor rgb="FFFFFF00"/>
        <bgColor indexed="64"/>
      </patternFill>
    </fill>
    <fill>
      <patternFill patternType="solid">
        <fgColor theme="0" tint="-0.499984740745262"/>
        <bgColor indexed="64"/>
      </patternFill>
    </fill>
    <fill>
      <patternFill patternType="solid">
        <fgColor indexed="14"/>
        <bgColor indexed="64"/>
      </patternFill>
    </fill>
    <fill>
      <patternFill patternType="solid">
        <fgColor rgb="FFCCFFFF"/>
        <bgColor indexed="64"/>
      </patternFill>
    </fill>
    <fill>
      <patternFill patternType="solid">
        <fgColor rgb="FFFFFFCC"/>
        <bgColor indexed="64"/>
      </patternFill>
    </fill>
    <fill>
      <patternFill patternType="solid">
        <fgColor indexed="51"/>
        <bgColor indexed="64"/>
      </patternFill>
    </fill>
    <fill>
      <patternFill patternType="solid">
        <fgColor indexed="50"/>
        <bgColor indexed="64"/>
      </patternFill>
    </fill>
    <fill>
      <patternFill patternType="solid">
        <fgColor theme="0" tint="-0.14999847407452621"/>
        <bgColor indexed="64"/>
      </patternFill>
    </fill>
    <fill>
      <patternFill patternType="solid">
        <fgColor rgb="FF99CC00"/>
        <bgColor indexed="64"/>
      </patternFill>
    </fill>
    <fill>
      <patternFill patternType="solid">
        <fgColor theme="0"/>
        <bgColor indexed="64"/>
      </patternFill>
    </fill>
    <fill>
      <patternFill patternType="solid">
        <fgColor rgb="FF00CCFF"/>
        <bgColor indexed="64"/>
      </patternFill>
    </fill>
  </fills>
  <borders count="25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medium">
        <color indexed="17"/>
      </left>
      <right style="thin">
        <color indexed="64"/>
      </right>
      <top/>
      <bottom/>
      <diagonal/>
    </border>
    <border>
      <left style="thin">
        <color indexed="64"/>
      </left>
      <right/>
      <top/>
      <bottom/>
      <diagonal/>
    </border>
    <border>
      <left/>
      <right style="medium">
        <color indexed="17"/>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style="medium">
        <color indexed="17"/>
      </left>
      <right/>
      <top style="thin">
        <color indexed="17"/>
      </top>
      <bottom/>
      <diagonal/>
    </border>
    <border>
      <left/>
      <right/>
      <top style="thin">
        <color indexed="17"/>
      </top>
      <bottom/>
      <diagonal/>
    </border>
    <border>
      <left/>
      <right style="medium">
        <color indexed="17"/>
      </right>
      <top style="thin">
        <color indexed="17"/>
      </top>
      <bottom/>
      <diagonal/>
    </border>
    <border>
      <left style="medium">
        <color indexed="17"/>
      </left>
      <right/>
      <top/>
      <bottom style="thin">
        <color indexed="17"/>
      </bottom>
      <diagonal/>
    </border>
    <border>
      <left/>
      <right/>
      <top/>
      <bottom style="thin">
        <color indexed="17"/>
      </bottom>
      <diagonal/>
    </border>
    <border>
      <left/>
      <right style="medium">
        <color indexed="17"/>
      </right>
      <top/>
      <bottom style="thin">
        <color indexed="17"/>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hair">
        <color indexed="64"/>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17"/>
      </bottom>
      <diagonal/>
    </border>
    <border>
      <left style="medium">
        <color indexed="17"/>
      </left>
      <right style="medium">
        <color indexed="17"/>
      </right>
      <top style="medium">
        <color indexed="17"/>
      </top>
      <bottom/>
      <diagonal/>
    </border>
    <border>
      <left/>
      <right/>
      <top style="hair">
        <color indexed="64"/>
      </top>
      <bottom style="hair">
        <color indexed="64"/>
      </bottom>
      <diagonal/>
    </border>
    <border>
      <left/>
      <right style="medium">
        <color indexed="17"/>
      </right>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style="thin">
        <color indexed="64"/>
      </top>
      <bottom style="medium">
        <color indexed="23"/>
      </bottom>
      <diagonal/>
    </border>
    <border>
      <left style="medium">
        <color indexed="64"/>
      </left>
      <right/>
      <top/>
      <bottom/>
      <diagonal/>
    </border>
    <border>
      <left style="dashed">
        <color indexed="64"/>
      </left>
      <right style="medium">
        <color indexed="64"/>
      </right>
      <top style="thin">
        <color indexed="64"/>
      </top>
      <bottom/>
      <diagonal/>
    </border>
    <border>
      <left style="medium">
        <color indexed="64"/>
      </left>
      <right/>
      <top/>
      <bottom style="medium">
        <color indexed="23"/>
      </bottom>
      <diagonal/>
    </border>
    <border>
      <left/>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top style="medium">
        <color indexed="23"/>
      </top>
      <bottom style="medium">
        <color indexed="23"/>
      </bottom>
      <diagonal/>
    </border>
    <border>
      <left style="thin">
        <color indexed="64"/>
      </left>
      <right style="thin">
        <color indexed="64"/>
      </right>
      <top style="medium">
        <color indexed="23"/>
      </top>
      <bottom style="medium">
        <color indexed="23"/>
      </bottom>
      <diagonal/>
    </border>
    <border>
      <left style="dashed">
        <color indexed="64"/>
      </left>
      <right style="medium">
        <color indexed="64"/>
      </right>
      <top style="medium">
        <color indexed="23"/>
      </top>
      <bottom style="medium">
        <color indexed="23"/>
      </bottom>
      <diagonal/>
    </border>
    <border>
      <left/>
      <right style="medium">
        <color indexed="64"/>
      </right>
      <top style="medium">
        <color indexed="23"/>
      </top>
      <bottom style="medium">
        <color indexed="23"/>
      </bottom>
      <diagonal/>
    </border>
    <border>
      <left/>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dashed">
        <color indexed="64"/>
      </left>
      <right style="medium">
        <color indexed="64"/>
      </right>
      <top style="medium">
        <color indexed="23"/>
      </top>
      <bottom/>
      <diagonal/>
    </border>
    <border>
      <left/>
      <right style="medium">
        <color indexed="64"/>
      </right>
      <top style="medium">
        <color indexed="23"/>
      </top>
      <bottom/>
      <diagonal/>
    </border>
    <border>
      <left style="medium">
        <color indexed="64"/>
      </left>
      <right/>
      <top style="medium">
        <color indexed="23"/>
      </top>
      <bottom/>
      <diagonal/>
    </border>
    <border>
      <left style="medium">
        <color indexed="64"/>
      </left>
      <right/>
      <top style="thin">
        <color indexed="64"/>
      </top>
      <bottom/>
      <diagonal/>
    </border>
    <border>
      <left style="medium">
        <color indexed="64"/>
      </left>
      <right/>
      <top/>
      <bottom style="medium">
        <color indexed="64"/>
      </bottom>
      <diagonal/>
    </border>
    <border>
      <left style="dashed">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dashed">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dashed">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style="thin">
        <color indexed="64"/>
      </left>
      <right style="thin">
        <color indexed="64"/>
      </right>
      <top style="medium">
        <color indexed="64"/>
      </top>
      <bottom style="medium">
        <color indexed="23"/>
      </bottom>
      <diagonal/>
    </border>
    <border>
      <left style="dashed">
        <color indexed="64"/>
      </left>
      <right style="medium">
        <color indexed="64"/>
      </right>
      <top/>
      <bottom style="medium">
        <color indexed="23"/>
      </bottom>
      <diagonal/>
    </border>
    <border>
      <left/>
      <right/>
      <top/>
      <bottom style="medium">
        <color indexed="23"/>
      </bottom>
      <diagonal/>
    </border>
    <border>
      <left/>
      <right style="medium">
        <color indexed="64"/>
      </right>
      <top style="medium">
        <color indexed="64"/>
      </top>
      <bottom style="medium">
        <color indexed="23"/>
      </bottom>
      <diagonal/>
    </border>
    <border>
      <left style="dashed">
        <color indexed="64"/>
      </left>
      <right style="medium">
        <color indexed="64"/>
      </right>
      <top style="medium">
        <color indexed="23"/>
      </top>
      <bottom style="thin">
        <color indexed="64"/>
      </bottom>
      <diagonal/>
    </border>
    <border>
      <left/>
      <right style="medium">
        <color indexed="64"/>
      </right>
      <top style="medium">
        <color indexed="23"/>
      </top>
      <bottom style="thin">
        <color indexed="64"/>
      </bottom>
      <diagonal/>
    </border>
    <border>
      <left style="medium">
        <color indexed="64"/>
      </left>
      <right/>
      <top style="medium">
        <color indexed="23"/>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top style="medium">
        <color indexed="23"/>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23"/>
      </top>
      <bottom style="medium">
        <color indexed="23"/>
      </bottom>
      <diagonal/>
    </border>
    <border>
      <left/>
      <right style="thin">
        <color indexed="64"/>
      </right>
      <top style="medium">
        <color indexed="23"/>
      </top>
      <bottom style="medium">
        <color indexed="23"/>
      </bottom>
      <diagonal/>
    </border>
    <border>
      <left style="dashed">
        <color indexed="64"/>
      </left>
      <right style="medium">
        <color indexed="64"/>
      </right>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medium">
        <color indexed="64"/>
      </bottom>
      <diagonal/>
    </border>
    <border>
      <left style="thin">
        <color indexed="64"/>
      </left>
      <right/>
      <top/>
      <bottom style="medium">
        <color indexed="23"/>
      </bottom>
      <diagonal/>
    </border>
    <border>
      <left style="thin">
        <color indexed="64"/>
      </left>
      <right style="thin">
        <color indexed="64"/>
      </right>
      <top/>
      <bottom style="medium">
        <color indexed="23"/>
      </bottom>
      <diagonal/>
    </border>
    <border>
      <left style="thin">
        <color indexed="64"/>
      </left>
      <right style="dashed">
        <color indexed="64"/>
      </right>
      <top style="medium">
        <color indexed="23"/>
      </top>
      <bottom style="medium">
        <color indexed="23"/>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style="thin">
        <color indexed="64"/>
      </bottom>
      <diagonal/>
    </border>
    <border>
      <left style="thin">
        <color indexed="64"/>
      </left>
      <right style="dashed">
        <color indexed="64"/>
      </right>
      <top/>
      <bottom/>
      <diagonal/>
    </border>
    <border>
      <left style="thin">
        <color indexed="64"/>
      </left>
      <right style="dashed">
        <color indexed="64"/>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style="medium">
        <color indexed="64"/>
      </top>
      <bottom/>
      <diagonal/>
    </border>
    <border>
      <left style="thin">
        <color indexed="64"/>
      </left>
      <right/>
      <top style="medium">
        <color indexed="64"/>
      </top>
      <bottom style="medium">
        <color indexed="23"/>
      </bottom>
      <diagonal/>
    </border>
    <border>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64"/>
      </bottom>
      <diagonal/>
    </border>
    <border>
      <left style="thin">
        <color indexed="64"/>
      </left>
      <right style="dashed">
        <color indexed="64"/>
      </right>
      <top style="medium">
        <color indexed="23"/>
      </top>
      <bottom/>
      <diagonal/>
    </border>
    <border>
      <left/>
      <right style="thin">
        <color indexed="64"/>
      </right>
      <top/>
      <bottom style="medium">
        <color indexed="64"/>
      </bottom>
      <diagonal/>
    </border>
    <border>
      <left style="medium">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thin">
        <color indexed="64"/>
      </left>
      <right style="dashed">
        <color indexed="64"/>
      </right>
      <top style="medium">
        <color indexed="64"/>
      </top>
      <bottom style="thin">
        <color indexed="64"/>
      </bottom>
      <diagonal/>
    </border>
    <border>
      <left style="medium">
        <color indexed="9"/>
      </left>
      <right/>
      <top style="medium">
        <color indexed="64"/>
      </top>
      <bottom style="medium">
        <color indexed="64"/>
      </bottom>
      <diagonal/>
    </border>
    <border>
      <left style="hair">
        <color indexed="64"/>
      </left>
      <right/>
      <top/>
      <bottom style="thin">
        <color indexed="64"/>
      </bottom>
      <diagonal/>
    </border>
    <border>
      <left style="hair">
        <color indexed="64"/>
      </left>
      <right/>
      <top/>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9"/>
      </right>
      <top style="medium">
        <color indexed="64"/>
      </top>
      <bottom style="medium">
        <color indexed="64"/>
      </bottom>
      <diagonal/>
    </border>
    <border>
      <left style="medium">
        <color indexed="9"/>
      </left>
      <right/>
      <top style="medium">
        <color indexed="64"/>
      </top>
      <bottom/>
      <diagonal/>
    </border>
    <border>
      <left style="hair">
        <color indexed="64"/>
      </left>
      <right/>
      <top style="medium">
        <color indexed="64"/>
      </top>
      <bottom style="thin">
        <color indexed="64"/>
      </bottom>
      <diagonal/>
    </border>
    <border>
      <left style="hair">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right style="medium">
        <color indexed="64"/>
      </right>
      <top style="hair">
        <color indexed="64"/>
      </top>
      <bottom/>
      <diagonal/>
    </border>
    <border>
      <left/>
      <right/>
      <top style="hair">
        <color indexed="64"/>
      </top>
      <bottom/>
      <diagonal/>
    </border>
    <border>
      <left/>
      <right/>
      <top/>
      <bottom style="medium">
        <color indexed="17"/>
      </bottom>
      <diagonal/>
    </border>
    <border>
      <left/>
      <right style="medium">
        <color indexed="17"/>
      </right>
      <top/>
      <bottom style="medium">
        <color indexed="17"/>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hair">
        <color indexed="64"/>
      </top>
      <bottom/>
      <diagonal/>
    </border>
    <border>
      <left style="dashed">
        <color indexed="64"/>
      </left>
      <right style="medium">
        <color indexed="64"/>
      </right>
      <top style="thin">
        <color indexed="64"/>
      </top>
      <bottom style="thin">
        <color indexed="64"/>
      </bottom>
      <diagonal/>
    </border>
    <border>
      <left/>
      <right style="medium">
        <color indexed="17"/>
      </right>
      <top style="thin">
        <color indexed="64"/>
      </top>
      <bottom/>
      <diagonal/>
    </border>
    <border>
      <left style="thin">
        <color indexed="64"/>
      </left>
      <right/>
      <top/>
      <bottom style="medium">
        <color indexed="17"/>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medium">
        <color indexed="23"/>
      </top>
      <bottom style="thin">
        <color indexed="64"/>
      </bottom>
      <diagonal/>
    </border>
    <border>
      <left/>
      <right style="thin">
        <color indexed="64"/>
      </right>
      <top/>
      <bottom style="medium">
        <color indexed="23"/>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thin">
        <color indexed="64"/>
      </right>
      <top style="thin">
        <color indexed="64"/>
      </top>
      <bottom/>
      <diagonal/>
    </border>
    <border>
      <left style="thin">
        <color indexed="64"/>
      </left>
      <right style="dashed">
        <color indexed="64"/>
      </right>
      <top/>
      <bottom style="medium">
        <color indexed="23"/>
      </bottom>
      <diagonal/>
    </border>
    <border>
      <left style="medium">
        <color indexed="64"/>
      </left>
      <right style="medium">
        <color indexed="64"/>
      </right>
      <top/>
      <bottom style="medium">
        <color indexed="23"/>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ashed">
        <color indexed="64"/>
      </right>
      <top/>
      <bottom style="medium">
        <color indexed="64"/>
      </bottom>
      <diagonal/>
    </border>
    <border>
      <left/>
      <right style="medium">
        <color indexed="17"/>
      </right>
      <top style="thin">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style="thin">
        <color indexed="64"/>
      </top>
      <bottom/>
      <diagonal/>
    </border>
    <border>
      <left style="medium">
        <color indexed="10"/>
      </left>
      <right/>
      <top/>
      <bottom/>
      <diagonal/>
    </border>
    <border>
      <left/>
      <right style="medium">
        <color rgb="FFFF0000"/>
      </right>
      <top/>
      <bottom/>
      <diagonal/>
    </border>
    <border>
      <left style="medium">
        <color indexed="10"/>
      </left>
      <right style="medium">
        <color indexed="10"/>
      </right>
      <top/>
      <bottom style="medium">
        <color indexed="10"/>
      </bottom>
      <diagonal/>
    </border>
    <border>
      <left/>
      <right/>
      <top style="medium">
        <color indexed="10"/>
      </top>
      <bottom style="medium">
        <color indexed="64"/>
      </bottom>
      <diagonal/>
    </border>
    <border>
      <left style="medium">
        <color rgb="FF00B0F0"/>
      </left>
      <right/>
      <top style="thin">
        <color rgb="FF00B0F0"/>
      </top>
      <bottom/>
      <diagonal/>
    </border>
    <border>
      <left style="medium">
        <color rgb="FF00B0F0"/>
      </left>
      <right style="thin">
        <color indexed="64"/>
      </right>
      <top style="medium">
        <color indexed="64"/>
      </top>
      <bottom/>
      <diagonal/>
    </border>
    <border>
      <left style="medium">
        <color rgb="FF00B0F0"/>
      </left>
      <right/>
      <top style="medium">
        <color rgb="FF00B0F0"/>
      </top>
      <bottom/>
      <diagonal/>
    </border>
    <border>
      <left style="medium">
        <color rgb="FF00B0F0"/>
      </left>
      <right style="thin">
        <color indexed="64"/>
      </right>
      <top/>
      <bottom style="medium">
        <color indexed="64"/>
      </bottom>
      <diagonal/>
    </border>
    <border>
      <left/>
      <right/>
      <top style="medium">
        <color rgb="FF00B0F0"/>
      </top>
      <bottom/>
      <diagonal/>
    </border>
    <border>
      <left style="medium">
        <color indexed="10"/>
      </left>
      <right style="medium">
        <color indexed="10"/>
      </right>
      <top style="medium">
        <color indexed="10"/>
      </top>
      <bottom style="medium">
        <color indexed="10"/>
      </bottom>
      <diagonal/>
    </border>
    <border>
      <left/>
      <right style="medium">
        <color indexed="10"/>
      </right>
      <top/>
      <bottom/>
      <diagonal/>
    </border>
    <border>
      <left/>
      <right style="medium">
        <color indexed="10"/>
      </right>
      <top/>
      <bottom style="medium">
        <color indexed="64"/>
      </bottom>
      <diagonal/>
    </border>
    <border>
      <left/>
      <right style="medium">
        <color rgb="FFFF0000"/>
      </right>
      <top style="medium">
        <color indexed="64"/>
      </top>
      <bottom/>
      <diagonal/>
    </border>
    <border>
      <left style="medium">
        <color rgb="FFFF0000"/>
      </left>
      <right/>
      <top/>
      <bottom/>
      <diagonal/>
    </border>
    <border>
      <left/>
      <right style="medium">
        <color rgb="FF00B0F0"/>
      </right>
      <top/>
      <bottom/>
      <diagonal/>
    </border>
    <border>
      <left style="medium">
        <color rgb="FF00B0F0"/>
      </left>
      <right/>
      <top style="medium">
        <color rgb="FF00B0F0"/>
      </top>
      <bottom style="medium">
        <color rgb="FF00B0F0"/>
      </bottom>
      <diagonal/>
    </border>
    <border>
      <left style="medium">
        <color rgb="FF00B0F0"/>
      </left>
      <right style="medium">
        <color rgb="FF00B0F0"/>
      </right>
      <top style="medium">
        <color rgb="FF00B0F0"/>
      </top>
      <bottom style="medium">
        <color rgb="FF00B0F0"/>
      </bottom>
      <diagonal/>
    </border>
    <border>
      <left style="medium">
        <color rgb="FF00B0F0"/>
      </left>
      <right style="thin">
        <color indexed="64"/>
      </right>
      <top/>
      <bottom/>
      <diagonal/>
    </border>
    <border>
      <left style="medium">
        <color rgb="FF00B0F0"/>
      </left>
      <right/>
      <top/>
      <bottom/>
      <diagonal/>
    </border>
  </borders>
  <cellStyleXfs count="49">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Protection="0">
      <alignment horizontal="left" vertical="center" indent="1"/>
      <protection locked="0"/>
    </xf>
    <xf numFmtId="0" fontId="6" fillId="22" borderId="2" applyNumberFormat="0" applyFont="0" applyAlignment="0" applyProtection="0">
      <alignment vertical="center"/>
    </xf>
    <xf numFmtId="0" fontId="8" fillId="0" borderId="3" applyNumberFormat="0" applyFill="0" applyAlignment="0" applyProtection="0">
      <alignment vertical="center"/>
    </xf>
    <xf numFmtId="0" fontId="9" fillId="3" borderId="0" applyNumberFormat="0" applyBorder="0" applyAlignment="0" applyProtection="0">
      <alignment vertical="center"/>
    </xf>
    <xf numFmtId="0" fontId="10" fillId="23" borderId="4" applyNumberFormat="0" applyAlignment="0" applyProtection="0">
      <alignment vertical="center"/>
    </xf>
    <xf numFmtId="0" fontId="11" fillId="0" borderId="0" applyNumberFormat="0" applyFill="0" applyBorder="0" applyAlignment="0" applyProtection="0">
      <alignment vertical="center"/>
    </xf>
    <xf numFmtId="38" fontId="6" fillId="0" borderId="0" applyFont="0" applyFill="0" applyBorder="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4" fillId="0" borderId="0" applyNumberFormat="0" applyFill="0" applyBorder="0" applyAlignment="0" applyProtection="0">
      <alignment vertical="center"/>
    </xf>
    <xf numFmtId="0" fontId="15" fillId="0" borderId="8" applyNumberFormat="0" applyFill="0" applyAlignment="0" applyProtection="0">
      <alignment vertical="center"/>
    </xf>
    <xf numFmtId="0" fontId="16" fillId="23" borderId="9" applyNumberFormat="0" applyAlignment="0" applyProtection="0">
      <alignment vertical="center"/>
    </xf>
    <xf numFmtId="0" fontId="17" fillId="0" borderId="0" applyNumberFormat="0" applyFill="0" applyBorder="0" applyAlignment="0" applyProtection="0">
      <alignment vertical="center"/>
    </xf>
    <xf numFmtId="0" fontId="18" fillId="7" borderId="4" applyNumberFormat="0" applyAlignment="0" applyProtection="0">
      <alignment vertical="center"/>
    </xf>
    <xf numFmtId="0" fontId="6" fillId="0" borderId="0"/>
    <xf numFmtId="0" fontId="6" fillId="0" borderId="0"/>
    <xf numFmtId="0" fontId="7" fillId="0" borderId="0" applyNumberFormat="0" applyFill="0" applyBorder="0" applyProtection="0">
      <alignment horizontal="left" vertical="center" indent="1"/>
      <protection locked="0"/>
    </xf>
    <xf numFmtId="0" fontId="19" fillId="4" borderId="0" applyNumberFormat="0" applyBorder="0" applyAlignment="0" applyProtection="0">
      <alignment vertical="center"/>
    </xf>
    <xf numFmtId="0" fontId="27" fillId="0" borderId="0">
      <alignment vertical="center"/>
    </xf>
  </cellStyleXfs>
  <cellXfs count="3202">
    <xf numFmtId="0" fontId="0" fillId="0" borderId="0" xfId="0">
      <alignment vertical="center"/>
    </xf>
    <xf numFmtId="0" fontId="0" fillId="0" borderId="10" xfId="0" applyBorder="1">
      <alignment vertical="center"/>
    </xf>
    <xf numFmtId="0" fontId="6" fillId="24" borderId="0" xfId="0" applyFont="1" applyFill="1" applyProtection="1">
      <alignment vertical="center"/>
    </xf>
    <xf numFmtId="0" fontId="11" fillId="24" borderId="0" xfId="0" applyFont="1" applyFill="1" applyAlignment="1" applyProtection="1">
      <alignment vertical="center"/>
    </xf>
    <xf numFmtId="0" fontId="6" fillId="0" borderId="0" xfId="0" applyFont="1" applyFill="1" applyBorder="1" applyProtection="1">
      <alignment vertical="center"/>
    </xf>
    <xf numFmtId="0" fontId="6" fillId="0" borderId="0" xfId="0" applyFont="1" applyFill="1" applyBorder="1" applyAlignment="1" applyProtection="1">
      <alignment horizontal="center"/>
    </xf>
    <xf numFmtId="0" fontId="6" fillId="0" borderId="0" xfId="0" applyFont="1" applyFill="1" applyProtection="1">
      <alignment vertical="center"/>
    </xf>
    <xf numFmtId="0" fontId="22" fillId="0" borderId="0" xfId="0" applyFont="1" applyFill="1" applyBorder="1" applyAlignment="1" applyProtection="1">
      <alignment horizontal="left" vertical="top"/>
      <protection hidden="1"/>
    </xf>
    <xf numFmtId="0" fontId="22" fillId="0" borderId="0" xfId="0" applyFont="1" applyFill="1" applyBorder="1" applyAlignment="1" applyProtection="1">
      <alignment vertical="top"/>
      <protection hidden="1"/>
    </xf>
    <xf numFmtId="0" fontId="6" fillId="0" borderId="0" xfId="0" applyFont="1" applyFill="1" applyBorder="1" applyAlignment="1" applyProtection="1">
      <alignment vertical="center"/>
    </xf>
    <xf numFmtId="0" fontId="6" fillId="0" borderId="0" xfId="0" applyFont="1" applyFill="1" applyBorder="1" applyAlignment="1" applyProtection="1">
      <alignment horizontal="left" vertical="center"/>
    </xf>
    <xf numFmtId="0" fontId="6" fillId="0" borderId="0" xfId="0" applyFont="1" applyFill="1" applyAlignment="1" applyProtection="1">
      <alignment vertical="center"/>
    </xf>
    <xf numFmtId="0" fontId="23" fillId="25" borderId="0" xfId="0" applyFont="1" applyFill="1" applyBorder="1" applyAlignment="1" applyProtection="1">
      <alignment horizontal="centerContinuous" vertical="center"/>
      <protection hidden="1"/>
    </xf>
    <xf numFmtId="0" fontId="24" fillId="25" borderId="0" xfId="0" applyFont="1" applyFill="1" applyBorder="1" applyAlignment="1" applyProtection="1">
      <alignment horizontal="centerContinuous" vertical="center"/>
      <protection hidden="1"/>
    </xf>
    <xf numFmtId="0" fontId="6" fillId="0" borderId="0" xfId="0" applyFont="1" applyFill="1" applyBorder="1" applyAlignment="1" applyProtection="1">
      <alignment vertical="center"/>
      <protection hidden="1"/>
    </xf>
    <xf numFmtId="0" fontId="0" fillId="24" borderId="0" xfId="0" applyFill="1" applyAlignment="1" applyProtection="1">
      <alignment vertical="center"/>
    </xf>
    <xf numFmtId="0" fontId="25" fillId="24" borderId="0" xfId="0" applyFont="1" applyFill="1" applyBorder="1" applyAlignment="1">
      <alignment horizontal="left" vertical="center"/>
    </xf>
    <xf numFmtId="0" fontId="26" fillId="24" borderId="0" xfId="0" applyFont="1" applyFill="1" applyBorder="1" applyAlignment="1" applyProtection="1">
      <alignment vertical="center"/>
    </xf>
    <xf numFmtId="0" fontId="6" fillId="24" borderId="0" xfId="0" applyFont="1" applyFill="1" applyAlignment="1" applyProtection="1">
      <alignment vertical="center"/>
    </xf>
    <xf numFmtId="0" fontId="0" fillId="24" borderId="0" xfId="0" applyFill="1" applyAlignment="1" applyProtection="1">
      <alignment vertical="center"/>
      <protection hidden="1"/>
    </xf>
    <xf numFmtId="0" fontId="0" fillId="0" borderId="0" xfId="0" applyFill="1" applyBorder="1" applyAlignment="1" applyProtection="1">
      <alignment vertical="center"/>
      <protection hidden="1"/>
    </xf>
    <xf numFmtId="0" fontId="0" fillId="0" borderId="0" xfId="0" applyFill="1" applyProtection="1">
      <alignment vertical="center"/>
    </xf>
    <xf numFmtId="0" fontId="27" fillId="0" borderId="0" xfId="0" applyFont="1" applyFill="1" applyAlignment="1" applyProtection="1">
      <alignment vertical="center"/>
    </xf>
    <xf numFmtId="0" fontId="0" fillId="0" borderId="0" xfId="0" applyFill="1" applyAlignment="1" applyProtection="1">
      <alignment vertical="center"/>
    </xf>
    <xf numFmtId="0" fontId="28" fillId="24" borderId="0" xfId="0" applyFont="1" applyFill="1" applyBorder="1" applyAlignment="1">
      <alignment horizontal="left" vertical="center"/>
    </xf>
    <xf numFmtId="0" fontId="26" fillId="24" borderId="0" xfId="0" applyFont="1" applyFill="1" applyBorder="1" applyAlignment="1">
      <alignment vertical="center"/>
    </xf>
    <xf numFmtId="0" fontId="22" fillId="0" borderId="11" xfId="0" applyFont="1" applyBorder="1" applyAlignment="1" applyProtection="1">
      <alignment vertical="center"/>
      <protection hidden="1"/>
    </xf>
    <xf numFmtId="0" fontId="0" fillId="0" borderId="12" xfId="0" applyFill="1" applyBorder="1" applyAlignment="1" applyProtection="1">
      <alignment vertical="center"/>
      <protection hidden="1"/>
    </xf>
    <xf numFmtId="0" fontId="0" fillId="0" borderId="13" xfId="0" applyFill="1" applyBorder="1" applyAlignment="1" applyProtection="1">
      <alignment vertical="center"/>
      <protection hidden="1"/>
    </xf>
    <xf numFmtId="0" fontId="0" fillId="0" borderId="0" xfId="0" applyFill="1" applyBorder="1" applyAlignment="1" applyProtection="1">
      <alignment vertical="center"/>
    </xf>
    <xf numFmtId="0" fontId="0" fillId="0" borderId="0" xfId="0" applyFill="1" applyBorder="1" applyProtection="1">
      <alignment vertical="center"/>
    </xf>
    <xf numFmtId="0" fontId="29" fillId="25" borderId="14" xfId="0" applyFont="1" applyFill="1" applyBorder="1" applyAlignment="1" applyProtection="1">
      <alignment vertical="center"/>
      <protection hidden="1"/>
    </xf>
    <xf numFmtId="0" fontId="31" fillId="25" borderId="15" xfId="0" applyFont="1" applyFill="1" applyBorder="1" applyAlignment="1" applyProtection="1">
      <alignment vertical="center"/>
      <protection hidden="1"/>
    </xf>
    <xf numFmtId="0" fontId="31" fillId="25" borderId="16" xfId="0" applyFont="1" applyFill="1" applyBorder="1" applyAlignment="1" applyProtection="1">
      <alignment vertical="center"/>
      <protection hidden="1"/>
    </xf>
    <xf numFmtId="0" fontId="0" fillId="24" borderId="0" xfId="0" applyFill="1" applyProtection="1">
      <alignment vertical="center"/>
      <protection hidden="1"/>
    </xf>
    <xf numFmtId="0" fontId="27" fillId="0" borderId="0" xfId="0" applyFont="1" applyFill="1" applyBorder="1" applyAlignment="1" applyProtection="1">
      <alignment vertical="center"/>
    </xf>
    <xf numFmtId="0" fontId="0" fillId="24" borderId="0" xfId="0" applyFill="1" applyProtection="1">
      <alignment vertical="center"/>
    </xf>
    <xf numFmtId="49" fontId="27" fillId="24" borderId="17" xfId="0" applyNumberFormat="1" applyFont="1" applyFill="1" applyBorder="1" applyAlignment="1" applyProtection="1">
      <protection hidden="1"/>
    </xf>
    <xf numFmtId="0" fontId="32" fillId="24" borderId="0" xfId="0" applyFont="1" applyFill="1">
      <alignment vertical="center"/>
    </xf>
    <xf numFmtId="0" fontId="0" fillId="24" borderId="0" xfId="0" applyFill="1">
      <alignment vertical="center"/>
    </xf>
    <xf numFmtId="0" fontId="0" fillId="24" borderId="17" xfId="0" applyFill="1" applyBorder="1">
      <alignment vertical="center"/>
    </xf>
    <xf numFmtId="178" fontId="32" fillId="24" borderId="0" xfId="0" applyNumberFormat="1" applyFont="1" applyFill="1" applyBorder="1" applyAlignment="1" applyProtection="1">
      <alignment vertical="center"/>
    </xf>
    <xf numFmtId="178" fontId="6" fillId="24" borderId="18" xfId="0" applyNumberFormat="1" applyFont="1" applyFill="1" applyBorder="1" applyAlignment="1" applyProtection="1">
      <alignment horizontal="right" vertical="center"/>
    </xf>
    <xf numFmtId="3" fontId="26" fillId="24" borderId="0" xfId="0" applyNumberFormat="1" applyFont="1" applyFill="1" applyBorder="1" applyAlignment="1" applyProtection="1">
      <alignment horizontal="left" vertical="center"/>
      <protection hidden="1"/>
    </xf>
    <xf numFmtId="49" fontId="27" fillId="24" borderId="0" xfId="0" applyNumberFormat="1" applyFont="1" applyFill="1" applyBorder="1" applyAlignment="1" applyProtection="1">
      <protection hidden="1"/>
    </xf>
    <xf numFmtId="0" fontId="27" fillId="0" borderId="0" xfId="0" applyFont="1" applyFill="1" applyBorder="1" applyProtection="1">
      <alignment vertical="center"/>
    </xf>
    <xf numFmtId="0" fontId="0" fillId="24" borderId="0" xfId="0" applyFill="1" applyBorder="1">
      <alignment vertical="center"/>
    </xf>
    <xf numFmtId="0" fontId="27" fillId="24" borderId="17" xfId="0" applyFont="1" applyFill="1" applyBorder="1" applyAlignment="1" applyProtection="1">
      <protection hidden="1"/>
    </xf>
    <xf numFmtId="0" fontId="0" fillId="24" borderId="0" xfId="0" applyFill="1" applyBorder="1" applyAlignment="1" applyProtection="1">
      <alignment horizontal="left"/>
      <protection hidden="1"/>
    </xf>
    <xf numFmtId="0" fontId="33" fillId="24" borderId="0" xfId="0" applyFont="1" applyFill="1" applyBorder="1" applyAlignment="1" applyProtection="1">
      <alignment horizontal="center" vertical="center"/>
      <protection locked="0"/>
    </xf>
    <xf numFmtId="0" fontId="27" fillId="0" borderId="0" xfId="0" applyFont="1" applyFill="1" applyProtection="1">
      <alignment vertical="center"/>
    </xf>
    <xf numFmtId="3" fontId="30" fillId="24" borderId="0" xfId="0" applyNumberFormat="1" applyFont="1" applyFill="1" applyBorder="1" applyAlignment="1" applyProtection="1">
      <alignment horizontal="left" vertical="center"/>
      <protection hidden="1"/>
    </xf>
    <xf numFmtId="55" fontId="27" fillId="24" borderId="0" xfId="0" applyNumberFormat="1" applyFont="1" applyFill="1" applyBorder="1" applyAlignment="1" applyProtection="1">
      <alignment horizontal="right" vertical="center"/>
      <protection locked="0"/>
    </xf>
    <xf numFmtId="181" fontId="28" fillId="24" borderId="0" xfId="0" applyNumberFormat="1" applyFont="1" applyFill="1" applyBorder="1" applyAlignment="1" applyProtection="1">
      <alignment horizontal="left" vertical="center"/>
      <protection hidden="1"/>
    </xf>
    <xf numFmtId="0" fontId="27" fillId="24" borderId="17" xfId="0" applyFont="1" applyFill="1" applyBorder="1" applyAlignment="1" applyProtection="1">
      <alignment horizontal="right" vertical="top"/>
      <protection hidden="1"/>
    </xf>
    <xf numFmtId="0" fontId="34" fillId="24" borderId="18" xfId="0" applyFont="1" applyFill="1" applyBorder="1" applyAlignment="1" applyProtection="1">
      <alignment horizontal="left" vertical="center"/>
      <protection hidden="1"/>
    </xf>
    <xf numFmtId="0" fontId="27" fillId="24" borderId="19" xfId="0" applyFont="1" applyFill="1" applyBorder="1" applyAlignment="1" applyProtection="1">
      <protection hidden="1"/>
    </xf>
    <xf numFmtId="0" fontId="28" fillId="24" borderId="20" xfId="0" applyFont="1" applyFill="1" applyBorder="1" applyAlignment="1" applyProtection="1">
      <alignment horizontal="left" vertical="center"/>
      <protection hidden="1"/>
    </xf>
    <xf numFmtId="0" fontId="0" fillId="24" borderId="18" xfId="0" applyFill="1" applyBorder="1">
      <alignment vertical="center"/>
    </xf>
    <xf numFmtId="0" fontId="0" fillId="24" borderId="0" xfId="0" applyFill="1" applyAlignment="1">
      <alignment vertical="center"/>
    </xf>
    <xf numFmtId="0" fontId="0" fillId="0" borderId="0" xfId="0" applyProtection="1">
      <alignment vertical="center"/>
    </xf>
    <xf numFmtId="40" fontId="6" fillId="24" borderId="0" xfId="35" applyNumberFormat="1" applyFont="1" applyFill="1" applyBorder="1" applyAlignment="1" applyProtection="1">
      <alignment vertical="center"/>
    </xf>
    <xf numFmtId="0" fontId="0" fillId="24" borderId="21" xfId="0" applyFill="1" applyBorder="1">
      <alignment vertical="center"/>
    </xf>
    <xf numFmtId="0" fontId="28" fillId="24" borderId="0" xfId="0"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protection hidden="1"/>
    </xf>
    <xf numFmtId="2" fontId="28" fillId="0" borderId="0" xfId="0" applyNumberFormat="1" applyFont="1" applyFill="1" applyBorder="1" applyAlignment="1" applyProtection="1">
      <alignment horizontal="left" vertical="center"/>
    </xf>
    <xf numFmtId="0" fontId="27" fillId="24" borderId="17" xfId="0" applyFont="1" applyFill="1" applyBorder="1" applyAlignment="1" applyProtection="1">
      <alignment horizontal="left"/>
      <protection hidden="1"/>
    </xf>
    <xf numFmtId="0" fontId="27" fillId="24" borderId="0" xfId="0" applyFont="1" applyFill="1" applyBorder="1" applyAlignment="1" applyProtection="1">
      <alignment horizontal="right" vertical="center"/>
      <protection locked="0"/>
    </xf>
    <xf numFmtId="2" fontId="28" fillId="24" borderId="0" xfId="0" applyNumberFormat="1" applyFont="1" applyFill="1" applyBorder="1" applyAlignment="1" applyProtection="1">
      <alignment horizontal="left" vertical="center"/>
      <protection hidden="1"/>
    </xf>
    <xf numFmtId="3" fontId="35" fillId="24" borderId="0" xfId="0" applyNumberFormat="1" applyFont="1" applyFill="1" applyBorder="1" applyAlignment="1" applyProtection="1">
      <alignment horizontal="left" vertical="center"/>
      <protection hidden="1"/>
    </xf>
    <xf numFmtId="0" fontId="27" fillId="0" borderId="10" xfId="0" applyFont="1" applyFill="1" applyBorder="1" applyProtection="1">
      <alignment vertical="center"/>
    </xf>
    <xf numFmtId="0" fontId="0" fillId="0" borderId="0" xfId="0" applyFill="1" applyBorder="1" applyAlignment="1" applyProtection="1"/>
    <xf numFmtId="0" fontId="0" fillId="0" borderId="0" xfId="0" applyFill="1" applyAlignment="1" applyProtection="1"/>
    <xf numFmtId="3" fontId="28" fillId="24" borderId="0" xfId="0" applyNumberFormat="1" applyFont="1" applyFill="1" applyBorder="1" applyAlignment="1" applyProtection="1">
      <alignment horizontal="left" vertical="center"/>
      <protection hidden="1"/>
    </xf>
    <xf numFmtId="37" fontId="28" fillId="24" borderId="0" xfId="0" applyNumberFormat="1" applyFont="1" applyFill="1" applyBorder="1" applyAlignment="1" applyProtection="1">
      <alignment horizontal="left" vertical="center"/>
      <protection hidden="1"/>
    </xf>
    <xf numFmtId="0" fontId="27" fillId="24" borderId="17" xfId="0" applyFont="1" applyFill="1" applyBorder="1" applyAlignment="1" applyProtection="1">
      <alignment vertical="center" wrapText="1"/>
      <protection hidden="1"/>
    </xf>
    <xf numFmtId="0" fontId="27" fillId="24" borderId="0" xfId="0" applyFont="1" applyFill="1" applyBorder="1" applyAlignment="1" applyProtection="1">
      <alignment vertical="center"/>
      <protection hidden="1"/>
    </xf>
    <xf numFmtId="0" fontId="27" fillId="24" borderId="17" xfId="0" applyFont="1" applyFill="1" applyBorder="1" applyAlignment="1" applyProtection="1">
      <alignment wrapText="1"/>
      <protection hidden="1"/>
    </xf>
    <xf numFmtId="0" fontId="27" fillId="24" borderId="24" xfId="0" applyFont="1" applyFill="1" applyBorder="1" applyAlignment="1" applyProtection="1">
      <alignment vertical="center"/>
      <protection hidden="1"/>
    </xf>
    <xf numFmtId="0" fontId="27" fillId="24" borderId="0" xfId="0" applyFont="1" applyFill="1" applyBorder="1" applyAlignment="1" applyProtection="1">
      <alignment wrapText="1"/>
      <protection hidden="1"/>
    </xf>
    <xf numFmtId="0" fontId="27" fillId="24" borderId="17" xfId="0" applyFont="1" applyFill="1" applyBorder="1" applyAlignment="1" applyProtection="1">
      <alignment vertical="top"/>
      <protection hidden="1"/>
    </xf>
    <xf numFmtId="0" fontId="27" fillId="24" borderId="0" xfId="0" applyFont="1" applyFill="1" applyBorder="1" applyAlignment="1" applyProtection="1">
      <alignment vertical="top"/>
      <protection hidden="1"/>
    </xf>
    <xf numFmtId="0" fontId="27" fillId="24" borderId="0" xfId="0" applyFont="1" applyFill="1" applyBorder="1" applyAlignment="1" applyProtection="1">
      <protection hidden="1"/>
    </xf>
    <xf numFmtId="0" fontId="27" fillId="24" borderId="18" xfId="0" applyFont="1" applyFill="1" applyBorder="1" applyAlignment="1" applyProtection="1">
      <protection hidden="1"/>
    </xf>
    <xf numFmtId="0" fontId="27" fillId="24" borderId="17" xfId="0" applyFont="1" applyFill="1" applyBorder="1" applyAlignment="1" applyProtection="1">
      <alignment horizontal="right"/>
      <protection hidden="1"/>
    </xf>
    <xf numFmtId="0" fontId="27" fillId="24" borderId="0" xfId="0" applyFont="1" applyFill="1" applyBorder="1" applyAlignment="1" applyProtection="1">
      <alignment horizontal="left" vertical="center"/>
      <protection locked="0"/>
    </xf>
    <xf numFmtId="0" fontId="0" fillId="24" borderId="0" xfId="0" applyFill="1" applyAlignment="1" applyProtection="1"/>
    <xf numFmtId="0" fontId="29" fillId="25" borderId="17" xfId="0" applyFont="1" applyFill="1" applyBorder="1" applyAlignment="1" applyProtection="1">
      <alignment vertical="center"/>
      <protection hidden="1"/>
    </xf>
    <xf numFmtId="0" fontId="31" fillId="25" borderId="0" xfId="0" applyFont="1" applyFill="1" applyBorder="1" applyAlignment="1" applyProtection="1">
      <alignment vertical="center"/>
      <protection hidden="1"/>
    </xf>
    <xf numFmtId="0" fontId="31" fillId="25" borderId="18" xfId="0" applyFont="1" applyFill="1" applyBorder="1" applyAlignment="1" applyProtection="1">
      <alignment vertical="center"/>
      <protection hidden="1"/>
    </xf>
    <xf numFmtId="0" fontId="37" fillId="24" borderId="17" xfId="0" applyFont="1" applyFill="1" applyBorder="1" applyAlignment="1" applyProtection="1">
      <alignment vertical="center"/>
      <protection hidden="1"/>
    </xf>
    <xf numFmtId="31" fontId="27" fillId="24" borderId="0" xfId="0" applyNumberFormat="1" applyFont="1" applyFill="1" applyBorder="1" applyAlignment="1" applyProtection="1">
      <alignment horizontal="right" vertical="center"/>
      <protection locked="0"/>
    </xf>
    <xf numFmtId="0" fontId="27" fillId="24"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37" fillId="24" borderId="25" xfId="0" applyFont="1" applyFill="1" applyBorder="1" applyAlignment="1" applyProtection="1">
      <alignment vertical="center"/>
      <protection hidden="1"/>
    </xf>
    <xf numFmtId="0" fontId="27" fillId="0" borderId="0" xfId="0" applyFont="1" applyFill="1" applyBorder="1" applyAlignment="1">
      <alignment vertical="center" shrinkToFit="1"/>
    </xf>
    <xf numFmtId="0" fontId="27" fillId="0" borderId="0" xfId="0" applyFont="1" applyFill="1" applyBorder="1" applyAlignment="1" applyProtection="1">
      <alignment horizontal="center" vertical="center"/>
    </xf>
    <xf numFmtId="0" fontId="27" fillId="24" borderId="0" xfId="0" applyFont="1" applyFill="1" applyProtection="1">
      <alignment vertical="center"/>
    </xf>
    <xf numFmtId="0" fontId="27" fillId="24" borderId="12" xfId="0" applyFont="1" applyFill="1" applyBorder="1" applyAlignment="1" applyProtection="1">
      <alignment horizontal="left" vertical="top" wrapText="1"/>
      <protection hidden="1"/>
    </xf>
    <xf numFmtId="0" fontId="27" fillId="24" borderId="0" xfId="0" applyFont="1" applyFill="1" applyBorder="1" applyAlignment="1" applyProtection="1">
      <alignment horizontal="left" vertical="top" wrapText="1"/>
      <protection hidden="1"/>
    </xf>
    <xf numFmtId="0" fontId="22" fillId="0" borderId="27" xfId="0" applyFont="1" applyFill="1" applyBorder="1" applyAlignment="1" applyProtection="1">
      <alignment vertical="center"/>
      <protection hidden="1"/>
    </xf>
    <xf numFmtId="0" fontId="22" fillId="0" borderId="28" xfId="0" applyFont="1" applyFill="1" applyBorder="1" applyAlignment="1" applyProtection="1">
      <alignment vertical="center"/>
      <protection hidden="1"/>
    </xf>
    <xf numFmtId="0" fontId="22" fillId="0" borderId="29" xfId="0" applyFont="1" applyFill="1" applyBorder="1" applyAlignment="1" applyProtection="1">
      <alignment vertical="center"/>
      <protection hidden="1"/>
    </xf>
    <xf numFmtId="0" fontId="29" fillId="25" borderId="30" xfId="0" applyFont="1" applyFill="1" applyBorder="1" applyAlignment="1" applyProtection="1">
      <alignment vertical="center"/>
      <protection hidden="1"/>
    </xf>
    <xf numFmtId="0" fontId="29" fillId="25" borderId="30" xfId="0" applyFont="1" applyFill="1" applyBorder="1" applyAlignment="1" applyProtection="1">
      <alignment horizontal="center" vertical="center"/>
      <protection hidden="1"/>
    </xf>
    <xf numFmtId="0" fontId="29" fillId="25" borderId="31" xfId="0" applyFont="1" applyFill="1" applyBorder="1" applyAlignment="1" applyProtection="1">
      <alignment horizontal="center" vertical="center"/>
      <protection hidden="1"/>
    </xf>
    <xf numFmtId="0" fontId="29" fillId="25" borderId="32" xfId="0" applyFont="1" applyFill="1" applyBorder="1" applyAlignment="1" applyProtection="1">
      <alignment horizontal="center" vertical="center"/>
      <protection hidden="1"/>
    </xf>
    <xf numFmtId="0" fontId="27" fillId="0" borderId="10" xfId="0" applyFont="1" applyFill="1" applyBorder="1" applyAlignment="1" applyProtection="1">
      <alignment vertical="center"/>
    </xf>
    <xf numFmtId="0" fontId="6" fillId="0" borderId="10" xfId="0" applyFont="1" applyFill="1" applyBorder="1" applyAlignment="1" applyProtection="1">
      <alignment vertical="center"/>
    </xf>
    <xf numFmtId="0" fontId="27" fillId="24" borderId="17" xfId="0" applyFont="1" applyFill="1" applyBorder="1" applyAlignment="1" applyProtection="1">
      <alignment vertical="center"/>
      <protection hidden="1"/>
    </xf>
    <xf numFmtId="0" fontId="27" fillId="0" borderId="10" xfId="0" applyFont="1" applyFill="1" applyBorder="1" applyAlignment="1" applyProtection="1">
      <protection hidden="1"/>
    </xf>
    <xf numFmtId="178" fontId="6" fillId="0" borderId="10" xfId="0" applyNumberFormat="1" applyFont="1" applyFill="1" applyBorder="1" applyAlignment="1" applyProtection="1">
      <alignment vertical="center"/>
      <protection hidden="1"/>
    </xf>
    <xf numFmtId="0" fontId="6" fillId="24" borderId="10" xfId="0" applyFont="1" applyFill="1" applyBorder="1" applyAlignment="1" applyProtection="1">
      <alignment vertical="center"/>
      <protection hidden="1"/>
    </xf>
    <xf numFmtId="0" fontId="27" fillId="24" borderId="17" xfId="0" applyFont="1" applyFill="1" applyBorder="1" applyProtection="1">
      <alignment vertical="center"/>
      <protection hidden="1"/>
    </xf>
    <xf numFmtId="0" fontId="29" fillId="25" borderId="33" xfId="0" applyFont="1" applyFill="1" applyBorder="1" applyAlignment="1" applyProtection="1">
      <alignment vertical="center"/>
      <protection hidden="1"/>
    </xf>
    <xf numFmtId="0" fontId="40" fillId="25" borderId="34" xfId="0" applyFont="1" applyFill="1" applyBorder="1" applyAlignment="1" applyProtection="1">
      <alignment vertical="center"/>
      <protection hidden="1"/>
    </xf>
    <xf numFmtId="0" fontId="40" fillId="25" borderId="35" xfId="0" applyFont="1" applyFill="1" applyBorder="1" applyAlignment="1" applyProtection="1">
      <alignment vertical="center"/>
      <protection hidden="1"/>
    </xf>
    <xf numFmtId="0" fontId="6" fillId="0" borderId="10" xfId="0" applyFont="1" applyFill="1" applyBorder="1" applyProtection="1">
      <alignment vertical="center"/>
      <protection hidden="1"/>
    </xf>
    <xf numFmtId="0" fontId="0" fillId="0" borderId="10" xfId="0" applyFill="1" applyBorder="1" applyProtection="1">
      <alignment vertical="center"/>
    </xf>
    <xf numFmtId="178" fontId="6" fillId="0" borderId="10" xfId="0" applyNumberFormat="1" applyFont="1" applyFill="1" applyBorder="1" applyProtection="1">
      <alignment vertical="center"/>
      <protection hidden="1"/>
    </xf>
    <xf numFmtId="0" fontId="27" fillId="0" borderId="0" xfId="0" applyFont="1" applyFill="1" applyBorder="1" applyAlignment="1" applyProtection="1"/>
    <xf numFmtId="0" fontId="22" fillId="0" borderId="37"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29" fillId="25" borderId="40" xfId="0" applyFont="1" applyFill="1" applyBorder="1" applyAlignment="1" applyProtection="1">
      <alignment vertical="center"/>
      <protection hidden="1"/>
    </xf>
    <xf numFmtId="0" fontId="7" fillId="24" borderId="41" xfId="29" applyFill="1" applyBorder="1" applyProtection="1">
      <alignment horizontal="left" vertical="center" indent="1"/>
      <protection hidden="1"/>
    </xf>
    <xf numFmtId="0" fontId="7" fillId="24" borderId="42" xfId="29" applyFill="1" applyBorder="1" applyProtection="1">
      <alignment horizontal="left" vertical="center" indent="1"/>
      <protection hidden="1"/>
    </xf>
    <xf numFmtId="0" fontId="7" fillId="24" borderId="42" xfId="0" applyFont="1" applyFill="1" applyBorder="1" applyAlignment="1" applyProtection="1">
      <alignment horizontal="left" vertical="center" indent="1"/>
      <protection hidden="1"/>
    </xf>
    <xf numFmtId="0" fontId="0" fillId="24" borderId="42" xfId="0" applyFill="1" applyBorder="1" applyAlignment="1" applyProtection="1">
      <alignment horizontal="left" vertical="center" indent="1"/>
      <protection hidden="1"/>
    </xf>
    <xf numFmtId="0" fontId="0" fillId="24" borderId="43" xfId="0" applyFill="1" applyBorder="1" applyAlignment="1" applyProtection="1">
      <alignment horizontal="left" vertical="center" indent="1"/>
      <protection hidden="1"/>
    </xf>
    <xf numFmtId="0" fontId="29" fillId="25" borderId="44" xfId="0" applyFont="1" applyFill="1" applyBorder="1" applyAlignment="1" applyProtection="1">
      <alignment vertical="center"/>
      <protection hidden="1"/>
    </xf>
    <xf numFmtId="0" fontId="7" fillId="24" borderId="41" xfId="0" applyFont="1" applyFill="1" applyBorder="1" applyAlignment="1" applyProtection="1">
      <alignment horizontal="left" vertical="center" indent="1"/>
      <protection hidden="1"/>
    </xf>
    <xf numFmtId="0" fontId="7" fillId="24" borderId="45" xfId="0" applyFont="1" applyFill="1" applyBorder="1" applyAlignment="1" applyProtection="1">
      <alignment horizontal="left" vertical="center" indent="1"/>
      <protection hidden="1"/>
    </xf>
    <xf numFmtId="0" fontId="7" fillId="24" borderId="45" xfId="29" applyFill="1" applyBorder="1" applyProtection="1">
      <alignment horizontal="left" vertical="center" indent="1"/>
      <protection hidden="1"/>
    </xf>
    <xf numFmtId="0" fontId="0" fillId="24" borderId="46" xfId="0" applyFill="1" applyBorder="1" applyAlignment="1" applyProtection="1">
      <alignment horizontal="left" vertical="center" indent="1"/>
      <protection hidden="1"/>
    </xf>
    <xf numFmtId="0" fontId="7" fillId="24" borderId="47" xfId="29" applyFill="1" applyBorder="1" applyProtection="1">
      <alignment horizontal="left" vertical="center" indent="1"/>
      <protection hidden="1"/>
    </xf>
    <xf numFmtId="0" fontId="7" fillId="24" borderId="48" xfId="29" applyFill="1" applyBorder="1" applyProtection="1">
      <alignment horizontal="left" vertical="center" indent="1"/>
      <protection hidden="1"/>
    </xf>
    <xf numFmtId="0" fontId="7" fillId="24" borderId="48" xfId="0" applyFont="1" applyFill="1" applyBorder="1" applyAlignment="1" applyProtection="1">
      <alignment horizontal="left" vertical="center" indent="1"/>
      <protection hidden="1"/>
    </xf>
    <xf numFmtId="0" fontId="0" fillId="24" borderId="49" xfId="0" applyFill="1" applyBorder="1" applyAlignment="1" applyProtection="1">
      <alignment horizontal="left" vertical="center" indent="1"/>
      <protection hidden="1"/>
    </xf>
    <xf numFmtId="0" fontId="0" fillId="24" borderId="0" xfId="0" applyFill="1" applyBorder="1" applyAlignment="1" applyProtection="1">
      <alignment horizontal="left" vertical="center" indent="1"/>
      <protection hidden="1"/>
    </xf>
    <xf numFmtId="0" fontId="27" fillId="24" borderId="10" xfId="0" applyFont="1" applyFill="1" applyBorder="1" applyAlignment="1" applyProtection="1">
      <alignment horizontal="left" vertical="center"/>
    </xf>
    <xf numFmtId="0" fontId="27" fillId="24" borderId="50" xfId="0" applyFont="1" applyFill="1" applyBorder="1" applyAlignment="1" applyProtection="1">
      <alignment horizontal="left" vertical="center"/>
      <protection hidden="1"/>
    </xf>
    <xf numFmtId="0" fontId="27" fillId="24" borderId="51" xfId="0" applyFont="1" applyFill="1" applyBorder="1" applyAlignment="1" applyProtection="1">
      <alignment horizontal="left" vertical="center"/>
      <protection hidden="1"/>
    </xf>
    <xf numFmtId="0" fontId="7" fillId="24" borderId="51" xfId="46" applyFill="1" applyBorder="1" applyProtection="1">
      <alignment horizontal="left" vertical="center" indent="1"/>
      <protection hidden="1"/>
    </xf>
    <xf numFmtId="0" fontId="31" fillId="24" borderId="51" xfId="0" applyFont="1" applyFill="1" applyBorder="1" applyAlignment="1" applyProtection="1">
      <alignment horizontal="left" vertical="center"/>
      <protection hidden="1"/>
    </xf>
    <xf numFmtId="0" fontId="27" fillId="24" borderId="52" xfId="0" applyFont="1" applyFill="1" applyBorder="1" applyAlignment="1" applyProtection="1">
      <alignment horizontal="left" vertical="center"/>
    </xf>
    <xf numFmtId="0" fontId="27" fillId="24" borderId="0" xfId="0" applyFont="1" applyFill="1" applyBorder="1" applyAlignment="1" applyProtection="1">
      <alignment horizontal="left" vertical="center"/>
    </xf>
    <xf numFmtId="0" fontId="27" fillId="24" borderId="23" xfId="0" applyFont="1" applyFill="1" applyBorder="1" applyAlignment="1" applyProtection="1">
      <alignment horizontal="left" vertical="center"/>
      <protection hidden="1"/>
    </xf>
    <xf numFmtId="0" fontId="27" fillId="24" borderId="53" xfId="0" applyFont="1" applyFill="1" applyBorder="1" applyAlignment="1" applyProtection="1">
      <alignment horizontal="left" vertical="center"/>
      <protection hidden="1"/>
    </xf>
    <xf numFmtId="0" fontId="27" fillId="24" borderId="54" xfId="0" applyFont="1" applyFill="1" applyBorder="1" applyAlignment="1" applyProtection="1">
      <alignment horizontal="left" vertical="center"/>
      <protection hidden="1"/>
    </xf>
    <xf numFmtId="0" fontId="27" fillId="24" borderId="55" xfId="0" applyFont="1" applyFill="1" applyBorder="1" applyAlignment="1" applyProtection="1">
      <alignment horizontal="left" vertical="center"/>
    </xf>
    <xf numFmtId="0" fontId="27" fillId="24" borderId="56" xfId="0" applyFont="1" applyFill="1" applyBorder="1" applyAlignment="1" applyProtection="1">
      <alignment horizontal="left" vertical="center"/>
      <protection hidden="1"/>
    </xf>
    <xf numFmtId="0" fontId="27" fillId="24" borderId="57" xfId="0" applyFont="1" applyFill="1" applyBorder="1" applyAlignment="1" applyProtection="1">
      <alignment horizontal="left" vertical="center"/>
      <protection hidden="1"/>
    </xf>
    <xf numFmtId="0" fontId="27" fillId="24" borderId="45" xfId="0" applyFont="1" applyFill="1" applyBorder="1" applyAlignment="1" applyProtection="1">
      <alignment horizontal="left" vertical="center"/>
      <protection hidden="1"/>
    </xf>
    <xf numFmtId="0" fontId="27" fillId="24" borderId="58" xfId="0" applyFont="1" applyFill="1" applyBorder="1" applyAlignment="1" applyProtection="1">
      <alignment horizontal="left" vertical="center"/>
    </xf>
    <xf numFmtId="0" fontId="43" fillId="24" borderId="45" xfId="0" applyFont="1" applyFill="1" applyBorder="1" applyAlignment="1" applyProtection="1">
      <alignment horizontal="left" vertical="center"/>
      <protection hidden="1"/>
    </xf>
    <xf numFmtId="0" fontId="27" fillId="24" borderId="22" xfId="0" applyFont="1" applyFill="1" applyBorder="1" applyAlignment="1" applyProtection="1">
      <alignment horizontal="left" vertical="center"/>
      <protection hidden="1"/>
    </xf>
    <xf numFmtId="0" fontId="27" fillId="24" borderId="24" xfId="0" applyFont="1" applyFill="1" applyBorder="1" applyAlignment="1" applyProtection="1">
      <alignment horizontal="left" vertical="center"/>
      <protection hidden="1"/>
    </xf>
    <xf numFmtId="0" fontId="27" fillId="24" borderId="59" xfId="0" applyFont="1" applyFill="1" applyBorder="1" applyAlignment="1" applyProtection="1">
      <alignment horizontal="left" vertical="center"/>
      <protection hidden="1"/>
    </xf>
    <xf numFmtId="0" fontId="43" fillId="24" borderId="59" xfId="0" applyFont="1" applyFill="1" applyBorder="1" applyAlignment="1" applyProtection="1">
      <alignment horizontal="left" vertical="center"/>
      <protection hidden="1"/>
    </xf>
    <xf numFmtId="0" fontId="27" fillId="24" borderId="60" xfId="0" applyFont="1" applyFill="1" applyBorder="1" applyAlignment="1" applyProtection="1">
      <alignment horizontal="left" vertical="center"/>
    </xf>
    <xf numFmtId="0" fontId="44"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32" fillId="0" borderId="0" xfId="0" applyFont="1" applyFill="1" applyBorder="1" applyAlignment="1" applyProtection="1">
      <alignment horizontal="right" vertical="center"/>
    </xf>
    <xf numFmtId="49" fontId="46" fillId="24" borderId="23" xfId="0" applyNumberFormat="1" applyFont="1" applyFill="1" applyBorder="1" applyAlignment="1" applyProtection="1">
      <alignment vertical="center"/>
    </xf>
    <xf numFmtId="0" fontId="46" fillId="24" borderId="54" xfId="0" applyFont="1" applyFill="1" applyBorder="1" applyAlignment="1" applyProtection="1">
      <alignment horizontal="right" vertical="center"/>
    </xf>
    <xf numFmtId="0" fontId="30" fillId="0" borderId="0" xfId="0" applyFont="1" applyFill="1" applyBorder="1" applyAlignment="1" applyProtection="1">
      <alignment vertical="center"/>
    </xf>
    <xf numFmtId="49" fontId="46" fillId="24" borderId="61" xfId="0" applyNumberFormat="1" applyFont="1" applyFill="1" applyBorder="1" applyAlignment="1" applyProtection="1">
      <alignment vertical="center"/>
    </xf>
    <xf numFmtId="0" fontId="46" fillId="24" borderId="0" xfId="0" applyFont="1" applyFill="1" applyBorder="1" applyAlignment="1" applyProtection="1">
      <alignment horizontal="right" vertical="center"/>
    </xf>
    <xf numFmtId="3" fontId="26" fillId="0" borderId="0" xfId="0" applyNumberFormat="1" applyFont="1" applyFill="1" applyBorder="1" applyAlignment="1" applyProtection="1">
      <alignment horizontal="left" vertical="center"/>
    </xf>
    <xf numFmtId="0" fontId="27" fillId="24" borderId="22" xfId="0" applyFont="1" applyFill="1" applyBorder="1" applyProtection="1">
      <alignment vertical="center"/>
    </xf>
    <xf numFmtId="0" fontId="27" fillId="0" borderId="0" xfId="0" applyFont="1" applyFill="1" applyBorder="1" applyAlignment="1" applyProtection="1">
      <alignment horizontal="left" vertical="top" wrapText="1"/>
    </xf>
    <xf numFmtId="0" fontId="0" fillId="26" borderId="62" xfId="0" applyFill="1" applyBorder="1" applyAlignment="1" applyProtection="1">
      <alignment horizontal="center" vertical="center"/>
    </xf>
    <xf numFmtId="0" fontId="0" fillId="26" borderId="63" xfId="0" applyFill="1" applyBorder="1" applyAlignment="1" applyProtection="1">
      <alignment horizontal="center" vertical="center"/>
    </xf>
    <xf numFmtId="0" fontId="0" fillId="26" borderId="64" xfId="0" applyFill="1" applyBorder="1" applyProtection="1">
      <alignment vertical="center"/>
    </xf>
    <xf numFmtId="0" fontId="0" fillId="24" borderId="65" xfId="0" applyFill="1" applyBorder="1" applyAlignment="1" applyProtection="1">
      <alignment horizontal="center" vertical="center"/>
    </xf>
    <xf numFmtId="0" fontId="0" fillId="27" borderId="66" xfId="0" applyFill="1" applyBorder="1" applyAlignment="1" applyProtection="1">
      <alignment vertical="top" wrapText="1"/>
      <protection locked="0"/>
    </xf>
    <xf numFmtId="0" fontId="0" fillId="24" borderId="67" xfId="0" applyFill="1" applyBorder="1" applyAlignment="1" applyProtection="1">
      <alignment horizontal="center" vertical="center" wrapText="1"/>
    </xf>
    <xf numFmtId="0" fontId="0" fillId="27" borderId="68" xfId="0" applyFill="1" applyBorder="1" applyAlignment="1" applyProtection="1">
      <alignment horizontal="left" vertical="top" wrapText="1"/>
      <protection locked="0"/>
    </xf>
    <xf numFmtId="0" fontId="0" fillId="24" borderId="69" xfId="0" applyFill="1" applyBorder="1" applyAlignment="1" applyProtection="1">
      <alignment horizontal="center" vertical="center" wrapText="1"/>
    </xf>
    <xf numFmtId="0" fontId="0" fillId="27" borderId="70" xfId="0" applyFill="1" applyBorder="1" applyAlignment="1" applyProtection="1">
      <alignment horizontal="left" vertical="top" wrapText="1"/>
      <protection locked="0"/>
    </xf>
    <xf numFmtId="0" fontId="0" fillId="24" borderId="71" xfId="0" applyFill="1" applyBorder="1" applyAlignment="1" applyProtection="1">
      <alignment horizontal="center" vertical="center" wrapText="1"/>
    </xf>
    <xf numFmtId="0" fontId="0" fillId="27" borderId="72" xfId="0" applyFill="1" applyBorder="1" applyAlignment="1" applyProtection="1">
      <alignment horizontal="left" vertical="top" wrapText="1"/>
      <protection locked="0"/>
    </xf>
    <xf numFmtId="0" fontId="0" fillId="0" borderId="0" xfId="0" applyFill="1" applyAlignment="1" applyProtection="1">
      <alignment horizontal="left" vertical="center"/>
    </xf>
    <xf numFmtId="0" fontId="0" fillId="0" borderId="0" xfId="0" applyFill="1">
      <alignment vertical="center"/>
    </xf>
    <xf numFmtId="0" fontId="0" fillId="0" borderId="0" xfId="0" applyFill="1" applyAlignment="1">
      <alignment horizontal="left" vertical="center"/>
    </xf>
    <xf numFmtId="0" fontId="6" fillId="0" borderId="0" xfId="0" applyFont="1" applyFill="1" applyProtection="1">
      <alignment vertical="center"/>
      <protection hidden="1"/>
    </xf>
    <xf numFmtId="0" fontId="36" fillId="0" borderId="0" xfId="0" applyFont="1" applyFill="1" applyAlignment="1" applyProtection="1">
      <alignment horizontal="left"/>
      <protection hidden="1"/>
    </xf>
    <xf numFmtId="0" fontId="28" fillId="0" borderId="0" xfId="0" applyFont="1" applyFill="1" applyProtection="1">
      <alignment vertical="center"/>
      <protection hidden="1"/>
    </xf>
    <xf numFmtId="179" fontId="37" fillId="0" borderId="0" xfId="0" applyNumberFormat="1" applyFont="1" applyFill="1" applyAlignment="1" applyProtection="1">
      <alignment horizontal="left"/>
      <protection hidden="1"/>
    </xf>
    <xf numFmtId="183" fontId="27" fillId="0" borderId="0" xfId="0" applyNumberFormat="1" applyFont="1" applyFill="1" applyProtection="1">
      <alignment vertical="center"/>
      <protection hidden="1"/>
    </xf>
    <xf numFmtId="184" fontId="47" fillId="0" borderId="0" xfId="0" applyNumberFormat="1" applyFont="1" applyFill="1" applyAlignment="1" applyProtection="1">
      <alignment horizontal="center"/>
    </xf>
    <xf numFmtId="199" fontId="47" fillId="0" borderId="0" xfId="0" applyNumberFormat="1" applyFont="1" applyFill="1" applyProtection="1">
      <alignment vertical="center"/>
    </xf>
    <xf numFmtId="0" fontId="47" fillId="0" borderId="0" xfId="0" applyFont="1" applyFill="1" applyProtection="1">
      <alignment vertical="center"/>
    </xf>
    <xf numFmtId="0" fontId="48" fillId="0" borderId="0" xfId="0" applyNumberFormat="1" applyFont="1" applyFill="1" applyBorder="1" applyAlignment="1" applyProtection="1">
      <alignment vertical="center"/>
      <protection hidden="1"/>
    </xf>
    <xf numFmtId="0" fontId="49" fillId="0" borderId="0" xfId="0" applyFont="1" applyFill="1" applyBorder="1" applyAlignment="1" applyProtection="1">
      <alignment horizontal="left" vertical="center"/>
      <protection hidden="1"/>
    </xf>
    <xf numFmtId="0" fontId="49" fillId="0" borderId="0" xfId="0" applyFont="1" applyFill="1" applyBorder="1" applyAlignment="1" applyProtection="1">
      <alignment vertical="center"/>
      <protection hidden="1"/>
    </xf>
    <xf numFmtId="179" fontId="37" fillId="0" borderId="0" xfId="0" applyNumberFormat="1" applyFont="1" applyFill="1" applyBorder="1" applyAlignment="1" applyProtection="1">
      <alignment horizontal="left"/>
      <protection hidden="1"/>
    </xf>
    <xf numFmtId="0" fontId="50" fillId="0" borderId="0" xfId="0" applyFont="1" applyFill="1" applyAlignment="1" applyProtection="1">
      <alignment horizontal="right" vertical="top"/>
      <protection hidden="1"/>
    </xf>
    <xf numFmtId="0" fontId="51" fillId="0" borderId="0" xfId="0" applyFont="1" applyFill="1" applyAlignment="1" applyProtection="1">
      <alignment horizontal="left" vertical="justify"/>
    </xf>
    <xf numFmtId="0" fontId="52" fillId="0" borderId="0" xfId="0" applyNumberFormat="1" applyFont="1" applyFill="1" applyBorder="1" applyAlignment="1" applyProtection="1">
      <alignment vertical="center"/>
      <protection hidden="1"/>
    </xf>
    <xf numFmtId="0" fontId="36" fillId="0" borderId="0" xfId="0" applyFont="1" applyFill="1" applyBorder="1" applyAlignment="1" applyProtection="1">
      <alignment horizontal="lef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25" fillId="0" borderId="0" xfId="0" applyFont="1" applyFill="1" applyBorder="1" applyAlignment="1" applyProtection="1">
      <alignment horizontal="center" vertical="justify"/>
      <protection hidden="1"/>
    </xf>
    <xf numFmtId="184" fontId="55" fillId="0" borderId="0" xfId="0" applyNumberFormat="1" applyFont="1" applyFill="1" applyBorder="1" applyAlignment="1" applyProtection="1">
      <alignment horizontal="center" vertical="justify" wrapText="1"/>
    </xf>
    <xf numFmtId="0" fontId="56" fillId="0" borderId="0" xfId="0" applyFont="1" applyFill="1" applyProtection="1">
      <alignment vertical="center"/>
      <protection hidden="1"/>
    </xf>
    <xf numFmtId="0" fontId="57" fillId="0" borderId="0" xfId="0" applyFont="1" applyFill="1" applyAlignment="1" applyProtection="1">
      <alignment horizontal="left"/>
      <protection hidden="1"/>
    </xf>
    <xf numFmtId="0" fontId="58" fillId="0" borderId="0" xfId="0" applyFont="1" applyFill="1" applyProtection="1">
      <alignment vertical="center"/>
      <protection hidden="1"/>
    </xf>
    <xf numFmtId="179" fontId="59" fillId="0" borderId="0" xfId="0" applyNumberFormat="1" applyFont="1" applyFill="1" applyAlignment="1" applyProtection="1">
      <alignment horizontal="left"/>
      <protection hidden="1"/>
    </xf>
    <xf numFmtId="0" fontId="60" fillId="28" borderId="73" xfId="0" applyFont="1" applyFill="1" applyBorder="1" applyAlignment="1" applyProtection="1">
      <alignment horizontal="left" vertical="center"/>
      <protection hidden="1"/>
    </xf>
    <xf numFmtId="0" fontId="36" fillId="28" borderId="74" xfId="0" applyFont="1" applyFill="1" applyBorder="1" applyAlignment="1" applyProtection="1">
      <alignment horizontal="left" vertical="center"/>
      <protection hidden="1"/>
    </xf>
    <xf numFmtId="0" fontId="61" fillId="28" borderId="74" xfId="0" applyFont="1" applyFill="1" applyBorder="1" applyAlignment="1" applyProtection="1">
      <alignment vertical="center"/>
      <protection hidden="1"/>
    </xf>
    <xf numFmtId="0" fontId="60" fillId="28" borderId="74" xfId="0" applyFont="1" applyFill="1" applyBorder="1" applyAlignment="1" applyProtection="1">
      <alignment horizontal="left" vertical="center"/>
      <protection hidden="1"/>
    </xf>
    <xf numFmtId="179" fontId="37" fillId="28" borderId="74" xfId="0" applyNumberFormat="1" applyFont="1" applyFill="1" applyBorder="1" applyAlignment="1" applyProtection="1">
      <alignment horizontal="left" vertical="center"/>
      <protection hidden="1"/>
    </xf>
    <xf numFmtId="0" fontId="28" fillId="24" borderId="75" xfId="0" applyFont="1" applyFill="1" applyBorder="1" applyAlignment="1" applyProtection="1">
      <alignment horizontal="centerContinuous" vertical="center"/>
      <protection hidden="1"/>
    </xf>
    <xf numFmtId="0" fontId="28" fillId="24" borderId="76" xfId="0" applyFont="1" applyFill="1" applyBorder="1" applyAlignment="1" applyProtection="1">
      <alignment horizontal="centerContinuous" vertical="center"/>
      <protection hidden="1"/>
    </xf>
    <xf numFmtId="0" fontId="28" fillId="24" borderId="77" xfId="0" applyFont="1" applyFill="1" applyBorder="1" applyAlignment="1" applyProtection="1">
      <alignment horizontal="centerContinuous" vertical="center"/>
      <protection hidden="1"/>
    </xf>
    <xf numFmtId="0" fontId="28" fillId="24" borderId="78" xfId="0" applyFont="1" applyFill="1" applyBorder="1" applyAlignment="1" applyProtection="1">
      <alignment horizontal="centerContinuous" vertical="center"/>
      <protection hidden="1"/>
    </xf>
    <xf numFmtId="0" fontId="28" fillId="24" borderId="79" xfId="0" applyFont="1" applyFill="1" applyBorder="1" applyAlignment="1" applyProtection="1">
      <alignment horizontal="centerContinuous" vertical="center"/>
      <protection hidden="1"/>
    </xf>
    <xf numFmtId="0" fontId="28" fillId="24" borderId="80" xfId="0" applyFont="1" applyFill="1" applyBorder="1" applyAlignment="1" applyProtection="1">
      <alignment horizontal="centerContinuous" vertical="center"/>
      <protection hidden="1"/>
    </xf>
    <xf numFmtId="184" fontId="28" fillId="0" borderId="0" xfId="0" applyNumberFormat="1" applyFont="1" applyFill="1" applyAlignment="1" applyProtection="1">
      <alignment horizontal="left"/>
    </xf>
    <xf numFmtId="0" fontId="28" fillId="0" borderId="0" xfId="0" applyFont="1" applyFill="1" applyProtection="1">
      <alignment vertical="center"/>
    </xf>
    <xf numFmtId="0" fontId="32" fillId="24" borderId="75" xfId="0" applyNumberFormat="1" applyFont="1" applyFill="1" applyBorder="1" applyAlignment="1" applyProtection="1">
      <alignment vertical="center"/>
      <protection hidden="1"/>
    </xf>
    <xf numFmtId="0" fontId="36" fillId="24" borderId="81" xfId="0" applyFont="1" applyFill="1" applyBorder="1" applyAlignment="1" applyProtection="1">
      <alignment horizontal="left" vertical="center"/>
      <protection hidden="1"/>
    </xf>
    <xf numFmtId="0" fontId="53" fillId="24" borderId="81" xfId="0" applyFont="1" applyFill="1" applyBorder="1" applyAlignment="1" applyProtection="1">
      <alignment vertical="center"/>
      <protection hidden="1"/>
    </xf>
    <xf numFmtId="0" fontId="54" fillId="24" borderId="81" xfId="0" applyFont="1" applyFill="1" applyBorder="1" applyAlignment="1" applyProtection="1">
      <alignment vertical="center"/>
      <protection hidden="1"/>
    </xf>
    <xf numFmtId="179" fontId="41" fillId="24" borderId="50" xfId="0" applyNumberFormat="1" applyFont="1" applyFill="1" applyBorder="1" applyAlignment="1" applyProtection="1">
      <alignment horizontal="centerContinuous" vertical="top"/>
      <protection hidden="1"/>
    </xf>
    <xf numFmtId="179" fontId="32" fillId="24" borderId="0" xfId="0" applyNumberFormat="1" applyFont="1" applyFill="1" applyBorder="1" applyAlignment="1" applyProtection="1">
      <alignment horizontal="centerContinuous" vertical="center"/>
      <protection hidden="1"/>
    </xf>
    <xf numFmtId="0" fontId="62" fillId="24" borderId="83" xfId="0" applyFont="1" applyFill="1" applyBorder="1" applyAlignment="1" applyProtection="1">
      <alignment vertical="center"/>
      <protection hidden="1"/>
    </xf>
    <xf numFmtId="0" fontId="28" fillId="24" borderId="51" xfId="0" applyFont="1" applyFill="1" applyBorder="1" applyAlignment="1" applyProtection="1">
      <alignment horizontal="centerContinuous" vertical="center"/>
      <protection hidden="1"/>
    </xf>
    <xf numFmtId="0" fontId="62" fillId="24" borderId="84" xfId="0" applyFont="1" applyFill="1" applyBorder="1" applyAlignment="1" applyProtection="1">
      <alignment vertical="center"/>
      <protection hidden="1"/>
    </xf>
    <xf numFmtId="0" fontId="28" fillId="24" borderId="85" xfId="0" applyFont="1" applyFill="1" applyBorder="1" applyAlignment="1" applyProtection="1">
      <alignment horizontal="centerContinuous" vertical="center"/>
      <protection hidden="1"/>
    </xf>
    <xf numFmtId="199" fontId="47" fillId="0" borderId="10" xfId="0" applyNumberFormat="1" applyFont="1" applyFill="1" applyBorder="1" applyProtection="1">
      <alignment vertical="center"/>
    </xf>
    <xf numFmtId="200" fontId="63" fillId="29" borderId="10" xfId="0" applyNumberFormat="1" applyFont="1" applyFill="1" applyBorder="1" applyAlignment="1">
      <alignment horizontal="center" vertical="center"/>
    </xf>
    <xf numFmtId="0" fontId="47" fillId="0" borderId="10" xfId="0" applyFont="1" applyFill="1" applyBorder="1" applyProtection="1">
      <alignment vertical="center"/>
    </xf>
    <xf numFmtId="200" fontId="51" fillId="29" borderId="10" xfId="0" applyNumberFormat="1" applyFont="1" applyFill="1" applyBorder="1" applyAlignment="1">
      <alignment horizontal="center" vertical="center"/>
    </xf>
    <xf numFmtId="0" fontId="32" fillId="24" borderId="83" xfId="0" applyNumberFormat="1" applyFont="1" applyFill="1" applyBorder="1" applyAlignment="1" applyProtection="1">
      <alignment vertical="top"/>
      <protection hidden="1"/>
    </xf>
    <xf numFmtId="0" fontId="36" fillId="24" borderId="59" xfId="0" applyFont="1" applyFill="1" applyBorder="1" applyAlignment="1" applyProtection="1">
      <alignment horizontal="left" vertical="top"/>
      <protection hidden="1"/>
    </xf>
    <xf numFmtId="0" fontId="53" fillId="24" borderId="59" xfId="0" applyFont="1" applyFill="1" applyBorder="1" applyAlignment="1" applyProtection="1">
      <alignment vertical="top"/>
      <protection hidden="1"/>
    </xf>
    <xf numFmtId="0" fontId="28" fillId="24" borderId="59" xfId="0" applyFont="1" applyFill="1" applyBorder="1" applyAlignment="1" applyProtection="1">
      <protection hidden="1"/>
    </xf>
    <xf numFmtId="179" fontId="41" fillId="24" borderId="50" xfId="0" applyNumberFormat="1" applyFont="1" applyFill="1" applyBorder="1" applyAlignment="1" applyProtection="1">
      <alignment vertical="top" wrapText="1"/>
      <protection hidden="1"/>
    </xf>
    <xf numFmtId="179" fontId="41" fillId="24" borderId="10" xfId="0" applyNumberFormat="1" applyFont="1" applyFill="1" applyBorder="1" applyAlignment="1" applyProtection="1">
      <alignment vertical="top" wrapText="1"/>
      <protection hidden="1"/>
    </xf>
    <xf numFmtId="182" fontId="25" fillId="24" borderId="83" xfId="0" applyNumberFormat="1" applyFont="1" applyFill="1" applyBorder="1" applyAlignment="1" applyProtection="1">
      <alignment horizontal="center" vertical="top" wrapText="1"/>
      <protection hidden="1"/>
    </xf>
    <xf numFmtId="182" fontId="25" fillId="24" borderId="86" xfId="0" applyNumberFormat="1" applyFont="1" applyFill="1" applyBorder="1" applyAlignment="1" applyProtection="1">
      <alignment horizontal="center" vertical="center" wrapText="1"/>
      <protection hidden="1"/>
    </xf>
    <xf numFmtId="182" fontId="25" fillId="24" borderId="87" xfId="0" applyNumberFormat="1" applyFont="1" applyFill="1" applyBorder="1" applyAlignment="1" applyProtection="1">
      <alignment horizontal="center" vertical="center" wrapText="1"/>
      <protection hidden="1"/>
    </xf>
    <xf numFmtId="182" fontId="25" fillId="24" borderId="85" xfId="0" applyNumberFormat="1" applyFont="1" applyFill="1" applyBorder="1" applyAlignment="1" applyProtection="1">
      <alignment horizontal="center" vertical="center" wrapText="1"/>
      <protection hidden="1"/>
    </xf>
    <xf numFmtId="182" fontId="25" fillId="24" borderId="0" xfId="0" applyNumberFormat="1" applyFont="1" applyFill="1" applyBorder="1" applyAlignment="1" applyProtection="1">
      <alignment horizontal="center" vertical="center" wrapText="1"/>
      <protection hidden="1"/>
    </xf>
    <xf numFmtId="182" fontId="25" fillId="24" borderId="88" xfId="0" applyNumberFormat="1" applyFont="1" applyFill="1" applyBorder="1" applyAlignment="1" applyProtection="1">
      <alignment horizontal="center" vertical="center" wrapText="1"/>
      <protection hidden="1"/>
    </xf>
    <xf numFmtId="199" fontId="47" fillId="0" borderId="10" xfId="0" applyNumberFormat="1" applyFont="1" applyFill="1" applyBorder="1" applyAlignment="1" applyProtection="1">
      <alignment vertical="center" wrapText="1"/>
    </xf>
    <xf numFmtId="200" fontId="63" fillId="29" borderId="10" xfId="0" applyNumberFormat="1" applyFont="1" applyFill="1" applyBorder="1" applyAlignment="1">
      <alignment horizontal="center" vertical="center" wrapText="1"/>
    </xf>
    <xf numFmtId="0" fontId="47" fillId="0" borderId="10" xfId="0" applyFont="1" applyFill="1" applyBorder="1" applyAlignment="1" applyProtection="1">
      <alignment vertical="center" wrapText="1"/>
    </xf>
    <xf numFmtId="0" fontId="60" fillId="30" borderId="89" xfId="0" applyNumberFormat="1" applyFont="1" applyFill="1" applyBorder="1" applyAlignment="1" applyProtection="1">
      <alignment vertical="center"/>
      <protection hidden="1"/>
    </xf>
    <xf numFmtId="0" fontId="64" fillId="30" borderId="0" xfId="0" applyNumberFormat="1" applyFont="1" applyFill="1" applyBorder="1" applyAlignment="1" applyProtection="1">
      <alignment horizontal="left" vertical="center"/>
      <protection hidden="1"/>
    </xf>
    <xf numFmtId="181" fontId="61" fillId="30" borderId="0" xfId="0" applyNumberFormat="1" applyFont="1" applyFill="1" applyBorder="1" applyAlignment="1" applyProtection="1">
      <alignment horizontal="center" vertical="center"/>
      <protection hidden="1"/>
    </xf>
    <xf numFmtId="181" fontId="60" fillId="30" borderId="0" xfId="0" applyNumberFormat="1" applyFont="1" applyFill="1" applyBorder="1" applyAlignment="1" applyProtection="1">
      <alignment horizontal="center" vertical="center"/>
      <protection hidden="1"/>
    </xf>
    <xf numFmtId="179" fontId="37" fillId="30" borderId="90" xfId="0" applyNumberFormat="1" applyFont="1" applyFill="1" applyBorder="1" applyAlignment="1" applyProtection="1">
      <alignment horizontal="left" vertical="center"/>
      <protection hidden="1"/>
    </xf>
    <xf numFmtId="179" fontId="37" fillId="30" borderId="0" xfId="0" applyNumberFormat="1" applyFont="1" applyFill="1" applyBorder="1" applyAlignment="1" applyProtection="1">
      <alignment horizontal="left" vertical="center"/>
      <protection hidden="1"/>
    </xf>
    <xf numFmtId="179" fontId="37" fillId="30" borderId="23" xfId="0" applyNumberFormat="1" applyFont="1" applyFill="1" applyBorder="1" applyAlignment="1" applyProtection="1">
      <alignment horizontal="left" vertical="center"/>
      <protection hidden="1"/>
    </xf>
    <xf numFmtId="179" fontId="37" fillId="30" borderId="53" xfId="0" applyNumberFormat="1" applyFont="1" applyFill="1" applyBorder="1" applyAlignment="1" applyProtection="1">
      <alignment horizontal="left" vertical="center"/>
      <protection hidden="1"/>
    </xf>
    <xf numFmtId="179" fontId="37" fillId="30" borderId="90" xfId="0" applyNumberFormat="1" applyFont="1" applyFill="1" applyBorder="1" applyAlignment="1" applyProtection="1">
      <alignment horizontal="left"/>
      <protection hidden="1"/>
    </xf>
    <xf numFmtId="179" fontId="37" fillId="30" borderId="91" xfId="0" applyNumberFormat="1" applyFont="1" applyFill="1" applyBorder="1" applyAlignment="1" applyProtection="1">
      <alignment horizontal="left"/>
      <protection hidden="1"/>
    </xf>
    <xf numFmtId="179" fontId="37" fillId="30" borderId="0" xfId="0" applyNumberFormat="1" applyFont="1" applyFill="1" applyBorder="1" applyAlignment="1" applyProtection="1">
      <alignment horizontal="left"/>
      <protection hidden="1"/>
    </xf>
    <xf numFmtId="179" fontId="37" fillId="30" borderId="88" xfId="0" applyNumberFormat="1" applyFont="1" applyFill="1" applyBorder="1" applyAlignment="1" applyProtection="1">
      <alignment horizontal="left" vertical="center"/>
      <protection hidden="1"/>
    </xf>
    <xf numFmtId="178" fontId="47" fillId="0" borderId="10" xfId="0" applyNumberFormat="1" applyFont="1" applyFill="1" applyBorder="1" applyProtection="1">
      <alignment vertical="center"/>
    </xf>
    <xf numFmtId="0" fontId="32" fillId="26" borderId="92" xfId="0" applyFont="1" applyFill="1" applyBorder="1" applyAlignment="1" applyProtection="1">
      <alignment vertical="center"/>
      <protection hidden="1"/>
    </xf>
    <xf numFmtId="0" fontId="32" fillId="26" borderId="93" xfId="0" applyNumberFormat="1" applyFont="1" applyFill="1" applyBorder="1" applyAlignment="1" applyProtection="1">
      <alignment horizontal="left" vertical="center"/>
      <protection hidden="1"/>
    </xf>
    <xf numFmtId="179" fontId="37" fillId="26" borderId="94" xfId="0" applyNumberFormat="1" applyFont="1" applyFill="1" applyBorder="1" applyAlignment="1" applyProtection="1">
      <alignment horizontal="left" vertical="center"/>
      <protection hidden="1"/>
    </xf>
    <xf numFmtId="179" fontId="37" fillId="26" borderId="93" xfId="0" applyNumberFormat="1" applyFont="1" applyFill="1" applyBorder="1" applyAlignment="1" applyProtection="1">
      <alignment horizontal="left" vertical="center"/>
      <protection hidden="1"/>
    </xf>
    <xf numFmtId="179" fontId="37" fillId="26" borderId="95" xfId="0" applyNumberFormat="1" applyFont="1" applyFill="1" applyBorder="1" applyAlignment="1" applyProtection="1">
      <alignment horizontal="left" vertical="center"/>
      <protection hidden="1"/>
    </xf>
    <xf numFmtId="179" fontId="37" fillId="26" borderId="96" xfId="0" applyNumberFormat="1" applyFont="1" applyFill="1" applyBorder="1" applyAlignment="1" applyProtection="1">
      <alignment horizontal="left" vertical="center"/>
      <protection hidden="1"/>
    </xf>
    <xf numFmtId="179" fontId="37" fillId="26" borderId="94" xfId="0" applyNumberFormat="1" applyFont="1" applyFill="1" applyBorder="1" applyAlignment="1" applyProtection="1">
      <alignment horizontal="left"/>
      <protection hidden="1"/>
    </xf>
    <xf numFmtId="179" fontId="37" fillId="26" borderId="97" xfId="0" applyNumberFormat="1" applyFont="1" applyFill="1" applyBorder="1" applyAlignment="1" applyProtection="1">
      <alignment horizontal="left"/>
      <protection hidden="1"/>
    </xf>
    <xf numFmtId="179" fontId="37" fillId="26" borderId="93" xfId="0" applyNumberFormat="1" applyFont="1" applyFill="1" applyBorder="1" applyAlignment="1" applyProtection="1">
      <alignment horizontal="left"/>
      <protection hidden="1"/>
    </xf>
    <xf numFmtId="179" fontId="37" fillId="26" borderId="98" xfId="0" applyNumberFormat="1" applyFont="1" applyFill="1" applyBorder="1" applyAlignment="1" applyProtection="1">
      <alignment horizontal="left" vertical="center"/>
      <protection hidden="1"/>
    </xf>
    <xf numFmtId="0" fontId="32" fillId="24" borderId="90" xfId="0" quotePrefix="1" applyFont="1" applyFill="1" applyBorder="1" applyAlignment="1" applyProtection="1">
      <alignment vertical="center"/>
      <protection hidden="1"/>
    </xf>
    <xf numFmtId="0" fontId="41" fillId="24" borderId="99" xfId="0" applyNumberFormat="1" applyFont="1" applyFill="1" applyBorder="1" applyAlignment="1" applyProtection="1">
      <alignment horizontal="left" vertical="center"/>
      <protection hidden="1"/>
    </xf>
    <xf numFmtId="0" fontId="41" fillId="24" borderId="0" xfId="0" applyNumberFormat="1" applyFont="1" applyFill="1" applyBorder="1" applyAlignment="1" applyProtection="1">
      <alignment horizontal="left" vertical="center"/>
      <protection hidden="1"/>
    </xf>
    <xf numFmtId="0" fontId="41" fillId="24" borderId="99" xfId="0" applyNumberFormat="1" applyFont="1" applyFill="1" applyBorder="1" applyAlignment="1" applyProtection="1">
      <alignment vertical="center"/>
      <protection hidden="1"/>
    </xf>
    <xf numFmtId="179" fontId="28" fillId="24" borderId="10" xfId="0" applyNumberFormat="1" applyFont="1" applyFill="1" applyBorder="1" applyAlignment="1" applyProtection="1">
      <alignment horizontal="center" vertical="center"/>
    </xf>
    <xf numFmtId="179" fontId="37" fillId="24" borderId="61" xfId="0" applyNumberFormat="1" applyFont="1" applyFill="1" applyBorder="1" applyAlignment="1" applyProtection="1">
      <alignment horizontal="left"/>
    </xf>
    <xf numFmtId="179" fontId="37" fillId="24" borderId="0" xfId="0" applyNumberFormat="1" applyFont="1" applyFill="1" applyBorder="1" applyAlignment="1" applyProtection="1">
      <alignment horizontal="left"/>
    </xf>
    <xf numFmtId="182" fontId="47" fillId="24" borderId="100" xfId="0" applyNumberFormat="1" applyFont="1" applyFill="1" applyBorder="1" applyAlignment="1" applyProtection="1">
      <alignment horizontal="center" vertical="center"/>
      <protection hidden="1"/>
    </xf>
    <xf numFmtId="179" fontId="37" fillId="24" borderId="90" xfId="0" applyNumberFormat="1" applyFont="1" applyFill="1" applyBorder="1" applyAlignment="1" applyProtection="1">
      <alignment horizontal="left"/>
    </xf>
    <xf numFmtId="182" fontId="35" fillId="24" borderId="101" xfId="0" applyNumberFormat="1" applyFont="1" applyFill="1" applyBorder="1" applyAlignment="1" applyProtection="1">
      <alignment horizontal="center" vertical="center"/>
      <protection hidden="1"/>
    </xf>
    <xf numFmtId="182" fontId="47" fillId="24" borderId="102" xfId="0" applyNumberFormat="1" applyFont="1" applyFill="1" applyBorder="1" applyAlignment="1" applyProtection="1">
      <alignment horizontal="center" vertical="center"/>
      <protection hidden="1"/>
    </xf>
    <xf numFmtId="182" fontId="47" fillId="24" borderId="103" xfId="0" applyNumberFormat="1" applyFont="1" applyFill="1" applyBorder="1" applyAlignment="1" applyProtection="1">
      <alignment horizontal="center" vertical="center"/>
      <protection hidden="1"/>
    </xf>
    <xf numFmtId="0" fontId="41" fillId="24" borderId="90" xfId="0" applyFont="1" applyFill="1" applyBorder="1" applyAlignment="1" applyProtection="1">
      <alignment horizontal="center"/>
      <protection hidden="1"/>
    </xf>
    <xf numFmtId="0" fontId="32" fillId="24" borderId="53" xfId="0" applyFont="1" applyFill="1" applyBorder="1" applyAlignment="1" applyProtection="1">
      <alignment vertical="center"/>
      <protection hidden="1"/>
    </xf>
    <xf numFmtId="0" fontId="27" fillId="24" borderId="54" xfId="0" applyFont="1" applyFill="1" applyBorder="1" applyAlignment="1" applyProtection="1">
      <alignment vertical="center"/>
      <protection hidden="1"/>
    </xf>
    <xf numFmtId="0" fontId="27" fillId="24" borderId="59" xfId="0" applyFont="1" applyFill="1" applyBorder="1" applyAlignment="1" applyProtection="1">
      <alignment vertical="center"/>
      <protection hidden="1"/>
    </xf>
    <xf numFmtId="182" fontId="47" fillId="24" borderId="105" xfId="0" applyNumberFormat="1" applyFont="1" applyFill="1" applyBorder="1" applyAlignment="1" applyProtection="1">
      <alignment horizontal="center" vertical="center"/>
      <protection hidden="1"/>
    </xf>
    <xf numFmtId="182" fontId="35" fillId="24" borderId="106" xfId="0" applyNumberFormat="1" applyFont="1" applyFill="1" applyBorder="1" applyAlignment="1" applyProtection="1">
      <alignment horizontal="center" vertical="center"/>
      <protection hidden="1"/>
    </xf>
    <xf numFmtId="182" fontId="47" fillId="24" borderId="107" xfId="0" applyNumberFormat="1" applyFont="1" applyFill="1" applyBorder="1" applyAlignment="1" applyProtection="1">
      <alignment horizontal="center" vertical="center"/>
      <protection hidden="1"/>
    </xf>
    <xf numFmtId="182" fontId="47" fillId="24" borderId="108" xfId="0" applyNumberFormat="1" applyFont="1" applyFill="1" applyBorder="1" applyAlignment="1" applyProtection="1">
      <alignment horizontal="center" vertical="center"/>
      <protection hidden="1"/>
    </xf>
    <xf numFmtId="0" fontId="65" fillId="24" borderId="20" xfId="0" applyFont="1" applyFill="1" applyBorder="1" applyAlignment="1" applyProtection="1">
      <alignment horizontal="center" vertical="center"/>
      <protection hidden="1"/>
    </xf>
    <xf numFmtId="0" fontId="27" fillId="24" borderId="10" xfId="0" applyFont="1" applyFill="1" applyBorder="1" applyAlignment="1" applyProtection="1">
      <alignment horizontal="center" vertical="center"/>
      <protection hidden="1"/>
    </xf>
    <xf numFmtId="179" fontId="28" fillId="24" borderId="51" xfId="0" applyNumberFormat="1" applyFont="1" applyFill="1" applyBorder="1" applyAlignment="1" applyProtection="1">
      <alignment horizontal="center" vertical="center"/>
    </xf>
    <xf numFmtId="182" fontId="47" fillId="0" borderId="75" xfId="0" applyNumberFormat="1" applyFont="1" applyFill="1" applyBorder="1" applyAlignment="1" applyProtection="1">
      <alignment horizontal="center" vertical="center"/>
      <protection locked="0" hidden="1"/>
    </xf>
    <xf numFmtId="179" fontId="28" fillId="24" borderId="86" xfId="0" applyNumberFormat="1" applyFont="1" applyFill="1" applyBorder="1" applyAlignment="1" applyProtection="1">
      <alignment horizontal="center" vertical="center"/>
    </xf>
    <xf numFmtId="182" fontId="47" fillId="0" borderId="109" xfId="0" applyNumberFormat="1" applyFont="1" applyFill="1" applyBorder="1" applyAlignment="1" applyProtection="1">
      <alignment horizontal="center" vertical="center"/>
      <protection locked="0" hidden="1"/>
    </xf>
    <xf numFmtId="182" fontId="47" fillId="0" borderId="110" xfId="0" applyNumberFormat="1" applyFont="1" applyFill="1" applyBorder="1" applyAlignment="1" applyProtection="1">
      <alignment horizontal="center" vertical="center"/>
      <protection locked="0" hidden="1"/>
    </xf>
    <xf numFmtId="0" fontId="65" fillId="24" borderId="24" xfId="0" applyFont="1" applyFill="1" applyBorder="1" applyAlignment="1" applyProtection="1">
      <alignment horizontal="center" vertical="center"/>
      <protection hidden="1"/>
    </xf>
    <xf numFmtId="0" fontId="27" fillId="24" borderId="50" xfId="0" applyFont="1" applyFill="1" applyBorder="1" applyAlignment="1" applyProtection="1">
      <alignment vertical="center"/>
      <protection hidden="1"/>
    </xf>
    <xf numFmtId="182" fontId="47" fillId="0" borderId="105" xfId="0" applyNumberFormat="1" applyFont="1" applyFill="1" applyBorder="1" applyAlignment="1" applyProtection="1">
      <alignment horizontal="center" vertical="center"/>
      <protection locked="0" hidden="1"/>
    </xf>
    <xf numFmtId="182" fontId="47" fillId="0" borderId="111" xfId="0" applyNumberFormat="1" applyFont="1" applyFill="1" applyBorder="1" applyAlignment="1" applyProtection="1">
      <alignment horizontal="center" vertical="center"/>
      <protection locked="0" hidden="1"/>
    </xf>
    <xf numFmtId="182" fontId="47" fillId="0" borderId="112" xfId="0" applyNumberFormat="1" applyFont="1" applyFill="1" applyBorder="1" applyAlignment="1" applyProtection="1">
      <alignment horizontal="center" vertical="center"/>
      <protection locked="0" hidden="1"/>
    </xf>
    <xf numFmtId="0" fontId="32" fillId="24" borderId="20" xfId="0" applyFont="1" applyFill="1" applyBorder="1" applyAlignment="1" applyProtection="1">
      <alignment vertical="center"/>
      <protection hidden="1"/>
    </xf>
    <xf numFmtId="182" fontId="35" fillId="24" borderId="113" xfId="0" applyNumberFormat="1" applyFont="1" applyFill="1" applyBorder="1" applyAlignment="1" applyProtection="1">
      <alignment horizontal="center" vertical="center"/>
      <protection hidden="1"/>
    </xf>
    <xf numFmtId="182" fontId="47" fillId="24" borderId="114" xfId="0" applyNumberFormat="1" applyFont="1" applyFill="1" applyBorder="1" applyAlignment="1" applyProtection="1">
      <alignment horizontal="center" vertical="center"/>
      <protection hidden="1"/>
    </xf>
    <xf numFmtId="182" fontId="47" fillId="24" borderId="104"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protection locked="0" hidden="1"/>
    </xf>
    <xf numFmtId="182" fontId="47" fillId="0" borderId="115" xfId="0" applyNumberFormat="1" applyFont="1" applyFill="1" applyBorder="1" applyAlignment="1" applyProtection="1">
      <alignment horizontal="center" vertical="center"/>
      <protection locked="0" hidden="1"/>
    </xf>
    <xf numFmtId="182" fontId="47" fillId="0" borderId="88" xfId="0" applyNumberFormat="1" applyFont="1" applyFill="1" applyBorder="1" applyAlignment="1" applyProtection="1">
      <alignment horizontal="center" vertical="center"/>
      <protection locked="0" hidden="1"/>
    </xf>
    <xf numFmtId="0" fontId="41" fillId="24" borderId="65" xfId="0" applyFont="1" applyFill="1" applyBorder="1" applyAlignment="1" applyProtection="1">
      <alignment horizontal="center"/>
      <protection hidden="1"/>
    </xf>
    <xf numFmtId="0" fontId="32" fillId="24" borderId="50" xfId="0" applyFont="1" applyFill="1" applyBorder="1" applyAlignment="1" applyProtection="1">
      <alignment vertical="center"/>
      <protection hidden="1"/>
    </xf>
    <xf numFmtId="0" fontId="27" fillId="24" borderId="51" xfId="0" applyFont="1" applyFill="1" applyBorder="1" applyAlignment="1" applyProtection="1">
      <alignment vertical="center"/>
      <protection hidden="1"/>
    </xf>
    <xf numFmtId="182" fontId="35" fillId="0" borderId="111" xfId="0" applyNumberFormat="1" applyFont="1" applyFill="1" applyBorder="1" applyAlignment="1" applyProtection="1">
      <alignment horizontal="center" vertical="center"/>
      <protection locked="0" hidden="1"/>
    </xf>
    <xf numFmtId="0" fontId="41" fillId="24" borderId="51" xfId="0" applyNumberFormat="1" applyFont="1" applyFill="1" applyBorder="1" applyAlignment="1" applyProtection="1">
      <alignment horizontal="left" vertical="center"/>
      <protection hidden="1"/>
    </xf>
    <xf numFmtId="0" fontId="66" fillId="24" borderId="51" xfId="0" applyFont="1" applyFill="1" applyBorder="1" applyAlignment="1" applyProtection="1">
      <alignment vertical="center"/>
      <protection hidden="1"/>
    </xf>
    <xf numFmtId="179" fontId="37" fillId="24" borderId="10" xfId="0" applyNumberFormat="1" applyFont="1" applyFill="1" applyBorder="1" applyAlignment="1" applyProtection="1">
      <alignment horizontal="left"/>
    </xf>
    <xf numFmtId="179" fontId="37" fillId="24" borderId="51" xfId="0" applyNumberFormat="1" applyFont="1" applyFill="1" applyBorder="1" applyAlignment="1" applyProtection="1">
      <alignment horizontal="left"/>
    </xf>
    <xf numFmtId="182" fontId="47" fillId="24" borderId="116" xfId="0" applyNumberFormat="1" applyFont="1" applyFill="1" applyBorder="1" applyAlignment="1" applyProtection="1">
      <alignment horizontal="center" vertical="center"/>
      <protection hidden="1"/>
    </xf>
    <xf numFmtId="179" fontId="37" fillId="24" borderId="86" xfId="0" applyNumberFormat="1" applyFont="1" applyFill="1" applyBorder="1" applyAlignment="1" applyProtection="1">
      <alignment horizontal="left"/>
    </xf>
    <xf numFmtId="182" fontId="35" fillId="24" borderId="117" xfId="0" applyNumberFormat="1" applyFont="1" applyFill="1" applyBorder="1" applyAlignment="1" applyProtection="1">
      <alignment horizontal="center" vertical="center"/>
      <protection hidden="1"/>
    </xf>
    <xf numFmtId="0" fontId="27" fillId="24" borderId="54" xfId="0" applyNumberFormat="1" applyFont="1" applyFill="1" applyBorder="1" applyAlignment="1" applyProtection="1">
      <alignment horizontal="left" vertical="center"/>
      <protection hidden="1"/>
    </xf>
    <xf numFmtId="0" fontId="28" fillId="24" borderId="10" xfId="0" applyFont="1" applyFill="1" applyBorder="1" applyAlignment="1" applyProtection="1">
      <alignment horizontal="center" vertical="center"/>
    </xf>
    <xf numFmtId="0" fontId="28" fillId="24" borderId="51" xfId="0" applyFont="1" applyFill="1" applyBorder="1" applyAlignment="1" applyProtection="1">
      <alignment horizontal="center" vertical="center"/>
    </xf>
    <xf numFmtId="0" fontId="28" fillId="24" borderId="86" xfId="0" applyFont="1" applyFill="1" applyBorder="1" applyAlignment="1" applyProtection="1">
      <alignment horizontal="center" vertical="center"/>
    </xf>
    <xf numFmtId="0" fontId="65" fillId="24" borderId="20" xfId="0" applyNumberFormat="1" applyFont="1" applyFill="1" applyBorder="1" applyAlignment="1" applyProtection="1">
      <alignment horizontal="center" vertical="center"/>
      <protection hidden="1"/>
    </xf>
    <xf numFmtId="0" fontId="41" fillId="24" borderId="90" xfId="0" quotePrefix="1" applyNumberFormat="1" applyFont="1" applyFill="1" applyBorder="1" applyAlignment="1" applyProtection="1">
      <alignment horizontal="center" vertical="center"/>
      <protection hidden="1"/>
    </xf>
    <xf numFmtId="179" fontId="28" fillId="24" borderId="113" xfId="0" applyNumberFormat="1" applyFont="1" applyFill="1" applyBorder="1" applyAlignment="1" applyProtection="1">
      <alignment horizontal="center" vertical="center"/>
    </xf>
    <xf numFmtId="179" fontId="28" fillId="24" borderId="82" xfId="0" applyNumberFormat="1" applyFont="1" applyFill="1" applyBorder="1" applyAlignment="1" applyProtection="1">
      <alignment horizontal="center" vertical="center"/>
    </xf>
    <xf numFmtId="182" fontId="47" fillId="24" borderId="88" xfId="0" applyNumberFormat="1" applyFont="1" applyFill="1" applyBorder="1" applyAlignment="1" applyProtection="1">
      <alignment horizontal="center" vertical="center"/>
      <protection hidden="1"/>
    </xf>
    <xf numFmtId="182" fontId="47" fillId="24" borderId="90" xfId="0" applyNumberFormat="1" applyFont="1" applyFill="1" applyBorder="1" applyAlignment="1" applyProtection="1">
      <alignment horizontal="center" vertical="center"/>
      <protection hidden="1"/>
    </xf>
    <xf numFmtId="182" fontId="47" fillId="24" borderId="85" xfId="0" applyNumberFormat="1" applyFont="1" applyFill="1" applyBorder="1" applyAlignment="1" applyProtection="1">
      <alignment horizontal="center" vertical="center"/>
      <protection hidden="1"/>
    </xf>
    <xf numFmtId="182" fontId="47" fillId="24" borderId="86" xfId="0" applyNumberFormat="1" applyFont="1" applyFill="1" applyBorder="1" applyAlignment="1" applyProtection="1">
      <alignment horizontal="center" vertical="center"/>
      <protection hidden="1"/>
    </xf>
    <xf numFmtId="182" fontId="47" fillId="24" borderId="118" xfId="0" applyNumberFormat="1" applyFont="1" applyFill="1" applyBorder="1" applyAlignment="1" applyProtection="1">
      <alignment horizontal="center" vertical="center"/>
      <protection hidden="1"/>
    </xf>
    <xf numFmtId="0" fontId="65" fillId="24" borderId="24" xfId="0" applyNumberFormat="1" applyFont="1" applyFill="1" applyBorder="1" applyAlignment="1" applyProtection="1">
      <alignment horizontal="center" vertical="center"/>
      <protection hidden="1"/>
    </xf>
    <xf numFmtId="0" fontId="41" fillId="24" borderId="90" xfId="0" applyNumberFormat="1" applyFont="1" applyFill="1" applyBorder="1" applyAlignment="1" applyProtection="1">
      <alignment horizontal="center" vertical="center"/>
      <protection hidden="1"/>
    </xf>
    <xf numFmtId="182" fontId="47" fillId="0" borderId="119" xfId="0" applyNumberFormat="1" applyFont="1" applyFill="1" applyBorder="1" applyAlignment="1" applyProtection="1">
      <alignment horizontal="center" vertical="center"/>
      <protection locked="0" hidden="1"/>
    </xf>
    <xf numFmtId="182" fontId="47" fillId="0" borderId="83" xfId="0" applyNumberFormat="1" applyFont="1" applyFill="1" applyBorder="1" applyAlignment="1" applyProtection="1">
      <alignment horizontal="center" vertical="center"/>
      <protection locked="0" hidden="1"/>
    </xf>
    <xf numFmtId="182" fontId="47" fillId="0" borderId="84" xfId="0" applyNumberFormat="1" applyFont="1" applyFill="1" applyBorder="1" applyAlignment="1" applyProtection="1">
      <alignment horizontal="center" vertical="center"/>
      <protection locked="0" hidden="1"/>
    </xf>
    <xf numFmtId="0" fontId="41" fillId="24" borderId="83" xfId="0" applyNumberFormat="1" applyFont="1" applyFill="1" applyBorder="1" applyAlignment="1" applyProtection="1">
      <alignment horizontal="center" vertical="center"/>
      <protection hidden="1"/>
    </xf>
    <xf numFmtId="0" fontId="32" fillId="24" borderId="24" xfId="0" applyFont="1" applyFill="1" applyBorder="1" applyAlignment="1" applyProtection="1">
      <alignment vertical="center"/>
      <protection hidden="1"/>
    </xf>
    <xf numFmtId="0" fontId="27" fillId="24" borderId="51" xfId="0" applyFont="1" applyFill="1" applyBorder="1" applyAlignment="1" applyProtection="1">
      <alignment vertical="center" shrinkToFit="1"/>
      <protection hidden="1"/>
    </xf>
    <xf numFmtId="0" fontId="41" fillId="24" borderId="105" xfId="0" quotePrefix="1" applyNumberFormat="1" applyFont="1" applyFill="1" applyBorder="1" applyAlignment="1" applyProtection="1">
      <alignment horizontal="center" vertical="center"/>
      <protection hidden="1"/>
    </xf>
    <xf numFmtId="0" fontId="65" fillId="24" borderId="120" xfId="0" applyFont="1" applyFill="1" applyBorder="1" applyAlignment="1" applyProtection="1">
      <alignment horizontal="center" vertical="center"/>
      <protection hidden="1"/>
    </xf>
    <xf numFmtId="0" fontId="27" fillId="24" borderId="121" xfId="0" applyFont="1" applyFill="1" applyBorder="1" applyAlignment="1" applyProtection="1">
      <alignment horizontal="center" vertical="center"/>
      <protection hidden="1"/>
    </xf>
    <xf numFmtId="0" fontId="27" fillId="24" borderId="122" xfId="0" applyFont="1" applyFill="1" applyBorder="1" applyAlignment="1" applyProtection="1">
      <alignment vertical="center"/>
      <protection hidden="1"/>
    </xf>
    <xf numFmtId="179" fontId="28" fillId="24" borderId="108" xfId="0" applyNumberFormat="1" applyFont="1" applyFill="1" applyBorder="1" applyAlignment="1" applyProtection="1">
      <alignment horizontal="center" vertical="center"/>
    </xf>
    <xf numFmtId="179" fontId="28" fillId="24" borderId="122" xfId="0" applyNumberFormat="1" applyFont="1" applyFill="1" applyBorder="1" applyAlignment="1" applyProtection="1">
      <alignment horizontal="center" vertical="center"/>
    </xf>
    <xf numFmtId="0" fontId="32" fillId="26" borderId="123" xfId="0" applyFont="1" applyFill="1" applyBorder="1" applyAlignment="1" applyProtection="1">
      <alignment vertical="center"/>
      <protection hidden="1"/>
    </xf>
    <xf numFmtId="0" fontId="32" fillId="26" borderId="124" xfId="0" applyFont="1" applyFill="1" applyBorder="1" applyAlignment="1" applyProtection="1">
      <alignment horizontal="left"/>
      <protection hidden="1"/>
    </xf>
    <xf numFmtId="179" fontId="37" fillId="26" borderId="125" xfId="0" applyNumberFormat="1" applyFont="1" applyFill="1" applyBorder="1" applyAlignment="1" applyProtection="1">
      <alignment horizontal="left"/>
      <protection hidden="1"/>
    </xf>
    <xf numFmtId="179" fontId="37" fillId="26" borderId="12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protection hidden="1"/>
    </xf>
    <xf numFmtId="179" fontId="37" fillId="26" borderId="92" xfId="0" applyNumberFormat="1" applyFont="1" applyFill="1" applyBorder="1" applyAlignment="1" applyProtection="1">
      <alignment horizontal="left"/>
      <protection hidden="1"/>
    </xf>
    <xf numFmtId="179" fontId="37" fillId="26" borderId="126" xfId="0" applyNumberFormat="1" applyFont="1" applyFill="1" applyBorder="1" applyAlignment="1" applyProtection="1">
      <alignment horizontal="left"/>
      <protection hidden="1"/>
    </xf>
    <xf numFmtId="179" fontId="37" fillId="26" borderId="127" xfId="0" applyNumberFormat="1" applyFont="1" applyFill="1" applyBorder="1" applyAlignment="1" applyProtection="1">
      <alignment horizontal="left"/>
      <protection hidden="1"/>
    </xf>
    <xf numFmtId="179" fontId="37" fillId="26" borderId="128" xfId="0" applyNumberFormat="1" applyFont="1" applyFill="1" applyBorder="1" applyAlignment="1" applyProtection="1">
      <alignment horizontal="left"/>
      <protection hidden="1"/>
    </xf>
    <xf numFmtId="0" fontId="41" fillId="24" borderId="99" xfId="0" applyFont="1" applyFill="1" applyBorder="1" applyAlignment="1" applyProtection="1">
      <alignment horizontal="left" vertical="center"/>
      <protection hidden="1"/>
    </xf>
    <xf numFmtId="0" fontId="41" fillId="24" borderId="0" xfId="0" applyFont="1" applyFill="1" applyBorder="1" applyAlignment="1" applyProtection="1">
      <alignment horizontal="left" vertical="center"/>
      <protection hidden="1"/>
    </xf>
    <xf numFmtId="179" fontId="37" fillId="24" borderId="22" xfId="0" applyNumberFormat="1" applyFont="1" applyFill="1" applyBorder="1" applyAlignment="1" applyProtection="1">
      <alignment horizontal="left"/>
    </xf>
    <xf numFmtId="179" fontId="37" fillId="24" borderId="59" xfId="0" applyNumberFormat="1" applyFont="1" applyFill="1" applyBorder="1" applyAlignment="1" applyProtection="1">
      <alignment horizontal="left"/>
    </xf>
    <xf numFmtId="179" fontId="37" fillId="24" borderId="83" xfId="0" applyNumberFormat="1" applyFont="1" applyFill="1" applyBorder="1" applyAlignment="1" applyProtection="1">
      <alignment horizontal="left"/>
    </xf>
    <xf numFmtId="182" fontId="35" fillId="24" borderId="129" xfId="0" applyNumberFormat="1" applyFont="1" applyFill="1" applyBorder="1" applyAlignment="1" applyProtection="1">
      <alignment horizontal="center" vertical="center"/>
      <protection hidden="1"/>
    </xf>
    <xf numFmtId="182" fontId="47" fillId="24" borderId="130" xfId="0" applyNumberFormat="1" applyFont="1" applyFill="1" applyBorder="1" applyAlignment="1" applyProtection="1">
      <alignment horizontal="center" vertical="center"/>
      <protection hidden="1"/>
    </xf>
    <xf numFmtId="182" fontId="47" fillId="24" borderId="131" xfId="0" applyNumberFormat="1" applyFont="1" applyFill="1" applyBorder="1" applyAlignment="1" applyProtection="1">
      <alignment horizontal="center" vertical="center"/>
      <protection hidden="1"/>
    </xf>
    <xf numFmtId="0" fontId="66" fillId="24" borderId="54" xfId="0" applyFont="1" applyFill="1" applyBorder="1" applyAlignment="1" applyProtection="1">
      <alignment vertical="center"/>
      <protection hidden="1"/>
    </xf>
    <xf numFmtId="182" fontId="47" fillId="24" borderId="112" xfId="0" applyNumberFormat="1" applyFont="1" applyFill="1" applyBorder="1" applyAlignment="1" applyProtection="1">
      <alignment horizontal="center" vertical="center"/>
      <protection hidden="1"/>
    </xf>
    <xf numFmtId="0" fontId="41" fillId="24" borderId="132" xfId="0" quotePrefix="1" applyNumberFormat="1" applyFont="1" applyFill="1" applyBorder="1" applyAlignment="1" applyProtection="1">
      <alignment horizontal="center" vertical="center"/>
      <protection hidden="1"/>
    </xf>
    <xf numFmtId="0" fontId="41" fillId="24" borderId="83" xfId="0" quotePrefix="1" applyNumberFormat="1" applyFont="1" applyFill="1" applyBorder="1" applyAlignment="1" applyProtection="1">
      <alignment horizontal="center" vertical="center"/>
      <protection hidden="1"/>
    </xf>
    <xf numFmtId="179" fontId="28" fillId="24" borderId="50" xfId="0" applyNumberFormat="1" applyFont="1" applyFill="1" applyBorder="1" applyAlignment="1" applyProtection="1">
      <alignment horizontal="center" vertical="center"/>
    </xf>
    <xf numFmtId="179" fontId="25" fillId="24" borderId="10" xfId="0" applyNumberFormat="1" applyFont="1" applyFill="1" applyBorder="1" applyAlignment="1" applyProtection="1">
      <alignment horizontal="center" vertical="center"/>
    </xf>
    <xf numFmtId="182" fontId="47" fillId="24" borderId="133" xfId="0" applyNumberFormat="1" applyFont="1" applyFill="1" applyBorder="1" applyAlignment="1" applyProtection="1">
      <alignment horizontal="center" vertical="center"/>
      <protection hidden="1"/>
    </xf>
    <xf numFmtId="182" fontId="35" fillId="24" borderId="134" xfId="0" applyNumberFormat="1" applyFont="1" applyFill="1" applyBorder="1" applyAlignment="1" applyProtection="1">
      <alignment horizontal="center" vertical="center"/>
      <protection hidden="1"/>
    </xf>
    <xf numFmtId="182" fontId="47" fillId="24" borderId="135" xfId="0" applyNumberFormat="1" applyFont="1" applyFill="1" applyBorder="1" applyAlignment="1" applyProtection="1">
      <alignment horizontal="center" vertical="center"/>
      <protection hidden="1"/>
    </xf>
    <xf numFmtId="182" fontId="47" fillId="24" borderId="73" xfId="0" applyNumberFormat="1" applyFont="1" applyFill="1" applyBorder="1" applyAlignment="1" applyProtection="1">
      <alignment horizontal="center" vertical="center"/>
      <protection hidden="1"/>
    </xf>
    <xf numFmtId="0" fontId="27" fillId="24" borderId="20" xfId="0" applyFont="1" applyFill="1" applyBorder="1" applyAlignment="1" applyProtection="1">
      <alignment vertical="center"/>
      <protection hidden="1"/>
    </xf>
    <xf numFmtId="0" fontId="41" fillId="24" borderId="83" xfId="0" applyFont="1" applyFill="1" applyBorder="1" applyAlignment="1" applyProtection="1">
      <alignment horizontal="center"/>
      <protection hidden="1"/>
    </xf>
    <xf numFmtId="0" fontId="28" fillId="31" borderId="54" xfId="0" applyFont="1" applyFill="1" applyBorder="1" applyAlignment="1" applyProtection="1">
      <alignment horizontal="center" vertical="center"/>
    </xf>
    <xf numFmtId="182" fontId="47" fillId="31" borderId="104" xfId="0" applyNumberFormat="1" applyFont="1" applyFill="1" applyBorder="1" applyAlignment="1" applyProtection="1">
      <alignment horizontal="center" vertical="center"/>
      <protection hidden="1"/>
    </xf>
    <xf numFmtId="0" fontId="28" fillId="31" borderId="104" xfId="0" applyFont="1" applyFill="1" applyBorder="1" applyAlignment="1" applyProtection="1">
      <alignment horizontal="center" vertical="center"/>
    </xf>
    <xf numFmtId="182" fontId="35" fillId="31" borderId="136" xfId="0" applyNumberFormat="1" applyFont="1" applyFill="1" applyBorder="1" applyAlignment="1" applyProtection="1">
      <alignment horizontal="center" vertical="center"/>
      <protection hidden="1"/>
    </xf>
    <xf numFmtId="182" fontId="35" fillId="31" borderId="137" xfId="0" applyNumberFormat="1" applyFont="1" applyFill="1" applyBorder="1" applyAlignment="1" applyProtection="1">
      <alignment horizontal="center" vertical="center"/>
      <protection hidden="1"/>
    </xf>
    <xf numFmtId="182" fontId="47" fillId="31" borderId="114" xfId="0" applyNumberFormat="1" applyFont="1" applyFill="1" applyBorder="1" applyAlignment="1" applyProtection="1">
      <alignment horizontal="center" vertical="center"/>
      <protection hidden="1"/>
    </xf>
    <xf numFmtId="0" fontId="32" fillId="24" borderId="104" xfId="0" quotePrefix="1" applyFont="1" applyFill="1" applyBorder="1" applyAlignment="1" applyProtection="1">
      <alignment vertical="center"/>
      <protection hidden="1"/>
    </xf>
    <xf numFmtId="0" fontId="41" fillId="24" borderId="54" xfId="0" applyNumberFormat="1" applyFont="1" applyFill="1" applyBorder="1" applyAlignment="1" applyProtection="1">
      <alignment horizontal="left" vertical="center"/>
      <protection hidden="1"/>
    </xf>
    <xf numFmtId="182" fontId="35" fillId="24" borderId="91" xfId="0" applyNumberFormat="1" applyFont="1" applyFill="1" applyBorder="1" applyAlignment="1" applyProtection="1">
      <alignment horizontal="center" vertical="center"/>
      <protection hidden="1"/>
    </xf>
    <xf numFmtId="0" fontId="27" fillId="24" borderId="23" xfId="0" applyFont="1" applyFill="1" applyBorder="1" applyAlignment="1" applyProtection="1">
      <alignment horizontal="center" vertical="center"/>
      <protection hidden="1"/>
    </xf>
    <xf numFmtId="0" fontId="27" fillId="24" borderId="51" xfId="0" applyNumberFormat="1" applyFont="1" applyFill="1" applyBorder="1" applyAlignment="1" applyProtection="1">
      <alignment horizontal="left" vertical="center"/>
      <protection hidden="1"/>
    </xf>
    <xf numFmtId="182" fontId="47" fillId="0" borderId="75" xfId="0" applyNumberFormat="1" applyFont="1" applyFill="1" applyBorder="1" applyAlignment="1" applyProtection="1">
      <alignment horizontal="center" vertical="center"/>
      <protection locked="0"/>
    </xf>
    <xf numFmtId="182" fontId="47" fillId="0" borderId="90" xfId="0" applyNumberFormat="1" applyFont="1" applyFill="1" applyBorder="1" applyAlignment="1" applyProtection="1">
      <alignment horizontal="center" vertical="center"/>
      <protection locked="0"/>
    </xf>
    <xf numFmtId="0" fontId="65" fillId="24" borderId="120" xfId="0" applyNumberFormat="1" applyFont="1" applyFill="1" applyBorder="1" applyAlignment="1" applyProtection="1">
      <alignment horizontal="center" vertical="center"/>
      <protection hidden="1"/>
    </xf>
    <xf numFmtId="179" fontId="28" fillId="24" borderId="104" xfId="0" applyNumberFormat="1" applyFont="1" applyFill="1" applyBorder="1" applyAlignment="1" applyProtection="1">
      <alignment horizontal="center" vertical="center"/>
    </xf>
    <xf numFmtId="179" fontId="28" fillId="24" borderId="54" xfId="0" applyNumberFormat="1" applyFont="1" applyFill="1" applyBorder="1" applyAlignment="1" applyProtection="1">
      <alignment horizontal="center" vertical="center"/>
    </xf>
    <xf numFmtId="182" fontId="47" fillId="0" borderId="105" xfId="0" applyNumberFormat="1" applyFont="1" applyFill="1" applyBorder="1" applyAlignment="1" applyProtection="1">
      <alignment horizontal="center" vertical="center"/>
      <protection locked="0"/>
    </xf>
    <xf numFmtId="0" fontId="6" fillId="0" borderId="88" xfId="0" applyFont="1" applyFill="1" applyBorder="1" applyProtection="1">
      <alignment vertical="center"/>
      <protection hidden="1"/>
    </xf>
    <xf numFmtId="0" fontId="32" fillId="26" borderId="124" xfId="0" applyNumberFormat="1" applyFont="1" applyFill="1" applyBorder="1" applyAlignment="1" applyProtection="1">
      <alignment horizontal="left" vertical="center"/>
      <protection hidden="1"/>
    </xf>
    <xf numFmtId="179" fontId="37" fillId="26" borderId="134" xfId="0" applyNumberFormat="1" applyFont="1" applyFill="1" applyBorder="1" applyAlignment="1" applyProtection="1">
      <alignment horizontal="left"/>
      <protection hidden="1"/>
    </xf>
    <xf numFmtId="179" fontId="37" fillId="26" borderId="123" xfId="0" applyNumberFormat="1" applyFont="1" applyFill="1" applyBorder="1" applyAlignment="1" applyProtection="1">
      <alignment horizontal="left"/>
    </xf>
    <xf numFmtId="0" fontId="27" fillId="24" borderId="138" xfId="0" applyFont="1" applyFill="1" applyBorder="1" applyAlignment="1" applyProtection="1">
      <alignment vertical="center"/>
      <protection hidden="1"/>
    </xf>
    <xf numFmtId="182" fontId="35" fillId="0" borderId="109" xfId="0" applyNumberFormat="1" applyFont="1" applyFill="1" applyBorder="1" applyAlignment="1" applyProtection="1">
      <alignment horizontal="center" vertical="center"/>
      <protection locked="0" hidden="1"/>
    </xf>
    <xf numFmtId="0" fontId="32" fillId="24" borderId="86" xfId="0" quotePrefix="1" applyFont="1" applyFill="1" applyBorder="1" applyAlignment="1" applyProtection="1">
      <alignment vertical="center"/>
      <protection hidden="1"/>
    </xf>
    <xf numFmtId="0" fontId="41" fillId="24" borderId="51" xfId="0" applyFont="1" applyFill="1" applyBorder="1" applyAlignment="1" applyProtection="1">
      <alignment horizontal="left" vertical="center"/>
      <protection hidden="1"/>
    </xf>
    <xf numFmtId="0" fontId="41" fillId="24" borderId="59" xfId="0" applyNumberFormat="1" applyFont="1" applyFill="1" applyBorder="1" applyAlignment="1" applyProtection="1">
      <alignment horizontal="left" vertical="center"/>
      <protection hidden="1"/>
    </xf>
    <xf numFmtId="0" fontId="32" fillId="24" borderId="20" xfId="0" applyFont="1" applyFill="1" applyBorder="1" applyProtection="1">
      <alignment vertical="center"/>
      <protection hidden="1"/>
    </xf>
    <xf numFmtId="0" fontId="27" fillId="24" borderId="59" xfId="0" applyNumberFormat="1" applyFont="1" applyFill="1" applyBorder="1" applyAlignment="1" applyProtection="1">
      <alignment horizontal="left" vertical="center"/>
      <protection hidden="1"/>
    </xf>
    <xf numFmtId="0" fontId="27" fillId="24" borderId="59" xfId="0" applyFont="1" applyFill="1" applyBorder="1" applyProtection="1">
      <alignment vertical="center"/>
      <protection hidden="1"/>
    </xf>
    <xf numFmtId="0" fontId="32" fillId="24" borderId="50" xfId="0" applyFont="1" applyFill="1" applyBorder="1" applyProtection="1">
      <alignment vertical="center"/>
      <protection hidden="1"/>
    </xf>
    <xf numFmtId="0" fontId="27" fillId="24" borderId="51" xfId="0" applyFont="1" applyFill="1" applyBorder="1" applyProtection="1">
      <alignment vertical="center"/>
      <protection hidden="1"/>
    </xf>
    <xf numFmtId="179" fontId="37" fillId="0" borderId="0" xfId="0" applyNumberFormat="1" applyFont="1" applyFill="1" applyBorder="1" applyAlignment="1" applyProtection="1">
      <alignment horizontal="left"/>
    </xf>
    <xf numFmtId="182" fontId="47" fillId="0" borderId="90" xfId="0" applyNumberFormat="1" applyFont="1" applyFill="1" applyBorder="1" applyAlignment="1" applyProtection="1">
      <alignment horizontal="center" vertical="center"/>
      <protection hidden="1"/>
    </xf>
    <xf numFmtId="179" fontId="37" fillId="0" borderId="90" xfId="0" applyNumberFormat="1" applyFont="1" applyFill="1" applyBorder="1" applyAlignment="1" applyProtection="1">
      <alignment horizontal="left"/>
    </xf>
    <xf numFmtId="182" fontId="47" fillId="0" borderId="133" xfId="0" applyNumberFormat="1" applyFont="1" applyFill="1" applyBorder="1" applyAlignment="1" applyProtection="1">
      <alignment horizontal="center" vertical="center"/>
      <protection hidden="1"/>
    </xf>
    <xf numFmtId="179" fontId="37" fillId="0" borderId="74" xfId="0" applyNumberFormat="1" applyFont="1" applyFill="1" applyBorder="1" applyAlignment="1" applyProtection="1">
      <alignment horizontal="left"/>
    </xf>
    <xf numFmtId="182" fontId="47" fillId="0" borderId="88" xfId="0" applyNumberFormat="1" applyFont="1" applyFill="1" applyBorder="1" applyAlignment="1" applyProtection="1">
      <alignment horizontal="center" vertical="center"/>
      <protection hidden="1"/>
    </xf>
    <xf numFmtId="182" fontId="47" fillId="0" borderId="90" xfId="0" applyNumberFormat="1" applyFont="1" applyFill="1" applyBorder="1" applyAlignment="1" applyProtection="1">
      <alignment horizontal="center" vertical="center"/>
    </xf>
    <xf numFmtId="182" fontId="47" fillId="0" borderId="115" xfId="0" applyNumberFormat="1" applyFont="1" applyFill="1" applyBorder="1" applyAlignment="1" applyProtection="1">
      <alignment horizontal="center" vertical="center"/>
      <protection hidden="1"/>
    </xf>
    <xf numFmtId="0" fontId="60" fillId="30" borderId="75" xfId="0" applyNumberFormat="1" applyFont="1" applyFill="1" applyBorder="1" applyAlignment="1" applyProtection="1">
      <alignment horizontal="left" vertical="center"/>
      <protection hidden="1"/>
    </xf>
    <xf numFmtId="0" fontId="60" fillId="30" borderId="81" xfId="0" applyNumberFormat="1" applyFont="1" applyFill="1" applyBorder="1" applyAlignment="1" applyProtection="1">
      <alignment horizontal="left" vertical="center"/>
      <protection hidden="1"/>
    </xf>
    <xf numFmtId="179" fontId="37" fillId="30" borderId="81" xfId="0" applyNumberFormat="1" applyFont="1" applyFill="1" applyBorder="1" applyAlignment="1" applyProtection="1">
      <alignment horizontal="left" vertical="center"/>
      <protection hidden="1"/>
    </xf>
    <xf numFmtId="179" fontId="37" fillId="30" borderId="139" xfId="0" applyNumberFormat="1" applyFont="1" applyFill="1" applyBorder="1" applyAlignment="1" applyProtection="1">
      <alignment horizontal="left" vertical="center"/>
      <protection hidden="1"/>
    </xf>
    <xf numFmtId="179" fontId="37" fillId="30" borderId="109" xfId="0" applyNumberFormat="1" applyFont="1" applyFill="1" applyBorder="1" applyAlignment="1" applyProtection="1">
      <alignment horizontal="left"/>
      <protection hidden="1"/>
    </xf>
    <xf numFmtId="179" fontId="37" fillId="30" borderId="117" xfId="0" applyNumberFormat="1" applyFont="1" applyFill="1" applyBorder="1" applyAlignment="1" applyProtection="1">
      <alignment horizontal="left"/>
      <protection hidden="1"/>
    </xf>
    <xf numFmtId="179" fontId="37" fillId="30" borderId="140" xfId="0" applyNumberFormat="1" applyFont="1" applyFill="1" applyBorder="1" applyAlignment="1" applyProtection="1">
      <alignment horizontal="left"/>
      <protection hidden="1"/>
    </xf>
    <xf numFmtId="179" fontId="37" fillId="30" borderId="139" xfId="0" applyNumberFormat="1" applyFont="1" applyFill="1" applyBorder="1" applyAlignment="1" applyProtection="1">
      <alignment horizontal="left"/>
      <protection hidden="1"/>
    </xf>
    <xf numFmtId="179" fontId="37" fillId="30" borderId="109" xfId="0" applyNumberFormat="1" applyFont="1" applyFill="1" applyBorder="1" applyAlignment="1" applyProtection="1">
      <alignment horizontal="left"/>
    </xf>
    <xf numFmtId="0" fontId="32" fillId="26" borderId="94" xfId="0" applyFont="1" applyFill="1" applyBorder="1" applyAlignment="1" applyProtection="1">
      <alignment vertical="center"/>
      <protection hidden="1"/>
    </xf>
    <xf numFmtId="179" fontId="37" fillId="26" borderId="141" xfId="0" applyNumberFormat="1" applyFont="1" applyFill="1" applyBorder="1" applyAlignment="1" applyProtection="1">
      <alignment horizontal="left"/>
      <protection hidden="1"/>
    </xf>
    <xf numFmtId="179" fontId="37" fillId="26" borderId="95" xfId="0" applyNumberFormat="1" applyFont="1" applyFill="1" applyBorder="1" applyAlignment="1" applyProtection="1">
      <alignment horizontal="left"/>
      <protection hidden="1"/>
    </xf>
    <xf numFmtId="179" fontId="37" fillId="26" borderId="142" xfId="0" applyNumberFormat="1" applyFont="1" applyFill="1" applyBorder="1" applyAlignment="1" applyProtection="1">
      <alignment horizontal="left"/>
      <protection hidden="1"/>
    </xf>
    <xf numFmtId="179" fontId="37" fillId="26" borderId="96" xfId="0" applyNumberFormat="1" applyFont="1" applyFill="1" applyBorder="1" applyAlignment="1" applyProtection="1">
      <alignment horizontal="left"/>
      <protection hidden="1"/>
    </xf>
    <xf numFmtId="179" fontId="37" fillId="26" borderId="141" xfId="0" applyNumberFormat="1" applyFont="1" applyFill="1" applyBorder="1" applyAlignment="1" applyProtection="1">
      <alignment horizontal="left"/>
    </xf>
    <xf numFmtId="0" fontId="41" fillId="24" borderId="138" xfId="0" applyNumberFormat="1" applyFont="1" applyFill="1" applyBorder="1" applyAlignment="1" applyProtection="1">
      <alignment horizontal="left" vertical="center"/>
      <protection hidden="1"/>
    </xf>
    <xf numFmtId="182" fontId="47" fillId="0" borderId="133" xfId="0" applyNumberFormat="1" applyFont="1" applyFill="1" applyBorder="1" applyAlignment="1" applyProtection="1">
      <alignment horizontal="center" vertical="center"/>
      <protection locked="0" hidden="1"/>
    </xf>
    <xf numFmtId="179" fontId="28" fillId="24" borderId="59" xfId="0" applyNumberFormat="1" applyFont="1" applyFill="1" applyBorder="1" applyAlignment="1" applyProtection="1">
      <alignment horizontal="center" vertical="center"/>
    </xf>
    <xf numFmtId="182" fontId="47" fillId="24" borderId="119" xfId="0" applyNumberFormat="1" applyFont="1" applyFill="1" applyBorder="1" applyAlignment="1" applyProtection="1">
      <alignment horizontal="center" vertical="center"/>
      <protection hidden="1"/>
    </xf>
    <xf numFmtId="182" fontId="47" fillId="24" borderId="83" xfId="0" applyNumberFormat="1" applyFont="1" applyFill="1" applyBorder="1" applyAlignment="1" applyProtection="1">
      <alignment horizontal="center" vertical="center"/>
      <protection hidden="1"/>
    </xf>
    <xf numFmtId="0" fontId="32" fillId="24" borderId="104" xfId="0" applyFont="1" applyFill="1" applyBorder="1" applyAlignment="1" applyProtection="1">
      <alignment vertical="center"/>
      <protection hidden="1"/>
    </xf>
    <xf numFmtId="182" fontId="35" fillId="24" borderId="143" xfId="0" applyNumberFormat="1" applyFont="1" applyFill="1" applyBorder="1" applyAlignment="1" applyProtection="1">
      <alignment horizontal="center" vertical="center"/>
      <protection hidden="1"/>
    </xf>
    <xf numFmtId="0" fontId="32" fillId="24" borderId="90" xfId="0" applyFont="1" applyFill="1" applyBorder="1" applyAlignment="1" applyProtection="1">
      <alignment vertical="center"/>
      <protection hidden="1"/>
    </xf>
    <xf numFmtId="182" fontId="47" fillId="0" borderId="73" xfId="0" applyNumberFormat="1" applyFont="1" applyFill="1" applyBorder="1" applyAlignment="1" applyProtection="1">
      <alignment horizontal="center" vertical="center"/>
      <protection locked="0" hidden="1"/>
    </xf>
    <xf numFmtId="182" fontId="35" fillId="0" borderId="133" xfId="0" applyNumberFormat="1" applyFont="1" applyFill="1" applyBorder="1" applyAlignment="1" applyProtection="1">
      <alignment horizontal="center" vertical="center"/>
      <protection locked="0" hidden="1"/>
    </xf>
    <xf numFmtId="182" fontId="47" fillId="0" borderId="135" xfId="0" applyNumberFormat="1" applyFont="1" applyFill="1" applyBorder="1" applyAlignment="1" applyProtection="1">
      <alignment horizontal="center" vertical="center"/>
      <protection locked="0" hidden="1"/>
    </xf>
    <xf numFmtId="0" fontId="32" fillId="24" borderId="50" xfId="0" applyNumberFormat="1" applyFont="1" applyFill="1" applyBorder="1" applyAlignment="1" applyProtection="1">
      <alignment horizontal="right" vertical="center"/>
      <protection hidden="1"/>
    </xf>
    <xf numFmtId="0" fontId="32" fillId="24" borderId="65" xfId="0" applyFont="1" applyFill="1" applyBorder="1" applyAlignment="1" applyProtection="1">
      <alignment vertical="center"/>
      <protection hidden="1"/>
    </xf>
    <xf numFmtId="179" fontId="28" fillId="24" borderId="118" xfId="0" applyNumberFormat="1" applyFont="1" applyFill="1" applyBorder="1" applyAlignment="1" applyProtection="1">
      <alignment horizontal="center" vertical="center"/>
    </xf>
    <xf numFmtId="0" fontId="28" fillId="24" borderId="83" xfId="0" applyFont="1" applyFill="1" applyBorder="1" applyAlignment="1" applyProtection="1">
      <alignment horizontal="center" vertical="center"/>
    </xf>
    <xf numFmtId="0" fontId="28" fillId="24" borderId="59" xfId="0" applyFont="1" applyFill="1" applyBorder="1" applyAlignment="1" applyProtection="1">
      <alignment horizontal="center" vertical="center"/>
    </xf>
    <xf numFmtId="182" fontId="47" fillId="24" borderId="80" xfId="0" applyNumberFormat="1" applyFont="1" applyFill="1" applyBorder="1" applyAlignment="1" applyProtection="1">
      <alignment horizontal="center" vertical="center"/>
      <protection hidden="1"/>
    </xf>
    <xf numFmtId="182" fontId="47" fillId="24" borderId="82" xfId="0" applyNumberFormat="1" applyFont="1" applyFill="1" applyBorder="1" applyAlignment="1" applyProtection="1">
      <alignment horizontal="center" vertical="center"/>
      <protection hidden="1"/>
    </xf>
    <xf numFmtId="182" fontId="35" fillId="24" borderId="133" xfId="0" applyNumberFormat="1" applyFont="1" applyFill="1" applyBorder="1" applyAlignment="1" applyProtection="1">
      <alignment horizontal="center" vertical="center"/>
      <protection hidden="1"/>
    </xf>
    <xf numFmtId="0" fontId="69" fillId="24" borderId="90" xfId="0" applyNumberFormat="1" applyFont="1" applyFill="1" applyBorder="1" applyAlignment="1" applyProtection="1">
      <alignment horizontal="center" vertical="center"/>
      <protection hidden="1"/>
    </xf>
    <xf numFmtId="182" fontId="35" fillId="24" borderId="109" xfId="0" applyNumberFormat="1" applyFont="1" applyFill="1" applyBorder="1" applyAlignment="1" applyProtection="1">
      <alignment horizontal="center" vertical="center"/>
      <protection hidden="1"/>
    </xf>
    <xf numFmtId="182" fontId="35" fillId="24" borderId="115" xfId="0" applyNumberFormat="1" applyFont="1" applyFill="1" applyBorder="1" applyAlignment="1" applyProtection="1">
      <alignment horizontal="center" vertical="center"/>
      <protection hidden="1"/>
    </xf>
    <xf numFmtId="182" fontId="35" fillId="24" borderId="111" xfId="0" applyNumberFormat="1" applyFont="1" applyFill="1" applyBorder="1" applyAlignment="1" applyProtection="1">
      <alignment horizontal="center" vertical="center"/>
      <protection hidden="1"/>
    </xf>
    <xf numFmtId="0" fontId="69" fillId="24" borderId="83" xfId="0" applyNumberFormat="1" applyFont="1" applyFill="1" applyBorder="1" applyAlignment="1" applyProtection="1">
      <alignment horizontal="center" vertical="center"/>
      <protection hidden="1"/>
    </xf>
    <xf numFmtId="182" fontId="35" fillId="24" borderId="144" xfId="0" applyNumberFormat="1" applyFont="1" applyFill="1" applyBorder="1" applyAlignment="1" applyProtection="1">
      <alignment horizontal="center" vertical="center"/>
      <protection hidden="1"/>
    </xf>
    <xf numFmtId="0" fontId="32" fillId="24" borderId="103" xfId="0" quotePrefix="1" applyFont="1" applyFill="1" applyBorder="1" applyAlignment="1" applyProtection="1">
      <alignment vertical="center"/>
      <protection hidden="1"/>
    </xf>
    <xf numFmtId="0" fontId="32" fillId="24" borderId="20" xfId="0" quotePrefix="1" applyFont="1" applyFill="1" applyBorder="1" applyAlignment="1" applyProtection="1">
      <alignment vertical="center"/>
      <protection hidden="1"/>
    </xf>
    <xf numFmtId="0" fontId="65" fillId="24" borderId="20" xfId="0" quotePrefix="1" applyNumberFormat="1" applyFont="1" applyFill="1" applyBorder="1" applyAlignment="1" applyProtection="1">
      <alignment horizontal="center" vertical="center"/>
      <protection hidden="1"/>
    </xf>
    <xf numFmtId="0" fontId="65" fillId="24" borderId="24" xfId="0" quotePrefix="1" applyNumberFormat="1" applyFont="1" applyFill="1" applyBorder="1" applyAlignment="1" applyProtection="1">
      <alignment horizontal="center" vertical="center"/>
      <protection hidden="1"/>
    </xf>
    <xf numFmtId="0" fontId="41" fillId="24" borderId="54" xfId="0" applyFont="1" applyFill="1" applyBorder="1" applyAlignment="1" applyProtection="1">
      <alignment horizontal="left" vertical="center"/>
      <protection hidden="1"/>
    </xf>
    <xf numFmtId="182" fontId="35" fillId="0" borderId="115" xfId="0" applyNumberFormat="1" applyFont="1" applyFill="1" applyBorder="1" applyAlignment="1" applyProtection="1">
      <alignment horizontal="center" vertical="center"/>
      <protection locked="0" hidden="1"/>
    </xf>
    <xf numFmtId="179" fontId="25" fillId="24" borderId="51" xfId="0" applyNumberFormat="1" applyFont="1" applyFill="1" applyBorder="1" applyAlignment="1" applyProtection="1">
      <alignment horizontal="center" vertical="center"/>
    </xf>
    <xf numFmtId="0" fontId="41" fillId="24" borderId="65" xfId="0" applyFont="1" applyFill="1" applyBorder="1" applyAlignment="1" applyProtection="1">
      <alignment horizontal="center" vertical="center"/>
      <protection hidden="1"/>
    </xf>
    <xf numFmtId="0" fontId="41" fillId="24" borderId="71" xfId="0" applyNumberFormat="1" applyFont="1" applyFill="1" applyBorder="1" applyAlignment="1" applyProtection="1">
      <alignment horizontal="center" vertical="center"/>
      <protection hidden="1"/>
    </xf>
    <xf numFmtId="179" fontId="37" fillId="26" borderId="73" xfId="0" applyNumberFormat="1" applyFont="1" applyFill="1" applyBorder="1" applyAlignment="1" applyProtection="1">
      <alignment horizontal="left"/>
      <protection hidden="1"/>
    </xf>
    <xf numFmtId="179" fontId="37" fillId="26" borderId="113" xfId="0" applyNumberFormat="1" applyFont="1" applyFill="1" applyBorder="1" applyAlignment="1" applyProtection="1">
      <alignment horizontal="left"/>
      <protection hidden="1"/>
    </xf>
    <xf numFmtId="179" fontId="37" fillId="26" borderId="110" xfId="0" applyNumberFormat="1" applyFont="1" applyFill="1" applyBorder="1" applyAlignment="1" applyProtection="1">
      <alignment horizontal="left"/>
      <protection hidden="1"/>
    </xf>
    <xf numFmtId="179" fontId="37" fillId="26" borderId="75" xfId="0" applyNumberFormat="1" applyFont="1" applyFill="1" applyBorder="1" applyAlignment="1" applyProtection="1">
      <alignment horizontal="left"/>
      <protection hidden="1"/>
    </xf>
    <xf numFmtId="179" fontId="37" fillId="26" borderId="73" xfId="0" applyNumberFormat="1" applyFont="1" applyFill="1" applyBorder="1" applyAlignment="1" applyProtection="1">
      <alignment horizontal="left"/>
    </xf>
    <xf numFmtId="0" fontId="32" fillId="24" borderId="131" xfId="0" quotePrefix="1" applyFont="1" applyFill="1" applyBorder="1" applyProtection="1">
      <alignment vertical="center"/>
      <protection hidden="1"/>
    </xf>
    <xf numFmtId="182" fontId="35" fillId="24" borderId="133" xfId="0" applyNumberFormat="1" applyFont="1" applyFill="1" applyBorder="1" applyAlignment="1" applyProtection="1">
      <alignment horizontal="center" vertical="center"/>
      <protection locked="0" hidden="1"/>
    </xf>
    <xf numFmtId="0" fontId="32" fillId="24" borderId="90" xfId="0" quotePrefix="1" applyFont="1" applyFill="1" applyBorder="1" applyProtection="1">
      <alignment vertical="center"/>
      <protection hidden="1"/>
    </xf>
    <xf numFmtId="0" fontId="32" fillId="24" borderId="132" xfId="0" quotePrefix="1" applyFont="1" applyFill="1" applyBorder="1" applyProtection="1">
      <alignment vertical="center"/>
      <protection hidden="1"/>
    </xf>
    <xf numFmtId="0" fontId="32" fillId="24" borderId="20" xfId="0" applyNumberFormat="1" applyFont="1" applyFill="1" applyBorder="1" applyAlignment="1" applyProtection="1">
      <alignment horizontal="left" vertical="center"/>
      <protection hidden="1"/>
    </xf>
    <xf numFmtId="0" fontId="32" fillId="24" borderId="83" xfId="0" quotePrefix="1" applyFont="1" applyFill="1" applyBorder="1" applyProtection="1">
      <alignment vertical="center"/>
      <protection hidden="1"/>
    </xf>
    <xf numFmtId="0" fontId="32" fillId="24" borderId="24" xfId="0" applyNumberFormat="1" applyFont="1" applyFill="1" applyBorder="1" applyAlignment="1" applyProtection="1">
      <alignment horizontal="left" vertical="center"/>
      <protection hidden="1"/>
    </xf>
    <xf numFmtId="179" fontId="28" fillId="24" borderId="22" xfId="0" applyNumberFormat="1" applyFont="1" applyFill="1" applyBorder="1" applyAlignment="1" applyProtection="1">
      <alignment horizontal="center" vertical="center"/>
    </xf>
    <xf numFmtId="182" fontId="35" fillId="24" borderId="84" xfId="0" applyNumberFormat="1" applyFont="1" applyFill="1" applyBorder="1" applyAlignment="1" applyProtection="1">
      <alignment horizontal="center" vertical="center"/>
      <protection hidden="1"/>
    </xf>
    <xf numFmtId="182" fontId="47" fillId="24" borderId="84" xfId="0" applyNumberFormat="1" applyFont="1" applyFill="1" applyBorder="1" applyAlignment="1" applyProtection="1">
      <alignment horizontal="center" vertical="center"/>
      <protection hidden="1"/>
    </xf>
    <xf numFmtId="0" fontId="32" fillId="24" borderId="90" xfId="0" applyFont="1" applyFill="1" applyBorder="1" applyProtection="1">
      <alignment vertical="center"/>
      <protection hidden="1"/>
    </xf>
    <xf numFmtId="182" fontId="35" fillId="24" borderId="145" xfId="0" applyNumberFormat="1" applyFont="1" applyFill="1" applyBorder="1" applyAlignment="1" applyProtection="1">
      <alignment horizontal="center" vertical="center"/>
      <protection hidden="1"/>
    </xf>
    <xf numFmtId="182" fontId="47" fillId="24" borderId="145" xfId="0" applyNumberFormat="1" applyFont="1" applyFill="1" applyBorder="1" applyAlignment="1" applyProtection="1">
      <alignment horizontal="center" vertical="center"/>
      <protection hidden="1"/>
    </xf>
    <xf numFmtId="0" fontId="69" fillId="24" borderId="90" xfId="0" applyFont="1" applyFill="1" applyBorder="1" applyAlignment="1" applyProtection="1">
      <alignment horizontal="center"/>
      <protection hidden="1"/>
    </xf>
    <xf numFmtId="0" fontId="6" fillId="24" borderId="61" xfId="0" applyFont="1" applyFill="1" applyBorder="1" applyProtection="1">
      <alignment vertical="center"/>
    </xf>
    <xf numFmtId="0" fontId="69" fillId="24" borderId="132" xfId="0" applyFont="1" applyFill="1" applyBorder="1" applyAlignment="1" applyProtection="1">
      <alignment horizontal="center"/>
      <protection hidden="1"/>
    </xf>
    <xf numFmtId="0" fontId="41" fillId="24" borderId="132" xfId="0" applyNumberFormat="1" applyFont="1" applyFill="1" applyBorder="1" applyAlignment="1" applyProtection="1">
      <alignment horizontal="center" vertical="center"/>
      <protection hidden="1"/>
    </xf>
    <xf numFmtId="0" fontId="6" fillId="24" borderId="22" xfId="0" applyFont="1" applyFill="1" applyBorder="1" applyProtection="1">
      <alignment vertical="center"/>
    </xf>
    <xf numFmtId="0" fontId="32" fillId="24" borderId="132" xfId="0" applyFont="1" applyFill="1" applyBorder="1" applyProtection="1">
      <alignment vertical="center"/>
      <protection hidden="1"/>
    </xf>
    <xf numFmtId="182" fontId="47" fillId="24" borderId="110" xfId="0" applyNumberFormat="1" applyFont="1" applyFill="1" applyBorder="1" applyAlignment="1" applyProtection="1">
      <alignment horizontal="center" vertical="center"/>
      <protection hidden="1"/>
    </xf>
    <xf numFmtId="182" fontId="47" fillId="24" borderId="75" xfId="0" applyNumberFormat="1" applyFont="1" applyFill="1" applyBorder="1" applyAlignment="1" applyProtection="1">
      <alignment horizontal="center" vertical="center"/>
      <protection hidden="1"/>
    </xf>
    <xf numFmtId="0" fontId="6" fillId="24" borderId="20" xfId="0" applyFont="1" applyFill="1" applyBorder="1" applyProtection="1">
      <alignment vertical="center"/>
    </xf>
    <xf numFmtId="0" fontId="32" fillId="24" borderId="71" xfId="0" applyFont="1" applyFill="1" applyBorder="1" applyProtection="1">
      <alignment vertical="center"/>
      <protection hidden="1"/>
    </xf>
    <xf numFmtId="0" fontId="6" fillId="24" borderId="120" xfId="0" applyFont="1" applyFill="1" applyBorder="1" applyProtection="1">
      <alignment vertical="center"/>
    </xf>
    <xf numFmtId="0" fontId="27" fillId="24" borderId="122" xfId="0" applyFont="1" applyFill="1" applyBorder="1" applyAlignment="1" applyProtection="1">
      <alignment vertical="center" shrinkToFit="1"/>
      <protection hidden="1"/>
    </xf>
    <xf numFmtId="179" fontId="28" fillId="24" borderId="121" xfId="0" applyNumberFormat="1" applyFont="1" applyFill="1" applyBorder="1" applyAlignment="1" applyProtection="1">
      <alignment horizontal="center" vertical="center"/>
    </xf>
    <xf numFmtId="0" fontId="41" fillId="0" borderId="0" xfId="0" quotePrefix="1" applyNumberFormat="1" applyFont="1" applyFill="1" applyBorder="1" applyAlignment="1" applyProtection="1">
      <alignment horizontal="left" vertical="center"/>
      <protection hidden="1"/>
    </xf>
    <xf numFmtId="0" fontId="36" fillId="0" borderId="0" xfId="0" applyNumberFormat="1" applyFont="1" applyFill="1" applyBorder="1" applyAlignment="1" applyProtection="1">
      <alignment horizontal="left" vertical="center"/>
      <protection hidden="1"/>
    </xf>
    <xf numFmtId="0" fontId="28" fillId="0" borderId="0" xfId="0" applyNumberFormat="1" applyFont="1" applyFill="1" applyBorder="1" applyAlignment="1" applyProtection="1">
      <alignment horizontal="left" vertical="center"/>
      <protection hidden="1"/>
    </xf>
    <xf numFmtId="0" fontId="6" fillId="0" borderId="0" xfId="0" applyFont="1" applyFill="1" applyBorder="1" applyProtection="1">
      <alignment vertical="center"/>
      <protection hidden="1"/>
    </xf>
    <xf numFmtId="179" fontId="37" fillId="0" borderId="0" xfId="0" applyNumberFormat="1" applyFont="1" applyFill="1" applyBorder="1" applyAlignment="1" applyProtection="1">
      <alignment horizontal="left" vertical="center"/>
      <protection hidden="1"/>
    </xf>
    <xf numFmtId="183" fontId="27" fillId="0" borderId="0" xfId="0" applyNumberFormat="1" applyFont="1" applyFill="1" applyBorder="1" applyAlignment="1" applyProtection="1">
      <alignment horizontal="center" vertical="center"/>
      <protection hidden="1"/>
    </xf>
    <xf numFmtId="179" fontId="37" fillId="0" borderId="0" xfId="0" applyNumberFormat="1" applyFont="1" applyFill="1" applyAlignment="1" applyProtection="1">
      <alignment horizontal="left"/>
    </xf>
    <xf numFmtId="0" fontId="32" fillId="0" borderId="0" xfId="0" applyFont="1" applyFill="1" applyProtection="1">
      <alignment vertical="center"/>
      <protection hidden="1"/>
    </xf>
    <xf numFmtId="0" fontId="27" fillId="0" borderId="0" xfId="0" applyFont="1">
      <alignment vertical="center"/>
    </xf>
    <xf numFmtId="0" fontId="27" fillId="0" borderId="0" xfId="0" applyFont="1" applyAlignment="1">
      <alignment horizontal="right" vertical="center"/>
    </xf>
    <xf numFmtId="0" fontId="6" fillId="0" borderId="59" xfId="0" applyFont="1" applyFill="1" applyBorder="1" applyAlignment="1" applyProtection="1">
      <alignment horizontal="center" vertical="center"/>
    </xf>
    <xf numFmtId="0" fontId="27" fillId="0" borderId="0" xfId="0" applyFont="1" applyFill="1" applyBorder="1" applyProtection="1">
      <alignment vertical="center"/>
      <protection hidden="1"/>
    </xf>
    <xf numFmtId="0" fontId="27" fillId="0" borderId="0" xfId="0" applyFont="1" applyFill="1" applyBorder="1" applyAlignment="1" applyProtection="1">
      <alignment vertical="center"/>
      <protection hidden="1"/>
    </xf>
    <xf numFmtId="0" fontId="27" fillId="24" borderId="10" xfId="0" applyFont="1" applyFill="1" applyBorder="1">
      <alignment vertical="center"/>
    </xf>
    <xf numFmtId="38" fontId="27" fillId="24" borderId="10" xfId="35" applyFont="1" applyFill="1" applyBorder="1" applyAlignment="1">
      <alignment vertical="center"/>
    </xf>
    <xf numFmtId="0" fontId="41" fillId="0" borderId="0" xfId="0" applyFont="1">
      <alignment vertical="center"/>
    </xf>
    <xf numFmtId="38" fontId="27" fillId="24" borderId="10" xfId="35" applyFont="1" applyFill="1" applyBorder="1">
      <alignment vertical="center"/>
    </xf>
    <xf numFmtId="0" fontId="27" fillId="24" borderId="50" xfId="0" applyFont="1" applyFill="1" applyBorder="1">
      <alignment vertical="center"/>
    </xf>
    <xf numFmtId="0" fontId="27" fillId="0" borderId="10" xfId="0" applyFont="1" applyBorder="1">
      <alignment vertical="center"/>
    </xf>
    <xf numFmtId="0" fontId="48" fillId="28" borderId="75" xfId="0" applyNumberFormat="1" applyFont="1" applyFill="1" applyBorder="1" applyAlignment="1" applyProtection="1">
      <alignment vertical="center"/>
      <protection hidden="1"/>
    </xf>
    <xf numFmtId="0" fontId="49" fillId="28" borderId="81" xfId="0" applyFont="1" applyFill="1" applyBorder="1" applyAlignment="1" applyProtection="1">
      <alignment horizontal="left" vertical="center"/>
      <protection hidden="1"/>
    </xf>
    <xf numFmtId="0" fontId="49" fillId="28" borderId="81" xfId="0" applyFont="1" applyFill="1" applyBorder="1" applyAlignment="1" applyProtection="1">
      <alignment vertical="center"/>
      <protection hidden="1"/>
    </xf>
    <xf numFmtId="0" fontId="48" fillId="28" borderId="81" xfId="0" applyNumberFormat="1" applyFont="1" applyFill="1" applyBorder="1" applyAlignment="1" applyProtection="1">
      <alignment vertical="center"/>
      <protection hidden="1"/>
    </xf>
    <xf numFmtId="0" fontId="85" fillId="28" borderId="110" xfId="0" applyFont="1" applyFill="1" applyBorder="1" applyAlignment="1" applyProtection="1">
      <alignment vertical="center"/>
      <protection hidden="1"/>
    </xf>
    <xf numFmtId="0" fontId="28" fillId="0" borderId="0" xfId="0" applyFont="1" applyFill="1" applyBorder="1" applyAlignment="1">
      <alignment horizontal="left" vertical="center"/>
    </xf>
    <xf numFmtId="0" fontId="47" fillId="0" borderId="0" xfId="0" applyFont="1" applyFill="1" applyBorder="1" applyAlignment="1" applyProtection="1">
      <alignment horizontal="left" vertical="center"/>
      <protection hidden="1"/>
    </xf>
    <xf numFmtId="0" fontId="28"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51" fillId="0" borderId="0" xfId="0" applyFont="1" applyFill="1" applyAlignment="1" applyProtection="1">
      <alignment horizontal="left" vertical="top" wrapText="1"/>
    </xf>
    <xf numFmtId="0" fontId="54" fillId="0" borderId="112" xfId="0" applyFont="1" applyFill="1" applyBorder="1" applyAlignment="1" applyProtection="1">
      <alignment vertical="center"/>
      <protection hidden="1"/>
    </xf>
    <xf numFmtId="183" fontId="47" fillId="0" borderId="0" xfId="0" applyNumberFormat="1" applyFont="1" applyFill="1" applyBorder="1" applyProtection="1">
      <alignment vertical="center"/>
      <protection hidden="1"/>
    </xf>
    <xf numFmtId="0" fontId="28" fillId="0" borderId="0" xfId="0" applyFont="1" applyFill="1" applyBorder="1" applyAlignment="1" applyProtection="1">
      <alignment horizontal="center" vertical="justify"/>
      <protection hidden="1"/>
    </xf>
    <xf numFmtId="184" fontId="51" fillId="0" borderId="0" xfId="0" applyNumberFormat="1" applyFont="1" applyFill="1" applyBorder="1" applyAlignment="1" applyProtection="1">
      <alignment horizontal="center" vertical="justify" wrapText="1"/>
    </xf>
    <xf numFmtId="184" fontId="51" fillId="0" borderId="0" xfId="0" applyNumberFormat="1" applyFont="1" applyFill="1" applyBorder="1" applyAlignment="1" applyProtection="1">
      <alignment horizontal="center" vertical="center" wrapText="1"/>
    </xf>
    <xf numFmtId="0" fontId="60" fillId="28" borderId="74" xfId="0" applyFont="1" applyFill="1" applyBorder="1" applyAlignment="1" applyProtection="1">
      <alignment horizontal="center" vertical="center"/>
      <protection hidden="1"/>
    </xf>
    <xf numFmtId="0" fontId="29" fillId="28" borderId="74" xfId="0" applyNumberFormat="1" applyFont="1" applyFill="1" applyBorder="1" applyAlignment="1" applyProtection="1">
      <alignment horizontal="left" vertical="center"/>
    </xf>
    <xf numFmtId="179" fontId="2" fillId="28" borderId="74" xfId="0" applyNumberFormat="1" applyFont="1" applyFill="1" applyBorder="1" applyAlignment="1" applyProtection="1">
      <alignment horizontal="left" vertical="center"/>
      <protection hidden="1"/>
    </xf>
    <xf numFmtId="179" fontId="37" fillId="28" borderId="81" xfId="0" applyNumberFormat="1" applyFont="1" applyFill="1" applyBorder="1" applyAlignment="1" applyProtection="1">
      <alignment horizontal="left" vertical="center"/>
      <protection hidden="1"/>
    </xf>
    <xf numFmtId="184" fontId="51" fillId="0" borderId="0" xfId="0" applyNumberFormat="1" applyFont="1" applyFill="1" applyAlignment="1" applyProtection="1">
      <alignment horizontal="center"/>
    </xf>
    <xf numFmtId="184" fontId="55" fillId="0" borderId="0" xfId="0" applyNumberFormat="1" applyFont="1" applyFill="1" applyAlignment="1" applyProtection="1">
      <alignment horizontal="left"/>
    </xf>
    <xf numFmtId="184" fontId="55" fillId="0" borderId="0" xfId="0" applyNumberFormat="1" applyFont="1" applyFill="1" applyAlignment="1" applyProtection="1">
      <alignment horizontal="center"/>
    </xf>
    <xf numFmtId="0" fontId="54" fillId="24" borderId="81" xfId="0" applyFont="1" applyFill="1" applyBorder="1" applyAlignment="1" applyProtection="1">
      <alignment horizontal="center" vertical="center"/>
    </xf>
    <xf numFmtId="179" fontId="32" fillId="24" borderId="75" xfId="0" applyNumberFormat="1" applyFont="1" applyFill="1" applyBorder="1" applyAlignment="1" applyProtection="1">
      <alignment horizontal="centerContinuous" vertical="center"/>
      <protection hidden="1"/>
    </xf>
    <xf numFmtId="179" fontId="32" fillId="24" borderId="81" xfId="0" applyNumberFormat="1" applyFont="1" applyFill="1" applyBorder="1" applyAlignment="1" applyProtection="1">
      <alignment horizontal="centerContinuous" vertical="center"/>
      <protection hidden="1"/>
    </xf>
    <xf numFmtId="0" fontId="28" fillId="24" borderId="50" xfId="0" applyFont="1" applyFill="1" applyBorder="1" applyAlignment="1" applyProtection="1">
      <alignment horizontal="centerContinuous" vertical="center"/>
      <protection hidden="1"/>
    </xf>
    <xf numFmtId="0" fontId="6" fillId="24" borderId="52" xfId="0" applyFont="1" applyFill="1" applyBorder="1" applyAlignment="1" applyProtection="1">
      <alignment horizontal="centerContinuous" vertical="center"/>
      <protection hidden="1"/>
    </xf>
    <xf numFmtId="0" fontId="6" fillId="24" borderId="51" xfId="0" applyFont="1" applyFill="1" applyBorder="1" applyAlignment="1" applyProtection="1">
      <alignment horizontal="centerContinuous" vertical="center"/>
      <protection hidden="1"/>
    </xf>
    <xf numFmtId="184" fontId="55" fillId="0" borderId="10" xfId="0" applyNumberFormat="1" applyFont="1" applyFill="1" applyBorder="1" applyAlignment="1" applyProtection="1">
      <alignment horizontal="left" vertical="center"/>
    </xf>
    <xf numFmtId="0" fontId="28" fillId="0" borderId="10" xfId="0" applyFont="1" applyFill="1" applyBorder="1" applyProtection="1">
      <alignment vertical="center"/>
    </xf>
    <xf numFmtId="0" fontId="54" fillId="24" borderId="59" xfId="0" applyFont="1" applyFill="1" applyBorder="1" applyAlignment="1" applyProtection="1">
      <alignment vertical="top"/>
      <protection hidden="1"/>
    </xf>
    <xf numFmtId="0" fontId="54" fillId="24" borderId="59" xfId="0" applyFont="1" applyFill="1" applyBorder="1" applyAlignment="1" applyProtection="1">
      <alignment horizontal="center" vertical="top"/>
    </xf>
    <xf numFmtId="179" fontId="32" fillId="24" borderId="83" xfId="0" applyNumberFormat="1" applyFont="1" applyFill="1" applyBorder="1" applyAlignment="1" applyProtection="1">
      <alignment horizontal="centerContinuous" vertical="top"/>
      <protection hidden="1"/>
    </xf>
    <xf numFmtId="179" fontId="32" fillId="24" borderId="59" xfId="0" applyNumberFormat="1" applyFont="1" applyFill="1" applyBorder="1" applyAlignment="1" applyProtection="1">
      <alignment horizontal="centerContinuous" vertical="top"/>
      <protection hidden="1"/>
    </xf>
    <xf numFmtId="182" fontId="25" fillId="24" borderId="10" xfId="0" applyNumberFormat="1" applyFont="1" applyFill="1" applyBorder="1" applyAlignment="1" applyProtection="1">
      <alignment horizontal="center" vertical="center" wrapText="1"/>
      <protection hidden="1"/>
    </xf>
    <xf numFmtId="182" fontId="25" fillId="24" borderId="59" xfId="0" applyNumberFormat="1" applyFont="1" applyFill="1" applyBorder="1" applyAlignment="1" applyProtection="1">
      <alignment horizontal="center" vertical="center" wrapText="1"/>
      <protection hidden="1"/>
    </xf>
    <xf numFmtId="182" fontId="36" fillId="24" borderId="50" xfId="0" applyNumberFormat="1" applyFont="1" applyFill="1" applyBorder="1" applyAlignment="1" applyProtection="1">
      <alignment horizontal="centerContinuous" vertical="center" wrapText="1"/>
      <protection hidden="1"/>
    </xf>
    <xf numFmtId="182" fontId="36" fillId="24" borderId="52" xfId="0" applyNumberFormat="1" applyFont="1" applyFill="1" applyBorder="1" applyAlignment="1" applyProtection="1">
      <alignment horizontal="centerContinuous" vertical="center" wrapText="1"/>
      <protection hidden="1"/>
    </xf>
    <xf numFmtId="182" fontId="36" fillId="24" borderId="51" xfId="0" applyNumberFormat="1" applyFont="1" applyFill="1" applyBorder="1" applyAlignment="1" applyProtection="1">
      <alignment horizontal="centerContinuous" vertical="center" wrapText="1"/>
      <protection hidden="1"/>
    </xf>
    <xf numFmtId="182" fontId="25" fillId="24" borderId="116" xfId="0" applyNumberFormat="1" applyFont="1" applyFill="1" applyBorder="1" applyAlignment="1" applyProtection="1">
      <alignment horizontal="center" vertical="center" wrapText="1"/>
      <protection hidden="1"/>
    </xf>
    <xf numFmtId="0" fontId="87" fillId="30" borderId="0" xfId="0" applyFont="1" applyFill="1" applyBorder="1" applyProtection="1">
      <alignment vertical="center"/>
    </xf>
    <xf numFmtId="179" fontId="37" fillId="30" borderId="23" xfId="0" applyNumberFormat="1" applyFont="1" applyFill="1" applyBorder="1" applyAlignment="1" applyProtection="1">
      <alignment horizontal="left"/>
      <protection hidden="1"/>
    </xf>
    <xf numFmtId="179" fontId="37" fillId="30" borderId="20" xfId="0" applyNumberFormat="1" applyFont="1" applyFill="1" applyBorder="1" applyAlignment="1" applyProtection="1">
      <alignment horizontal="left"/>
      <protection hidden="1"/>
    </xf>
    <xf numFmtId="191" fontId="88" fillId="30" borderId="157" xfId="0" applyNumberFormat="1" applyFont="1" applyFill="1" applyBorder="1" applyAlignment="1" applyProtection="1">
      <alignment horizontal="center" vertical="center"/>
      <protection hidden="1"/>
    </xf>
    <xf numFmtId="191" fontId="88" fillId="30" borderId="23" xfId="0" applyNumberFormat="1" applyFont="1" applyFill="1" applyBorder="1" applyAlignment="1" applyProtection="1">
      <alignment horizontal="center" vertical="center"/>
      <protection hidden="1"/>
    </xf>
    <xf numFmtId="179" fontId="37" fillId="30" borderId="158" xfId="0" applyNumberFormat="1" applyFont="1" applyFill="1" applyBorder="1" applyAlignment="1" applyProtection="1">
      <alignment horizontal="left"/>
      <protection hidden="1"/>
    </xf>
    <xf numFmtId="191" fontId="88" fillId="30" borderId="0" xfId="0" applyNumberFormat="1" applyFont="1" applyFill="1" applyBorder="1" applyAlignment="1" applyProtection="1">
      <alignment horizontal="center" vertical="center"/>
      <protection hidden="1"/>
    </xf>
    <xf numFmtId="182" fontId="82" fillId="30" borderId="115" xfId="0" applyNumberFormat="1" applyFont="1" applyFill="1" applyBorder="1" applyAlignment="1" applyProtection="1">
      <alignment horizontal="center" vertical="center"/>
      <protection hidden="1"/>
    </xf>
    <xf numFmtId="200" fontId="51" fillId="0" borderId="10" xfId="0" applyNumberFormat="1" applyFont="1" applyBorder="1" applyAlignment="1">
      <alignment horizontal="center" vertical="center"/>
    </xf>
    <xf numFmtId="0" fontId="27" fillId="26" borderId="93" xfId="0" applyNumberFormat="1" applyFont="1" applyFill="1" applyBorder="1" applyAlignment="1" applyProtection="1">
      <alignment horizontal="left" vertical="center"/>
      <protection hidden="1"/>
    </xf>
    <xf numFmtId="0" fontId="41" fillId="26" borderId="93" xfId="0" applyNumberFormat="1" applyFont="1" applyFill="1" applyBorder="1" applyAlignment="1" applyProtection="1">
      <alignment horizontal="center" vertical="center"/>
    </xf>
    <xf numFmtId="182" fontId="89" fillId="26" borderId="96" xfId="0" applyNumberFormat="1" applyFont="1" applyFill="1" applyBorder="1" applyAlignment="1" applyProtection="1">
      <alignment horizontal="center" vertical="center"/>
      <protection hidden="1"/>
    </xf>
    <xf numFmtId="179" fontId="37" fillId="26" borderId="159" xfId="0" applyNumberFormat="1" applyFont="1" applyFill="1" applyBorder="1" applyAlignment="1" applyProtection="1">
      <alignment horizontal="left"/>
      <protection hidden="1"/>
    </xf>
    <xf numFmtId="182" fontId="89" fillId="26" borderId="141" xfId="0" applyNumberFormat="1" applyFont="1" applyFill="1" applyBorder="1" applyAlignment="1" applyProtection="1">
      <alignment horizontal="center" vertical="center"/>
      <protection hidden="1"/>
    </xf>
    <xf numFmtId="184" fontId="51" fillId="0" borderId="10" xfId="0" applyNumberFormat="1" applyFont="1" applyFill="1" applyBorder="1" applyAlignment="1" applyProtection="1">
      <alignment horizontal="center"/>
    </xf>
    <xf numFmtId="182" fontId="35" fillId="24" borderId="160" xfId="0" applyNumberFormat="1" applyFont="1" applyFill="1" applyBorder="1" applyAlignment="1" applyProtection="1">
      <alignment horizontal="center" vertical="center"/>
      <protection hidden="1"/>
    </xf>
    <xf numFmtId="0" fontId="41" fillId="24" borderId="0" xfId="0" applyNumberFormat="1" applyFont="1" applyFill="1" applyBorder="1" applyAlignment="1" applyProtection="1">
      <alignment vertical="center"/>
      <protection hidden="1"/>
    </xf>
    <xf numFmtId="0" fontId="66" fillId="24" borderId="0" xfId="0" applyFont="1" applyFill="1" applyBorder="1" applyAlignment="1" applyProtection="1">
      <alignment vertical="center"/>
      <protection hidden="1"/>
    </xf>
    <xf numFmtId="191" fontId="90" fillId="24" borderId="61" xfId="0" applyNumberFormat="1" applyFont="1" applyFill="1" applyBorder="1" applyAlignment="1" applyProtection="1">
      <alignment horizontal="center" vertical="center"/>
      <protection hidden="1"/>
    </xf>
    <xf numFmtId="182" fontId="91" fillId="24" borderId="115" xfId="0" applyNumberFormat="1" applyFont="1" applyFill="1" applyBorder="1" applyAlignment="1" applyProtection="1">
      <alignment horizontal="center" vertical="center"/>
      <protection hidden="1"/>
    </xf>
    <xf numFmtId="182" fontId="35" fillId="24" borderId="161" xfId="0" applyNumberFormat="1" applyFont="1" applyFill="1" applyBorder="1" applyAlignment="1" applyProtection="1">
      <alignment horizontal="center" vertical="center"/>
      <protection hidden="1"/>
    </xf>
    <xf numFmtId="191" fontId="90" fillId="24" borderId="53" xfId="0" applyNumberFormat="1" applyFont="1" applyFill="1" applyBorder="1" applyAlignment="1" applyProtection="1">
      <alignment horizontal="center" vertical="center"/>
      <protection hidden="1"/>
    </xf>
    <xf numFmtId="182" fontId="91" fillId="24" borderId="137" xfId="0" applyNumberFormat="1" applyFont="1" applyFill="1" applyBorder="1" applyAlignment="1" applyProtection="1">
      <alignment horizontal="center" vertical="center"/>
      <protection hidden="1"/>
    </xf>
    <xf numFmtId="182" fontId="47" fillId="24" borderId="109" xfId="0" applyNumberFormat="1" applyFont="1" applyFill="1" applyBorder="1" applyAlignment="1" applyProtection="1">
      <alignment horizontal="center" vertical="center"/>
      <protection hidden="1"/>
    </xf>
    <xf numFmtId="191" fontId="90" fillId="24" borderId="20" xfId="0" applyNumberFormat="1" applyFont="1" applyFill="1" applyBorder="1" applyAlignment="1" applyProtection="1">
      <alignment horizontal="center" vertical="center"/>
      <protection hidden="1"/>
    </xf>
    <xf numFmtId="182" fontId="47" fillId="0" borderId="109" xfId="0" applyNumberFormat="1" applyFont="1" applyFill="1" applyBorder="1" applyAlignment="1" applyProtection="1">
      <alignment horizontal="center" vertical="center"/>
      <protection hidden="1"/>
    </xf>
    <xf numFmtId="182" fontId="47" fillId="24" borderId="111" xfId="0" applyNumberFormat="1" applyFont="1" applyFill="1" applyBorder="1" applyAlignment="1" applyProtection="1">
      <alignment horizontal="center" vertical="center"/>
      <protection hidden="1"/>
    </xf>
    <xf numFmtId="182" fontId="47" fillId="0" borderId="111" xfId="0" applyNumberFormat="1" applyFont="1" applyFill="1" applyBorder="1" applyAlignment="1" applyProtection="1">
      <alignment horizontal="center" vertical="center"/>
      <protection hidden="1"/>
    </xf>
    <xf numFmtId="182" fontId="35" fillId="24" borderId="162" xfId="0" applyNumberFormat="1" applyFont="1" applyFill="1" applyBorder="1" applyAlignment="1" applyProtection="1">
      <alignment horizontal="center" vertical="center"/>
      <protection hidden="1"/>
    </xf>
    <xf numFmtId="182" fontId="47" fillId="24" borderId="115" xfId="0" applyNumberFormat="1" applyFont="1" applyFill="1" applyBorder="1" applyAlignment="1" applyProtection="1">
      <alignment horizontal="center" vertical="center"/>
      <protection hidden="1"/>
    </xf>
    <xf numFmtId="182" fontId="35" fillId="24" borderId="163" xfId="0" applyNumberFormat="1" applyFont="1" applyFill="1" applyBorder="1" applyAlignment="1" applyProtection="1">
      <alignment horizontal="center" vertical="center"/>
      <protection hidden="1"/>
    </xf>
    <xf numFmtId="182" fontId="35" fillId="24" borderId="164" xfId="0" applyNumberFormat="1" applyFont="1" applyFill="1" applyBorder="1" applyAlignment="1" applyProtection="1">
      <alignment horizontal="center" vertical="center"/>
      <protection hidden="1"/>
    </xf>
    <xf numFmtId="191" fontId="90" fillId="24" borderId="10" xfId="0" applyNumberFormat="1" applyFont="1" applyFill="1" applyBorder="1" applyAlignment="1" applyProtection="1">
      <alignment horizontal="center" vertical="center"/>
      <protection hidden="1"/>
    </xf>
    <xf numFmtId="182" fontId="35" fillId="24" borderId="165" xfId="0" applyNumberFormat="1" applyFont="1" applyFill="1" applyBorder="1" applyAlignment="1" applyProtection="1">
      <alignment horizontal="center" vertical="center"/>
      <protection hidden="1"/>
    </xf>
    <xf numFmtId="182" fontId="91" fillId="24" borderId="118" xfId="0" applyNumberFormat="1" applyFont="1" applyFill="1" applyBorder="1" applyAlignment="1" applyProtection="1">
      <alignment horizontal="center" vertical="center"/>
      <protection hidden="1"/>
    </xf>
    <xf numFmtId="191" fontId="90" fillId="24" borderId="50" xfId="0" applyNumberFormat="1" applyFont="1" applyFill="1" applyBorder="1" applyAlignment="1" applyProtection="1">
      <alignment horizontal="center" vertical="center"/>
      <protection hidden="1"/>
    </xf>
    <xf numFmtId="191" fontId="90" fillId="24" borderId="23" xfId="0" applyNumberFormat="1" applyFont="1" applyFill="1" applyBorder="1" applyAlignment="1" applyProtection="1">
      <alignment horizontal="center" vertical="center"/>
      <protection hidden="1"/>
    </xf>
    <xf numFmtId="182" fontId="35" fillId="24" borderId="166" xfId="0" applyNumberFormat="1" applyFont="1" applyFill="1" applyBorder="1" applyAlignment="1" applyProtection="1">
      <alignment horizontal="center" vertical="center"/>
      <protection hidden="1"/>
    </xf>
    <xf numFmtId="200" fontId="51" fillId="0" borderId="10" xfId="0" applyNumberFormat="1" applyFont="1" applyFill="1" applyBorder="1" applyAlignment="1">
      <alignment horizontal="center" vertical="center"/>
    </xf>
    <xf numFmtId="182" fontId="35" fillId="24" borderId="121" xfId="0" applyNumberFormat="1" applyFont="1" applyFill="1" applyBorder="1" applyAlignment="1" applyProtection="1">
      <alignment horizontal="center" vertical="center"/>
      <protection hidden="1"/>
    </xf>
    <xf numFmtId="182" fontId="35" fillId="0" borderId="111" xfId="0" applyNumberFormat="1" applyFont="1" applyFill="1" applyBorder="1" applyAlignment="1" applyProtection="1">
      <alignment horizontal="center" vertical="center"/>
      <protection hidden="1"/>
    </xf>
    <xf numFmtId="0" fontId="66" fillId="24" borderId="59" xfId="0" applyFont="1" applyFill="1" applyBorder="1" applyAlignment="1" applyProtection="1">
      <alignment vertical="center"/>
      <protection hidden="1"/>
    </xf>
    <xf numFmtId="0" fontId="66" fillId="24" borderId="122" xfId="0" applyFont="1" applyFill="1" applyBorder="1" applyAlignment="1" applyProtection="1">
      <alignment vertical="center"/>
      <protection hidden="1"/>
    </xf>
    <xf numFmtId="191" fontId="90" fillId="24" borderId="120" xfId="0" applyNumberFormat="1" applyFont="1" applyFill="1" applyBorder="1" applyAlignment="1" applyProtection="1">
      <alignment horizontal="center" vertical="center"/>
      <protection hidden="1"/>
    </xf>
    <xf numFmtId="182" fontId="91" fillId="24" borderId="111" xfId="0" applyNumberFormat="1" applyFont="1" applyFill="1" applyBorder="1" applyAlignment="1" applyProtection="1">
      <alignment horizontal="center" vertical="center"/>
      <protection hidden="1"/>
    </xf>
    <xf numFmtId="0" fontId="6" fillId="26" borderId="124" xfId="0" applyFont="1" applyFill="1" applyBorder="1" applyAlignment="1" applyProtection="1">
      <alignment vertical="center"/>
      <protection hidden="1"/>
    </xf>
    <xf numFmtId="179" fontId="37" fillId="26" borderId="167" xfId="0" applyNumberFormat="1" applyFont="1" applyFill="1" applyBorder="1" applyAlignment="1" applyProtection="1">
      <alignment horizontal="left"/>
      <protection hidden="1"/>
    </xf>
    <xf numFmtId="182" fontId="89" fillId="26" borderId="168" xfId="0" applyNumberFormat="1" applyFont="1" applyFill="1" applyBorder="1" applyAlignment="1" applyProtection="1">
      <alignment horizontal="center" vertical="center"/>
      <protection hidden="1"/>
    </xf>
    <xf numFmtId="182" fontId="35" fillId="24" borderId="169" xfId="0" applyNumberFormat="1" applyFont="1" applyFill="1" applyBorder="1" applyAlignment="1" applyProtection="1">
      <alignment horizontal="center" vertical="center"/>
      <protection hidden="1"/>
    </xf>
    <xf numFmtId="191" fontId="90" fillId="24" borderId="22" xfId="0" applyNumberFormat="1" applyFont="1" applyFill="1" applyBorder="1" applyAlignment="1" applyProtection="1">
      <alignment horizontal="center" vertical="center"/>
      <protection hidden="1"/>
    </xf>
    <xf numFmtId="182" fontId="91" fillId="24" borderId="84" xfId="0" applyNumberFormat="1" applyFont="1" applyFill="1" applyBorder="1" applyAlignment="1" applyProtection="1">
      <alignment horizontal="center" vertical="center"/>
      <protection hidden="1"/>
    </xf>
    <xf numFmtId="0" fontId="46" fillId="24" borderId="54" xfId="0" applyFont="1" applyFill="1" applyBorder="1" applyAlignment="1" applyProtection="1">
      <alignment vertical="center"/>
      <protection hidden="1"/>
    </xf>
    <xf numFmtId="0" fontId="92" fillId="24" borderId="54" xfId="0" applyFont="1" applyFill="1" applyBorder="1" applyAlignment="1" applyProtection="1">
      <alignment vertical="center"/>
      <protection hidden="1"/>
    </xf>
    <xf numFmtId="182" fontId="35" fillId="24" borderId="170" xfId="0" applyNumberFormat="1" applyFont="1" applyFill="1" applyBorder="1" applyAlignment="1" applyProtection="1">
      <alignment horizontal="center" vertical="center"/>
      <protection hidden="1"/>
    </xf>
    <xf numFmtId="0" fontId="93" fillId="24" borderId="20" xfId="0" applyNumberFormat="1" applyFont="1" applyFill="1" applyBorder="1" applyAlignment="1" applyProtection="1">
      <alignment horizontal="center" vertical="center"/>
      <protection hidden="1"/>
    </xf>
    <xf numFmtId="0" fontId="46" fillId="24" borderId="10" xfId="0" applyFont="1" applyFill="1" applyBorder="1" applyAlignment="1" applyProtection="1">
      <alignment horizontal="center" vertical="center"/>
      <protection hidden="1"/>
    </xf>
    <xf numFmtId="0" fontId="46" fillId="24" borderId="51" xfId="0" applyFont="1" applyFill="1" applyBorder="1" applyAlignment="1" applyProtection="1">
      <alignment vertical="center"/>
      <protection hidden="1"/>
    </xf>
    <xf numFmtId="0" fontId="27" fillId="24" borderId="51" xfId="0" applyFont="1" applyFill="1" applyBorder="1" applyAlignment="1" applyProtection="1">
      <alignment horizontal="center" vertical="center"/>
      <protection hidden="1"/>
    </xf>
    <xf numFmtId="182" fontId="35" fillId="24" borderId="171" xfId="0" applyNumberFormat="1" applyFont="1" applyFill="1" applyBorder="1" applyAlignment="1" applyProtection="1">
      <alignment horizontal="center" vertical="center"/>
      <protection hidden="1"/>
    </xf>
    <xf numFmtId="0" fontId="66" fillId="31" borderId="0" xfId="0" applyFont="1" applyFill="1" applyBorder="1" applyAlignment="1" applyProtection="1">
      <alignment vertical="center"/>
      <protection hidden="1"/>
    </xf>
    <xf numFmtId="182" fontId="47" fillId="31" borderId="166" xfId="0" applyNumberFormat="1" applyFont="1" applyFill="1" applyBorder="1" applyAlignment="1" applyProtection="1">
      <alignment horizontal="center" vertical="center"/>
      <protection hidden="1"/>
    </xf>
    <xf numFmtId="191" fontId="90" fillId="31" borderId="61" xfId="0" applyNumberFormat="1" applyFont="1" applyFill="1" applyBorder="1" applyAlignment="1" applyProtection="1">
      <alignment horizontal="center" vertical="center"/>
      <protection hidden="1"/>
    </xf>
    <xf numFmtId="182" fontId="35" fillId="31" borderId="165" xfId="0" applyNumberFormat="1" applyFont="1" applyFill="1" applyBorder="1" applyAlignment="1" applyProtection="1">
      <alignment horizontal="center" vertical="center"/>
      <protection hidden="1"/>
    </xf>
    <xf numFmtId="182" fontId="91" fillId="31" borderId="115" xfId="0" applyNumberFormat="1" applyFont="1" applyFill="1" applyBorder="1" applyAlignment="1" applyProtection="1">
      <alignment horizontal="center" vertical="center"/>
      <protection hidden="1"/>
    </xf>
    <xf numFmtId="200" fontId="51" fillId="34" borderId="10" xfId="0" applyNumberFormat="1" applyFont="1" applyFill="1" applyBorder="1" applyAlignment="1">
      <alignment horizontal="center" vertical="center"/>
    </xf>
    <xf numFmtId="182" fontId="47" fillId="0" borderId="166" xfId="0" applyNumberFormat="1" applyFont="1" applyFill="1" applyBorder="1" applyAlignment="1" applyProtection="1">
      <alignment horizontal="center" vertical="center"/>
      <protection hidden="1"/>
    </xf>
    <xf numFmtId="182" fontId="35" fillId="24" borderId="10" xfId="0" applyNumberFormat="1" applyFont="1" applyFill="1" applyBorder="1" applyAlignment="1" applyProtection="1">
      <alignment horizontal="center" vertical="center"/>
      <protection hidden="1"/>
    </xf>
    <xf numFmtId="191" fontId="90" fillId="24" borderId="171" xfId="0" applyNumberFormat="1" applyFont="1" applyFill="1" applyBorder="1" applyAlignment="1" applyProtection="1">
      <alignment horizontal="center" vertical="center"/>
      <protection hidden="1"/>
    </xf>
    <xf numFmtId="0" fontId="27" fillId="26" borderId="124" xfId="0" applyNumberFormat="1" applyFont="1" applyFill="1" applyBorder="1" applyAlignment="1" applyProtection="1">
      <alignment horizontal="left" vertical="center"/>
      <protection hidden="1"/>
    </xf>
    <xf numFmtId="179" fontId="37" fillId="26" borderId="172" xfId="0" applyNumberFormat="1" applyFont="1" applyFill="1" applyBorder="1" applyAlignment="1" applyProtection="1">
      <alignment horizontal="left"/>
      <protection hidden="1"/>
    </xf>
    <xf numFmtId="182" fontId="35" fillId="0" borderId="109" xfId="0" applyNumberFormat="1" applyFont="1" applyFill="1" applyBorder="1" applyAlignment="1" applyProtection="1">
      <alignment horizontal="center" vertical="center"/>
      <protection hidden="1"/>
    </xf>
    <xf numFmtId="182" fontId="35" fillId="0" borderId="145" xfId="0" applyNumberFormat="1" applyFont="1" applyFill="1" applyBorder="1" applyAlignment="1" applyProtection="1">
      <alignment horizontal="center" vertical="center"/>
      <protection hidden="1"/>
    </xf>
    <xf numFmtId="0" fontId="32" fillId="24" borderId="65" xfId="0" quotePrefix="1" applyFont="1" applyFill="1" applyBorder="1" applyAlignment="1" applyProtection="1">
      <alignment vertical="center"/>
      <protection hidden="1"/>
    </xf>
    <xf numFmtId="191" fontId="90" fillId="24" borderId="65" xfId="0" applyNumberFormat="1" applyFont="1" applyFill="1" applyBorder="1" applyAlignment="1" applyProtection="1">
      <alignment horizontal="center" vertical="center"/>
      <protection hidden="1"/>
    </xf>
    <xf numFmtId="191" fontId="90" fillId="24" borderId="66" xfId="0" applyNumberFormat="1" applyFont="1" applyFill="1" applyBorder="1" applyAlignment="1" applyProtection="1">
      <alignment horizontal="center" vertical="center"/>
      <protection hidden="1"/>
    </xf>
    <xf numFmtId="0" fontId="54" fillId="31" borderId="0" xfId="0" applyFont="1" applyFill="1" applyBorder="1" applyAlignment="1" applyProtection="1">
      <alignment vertical="center"/>
      <protection hidden="1"/>
    </xf>
    <xf numFmtId="191" fontId="91" fillId="31" borderId="61" xfId="0" applyNumberFormat="1" applyFont="1" applyFill="1" applyBorder="1" applyAlignment="1" applyProtection="1">
      <alignment horizontal="center" vertical="center"/>
      <protection hidden="1"/>
    </xf>
    <xf numFmtId="179" fontId="37" fillId="30" borderId="125" xfId="0" applyNumberFormat="1" applyFont="1" applyFill="1" applyBorder="1" applyAlignment="1" applyProtection="1">
      <alignment horizontal="left"/>
      <protection hidden="1"/>
    </xf>
    <xf numFmtId="179" fontId="37" fillId="30" borderId="173" xfId="0" applyNumberFormat="1" applyFont="1" applyFill="1" applyBorder="1" applyAlignment="1" applyProtection="1">
      <alignment horizontal="left"/>
      <protection hidden="1"/>
    </xf>
    <xf numFmtId="191" fontId="90" fillId="30" borderId="139" xfId="0" applyNumberFormat="1" applyFont="1" applyFill="1" applyBorder="1" applyAlignment="1" applyProtection="1">
      <alignment horizontal="center" vertical="center"/>
      <protection hidden="1"/>
    </xf>
    <xf numFmtId="179" fontId="37" fillId="30" borderId="172" xfId="0" applyNumberFormat="1" applyFont="1" applyFill="1" applyBorder="1" applyAlignment="1" applyProtection="1">
      <alignment horizontal="left"/>
      <protection hidden="1"/>
    </xf>
    <xf numFmtId="182" fontId="82" fillId="30" borderId="109" xfId="0" applyNumberFormat="1" applyFont="1" applyFill="1" applyBorder="1" applyAlignment="1" applyProtection="1">
      <alignment horizontal="center" vertical="center"/>
      <protection hidden="1"/>
    </xf>
    <xf numFmtId="179" fontId="37" fillId="30" borderId="174" xfId="0" applyNumberFormat="1" applyFont="1" applyFill="1" applyBorder="1" applyAlignment="1" applyProtection="1">
      <alignment horizontal="left"/>
      <protection hidden="1"/>
    </xf>
    <xf numFmtId="0" fontId="41" fillId="26" borderId="93" xfId="0" applyNumberFormat="1" applyFont="1" applyFill="1" applyBorder="1" applyAlignment="1" applyProtection="1">
      <alignment horizontal="right" vertical="center"/>
      <protection hidden="1"/>
    </xf>
    <xf numFmtId="179" fontId="37" fillId="26" borderId="175" xfId="0" applyNumberFormat="1" applyFont="1" applyFill="1" applyBorder="1" applyAlignment="1" applyProtection="1">
      <alignment horizontal="left"/>
      <protection hidden="1"/>
    </xf>
    <xf numFmtId="179" fontId="37" fillId="26" borderId="176" xfId="0" applyNumberFormat="1" applyFont="1" applyFill="1" applyBorder="1" applyAlignment="1" applyProtection="1">
      <alignment horizontal="left"/>
      <protection hidden="1"/>
    </xf>
    <xf numFmtId="0" fontId="41" fillId="24" borderId="0" xfId="0" applyFont="1" applyFill="1" applyBorder="1" applyAlignment="1" applyProtection="1">
      <alignment horizontal="right" vertical="center"/>
      <protection hidden="1"/>
    </xf>
    <xf numFmtId="0" fontId="41" fillId="24" borderId="51" xfId="0" applyFont="1" applyFill="1" applyBorder="1" applyAlignment="1" applyProtection="1">
      <alignment horizontal="right" vertical="center"/>
      <protection hidden="1"/>
    </xf>
    <xf numFmtId="184" fontId="51" fillId="29" borderId="10" xfId="0" applyNumberFormat="1" applyFont="1" applyFill="1" applyBorder="1" applyAlignment="1" applyProtection="1">
      <alignment horizontal="center"/>
    </xf>
    <xf numFmtId="182" fontId="35" fillId="0" borderId="115" xfId="0" applyNumberFormat="1" applyFont="1" applyFill="1" applyBorder="1" applyAlignment="1" applyProtection="1">
      <alignment horizontal="center" vertical="center"/>
      <protection hidden="1"/>
    </xf>
    <xf numFmtId="191" fontId="90" fillId="24" borderId="153" xfId="0" applyNumberFormat="1" applyFont="1" applyFill="1" applyBorder="1" applyAlignment="1" applyProtection="1">
      <alignment horizontal="center" vertical="center"/>
      <protection hidden="1"/>
    </xf>
    <xf numFmtId="182" fontId="35" fillId="0" borderId="133" xfId="0" applyNumberFormat="1" applyFont="1" applyFill="1" applyBorder="1" applyAlignment="1" applyProtection="1">
      <alignment horizontal="center" vertical="center"/>
      <protection hidden="1"/>
    </xf>
    <xf numFmtId="0" fontId="32" fillId="24" borderId="104" xfId="0" applyFont="1" applyFill="1" applyBorder="1" applyProtection="1">
      <alignment vertical="center"/>
      <protection hidden="1"/>
    </xf>
    <xf numFmtId="0" fontId="41" fillId="24" borderId="90" xfId="0" applyFont="1" applyFill="1" applyBorder="1" applyAlignment="1" applyProtection="1">
      <alignment horizontal="center" vertical="center"/>
      <protection hidden="1"/>
    </xf>
    <xf numFmtId="182" fontId="35" fillId="24" borderId="61" xfId="0" applyNumberFormat="1" applyFont="1" applyFill="1" applyBorder="1" applyAlignment="1" applyProtection="1">
      <alignment horizontal="center" vertical="center"/>
      <protection hidden="1"/>
    </xf>
    <xf numFmtId="191" fontId="90" fillId="24" borderId="60" xfId="0" applyNumberFormat="1" applyFont="1" applyFill="1" applyBorder="1" applyAlignment="1" applyProtection="1">
      <alignment horizontal="center" vertical="center"/>
      <protection hidden="1"/>
    </xf>
    <xf numFmtId="191" fontId="90" fillId="24" borderId="68" xfId="0" applyNumberFormat="1" applyFont="1" applyFill="1" applyBorder="1" applyAlignment="1" applyProtection="1">
      <alignment horizontal="center" vertical="center"/>
      <protection hidden="1"/>
    </xf>
    <xf numFmtId="0" fontId="32" fillId="24" borderId="53" xfId="0" applyFont="1" applyFill="1" applyBorder="1" applyProtection="1">
      <alignment vertical="center"/>
      <protection hidden="1"/>
    </xf>
    <xf numFmtId="191" fontId="90" fillId="24" borderId="177" xfId="0" applyNumberFormat="1" applyFont="1" applyFill="1" applyBorder="1" applyAlignment="1" applyProtection="1">
      <alignment horizontal="center" vertical="center"/>
      <protection hidden="1"/>
    </xf>
    <xf numFmtId="179" fontId="37" fillId="26" borderId="76" xfId="0" applyNumberFormat="1" applyFont="1" applyFill="1" applyBorder="1" applyAlignment="1" applyProtection="1">
      <alignment horizontal="left"/>
      <protection hidden="1"/>
    </xf>
    <xf numFmtId="191" fontId="90" fillId="24" borderId="24" xfId="0" applyNumberFormat="1" applyFont="1" applyFill="1" applyBorder="1" applyAlignment="1" applyProtection="1">
      <alignment horizontal="center" vertical="center"/>
      <protection hidden="1"/>
    </xf>
    <xf numFmtId="182" fontId="91" fillId="24" borderId="100" xfId="0" applyNumberFormat="1" applyFont="1" applyFill="1" applyBorder="1" applyAlignment="1" applyProtection="1">
      <alignment horizontal="center" vertical="center"/>
      <protection hidden="1"/>
    </xf>
    <xf numFmtId="182" fontId="35" fillId="29" borderId="133" xfId="0" applyNumberFormat="1" applyFont="1" applyFill="1" applyBorder="1" applyAlignment="1" applyProtection="1">
      <alignment horizontal="center" vertical="center"/>
      <protection hidden="1"/>
    </xf>
    <xf numFmtId="191" fontId="90" fillId="24" borderId="178" xfId="0" applyNumberFormat="1" applyFont="1" applyFill="1" applyBorder="1" applyAlignment="1" applyProtection="1">
      <alignment horizontal="center" vertical="center"/>
      <protection hidden="1"/>
    </xf>
    <xf numFmtId="191" fontId="90" fillId="24" borderId="179" xfId="0" applyNumberFormat="1" applyFont="1" applyFill="1" applyBorder="1" applyAlignment="1" applyProtection="1">
      <alignment horizontal="center" vertical="center"/>
      <protection hidden="1"/>
    </xf>
    <xf numFmtId="0" fontId="32" fillId="24" borderId="104" xfId="0" quotePrefix="1" applyFont="1" applyFill="1" applyBorder="1" applyProtection="1">
      <alignment vertical="center"/>
      <protection hidden="1"/>
    </xf>
    <xf numFmtId="0" fontId="65" fillId="24" borderId="61" xfId="0" applyFont="1" applyFill="1" applyBorder="1" applyAlignment="1" applyProtection="1">
      <alignment horizontal="center" vertical="center"/>
      <protection hidden="1"/>
    </xf>
    <xf numFmtId="182" fontId="91" fillId="24" borderId="88" xfId="0" applyNumberFormat="1" applyFont="1" applyFill="1" applyBorder="1" applyAlignment="1" applyProtection="1">
      <alignment horizontal="center" vertical="center"/>
      <protection hidden="1"/>
    </xf>
    <xf numFmtId="182" fontId="91" fillId="24" borderId="112" xfId="0" applyNumberFormat="1" applyFont="1" applyFill="1" applyBorder="1" applyAlignment="1" applyProtection="1">
      <alignment horizontal="center" vertical="center"/>
      <protection hidden="1"/>
    </xf>
    <xf numFmtId="182" fontId="35" fillId="24" borderId="22" xfId="0" applyNumberFormat="1" applyFont="1" applyFill="1" applyBorder="1" applyAlignment="1" applyProtection="1">
      <alignment horizontal="center" vertical="center"/>
      <protection hidden="1"/>
    </xf>
    <xf numFmtId="182" fontId="35" fillId="24" borderId="180" xfId="0" applyNumberFormat="1" applyFont="1" applyFill="1" applyBorder="1" applyAlignment="1" applyProtection="1">
      <alignment horizontal="center" vertical="center"/>
      <protection hidden="1"/>
    </xf>
    <xf numFmtId="191" fontId="90" fillId="24" borderId="163" xfId="0" applyNumberFormat="1" applyFont="1" applyFill="1" applyBorder="1" applyAlignment="1" applyProtection="1">
      <alignment horizontal="center" vertical="center"/>
      <protection hidden="1"/>
    </xf>
    <xf numFmtId="182" fontId="91" fillId="24" borderId="116" xfId="0" applyNumberFormat="1" applyFont="1" applyFill="1" applyBorder="1" applyAlignment="1" applyProtection="1">
      <alignment horizontal="center" vertical="center"/>
      <protection hidden="1"/>
    </xf>
    <xf numFmtId="40" fontId="37" fillId="0" borderId="0" xfId="35" applyNumberFormat="1" applyFont="1" applyFill="1" applyBorder="1" applyAlignment="1" applyProtection="1">
      <alignment vertical="center"/>
      <protection hidden="1"/>
    </xf>
    <xf numFmtId="40" fontId="59" fillId="0" borderId="0" xfId="35" applyNumberFormat="1" applyFont="1" applyFill="1" applyBorder="1" applyAlignment="1" applyProtection="1">
      <alignment vertical="center"/>
      <protection hidden="1"/>
    </xf>
    <xf numFmtId="182" fontId="51" fillId="0" borderId="0" xfId="0" applyNumberFormat="1" applyFont="1" applyFill="1" applyBorder="1" applyAlignment="1" applyProtection="1">
      <alignment horizontal="center"/>
    </xf>
    <xf numFmtId="0" fontId="81" fillId="0" borderId="0" xfId="0" applyFont="1" applyFill="1" applyProtection="1">
      <alignment vertical="center"/>
      <protection hidden="1"/>
    </xf>
    <xf numFmtId="0" fontId="81" fillId="0" borderId="0" xfId="0" applyFont="1" applyFill="1" applyBorder="1" applyAlignment="1" applyProtection="1">
      <alignment horizontal="left" vertical="center"/>
      <protection hidden="1"/>
    </xf>
    <xf numFmtId="0" fontId="94" fillId="0" borderId="0" xfId="0" applyFont="1" applyFill="1" applyBorder="1" applyAlignment="1" applyProtection="1">
      <alignment horizontal="left" vertical="center"/>
      <protection hidden="1"/>
    </xf>
    <xf numFmtId="0" fontId="81" fillId="0" borderId="0" xfId="0" applyFont="1" applyFill="1" applyBorder="1" applyAlignment="1" applyProtection="1">
      <alignment horizontal="right" vertical="center"/>
      <protection hidden="1"/>
    </xf>
    <xf numFmtId="0" fontId="81" fillId="0" borderId="0" xfId="0" applyFont="1" applyFill="1" applyBorder="1" applyAlignment="1" applyProtection="1">
      <alignment vertical="center"/>
      <protection hidden="1"/>
    </xf>
    <xf numFmtId="0" fontId="82" fillId="0" borderId="0" xfId="0" applyFont="1" applyFill="1" applyBorder="1" applyAlignment="1" applyProtection="1">
      <alignment vertical="center"/>
      <protection hidden="1"/>
    </xf>
    <xf numFmtId="0" fontId="82" fillId="0" borderId="0" xfId="0" applyFont="1" applyFill="1" applyBorder="1" applyAlignment="1" applyProtection="1">
      <alignment horizontal="center" vertical="center"/>
      <protection hidden="1"/>
    </xf>
    <xf numFmtId="14" fontId="75" fillId="0" borderId="0" xfId="0" applyNumberFormat="1" applyFont="1" applyFill="1" applyBorder="1" applyAlignment="1" applyProtection="1">
      <alignment horizontal="center" vertical="center"/>
      <protection hidden="1"/>
    </xf>
    <xf numFmtId="0" fontId="95" fillId="0" borderId="0" xfId="0" applyFont="1" applyFill="1" applyBorder="1" applyProtection="1">
      <alignment vertical="center"/>
      <protection hidden="1"/>
    </xf>
    <xf numFmtId="177" fontId="95" fillId="0" borderId="0" xfId="0" applyNumberFormat="1" applyFont="1" applyFill="1" applyBorder="1" applyProtection="1">
      <alignment vertical="center"/>
      <protection hidden="1"/>
    </xf>
    <xf numFmtId="0" fontId="75" fillId="0" borderId="0" xfId="0" applyFont="1" applyFill="1" applyProtection="1">
      <alignment vertical="center"/>
      <protection hidden="1"/>
    </xf>
    <xf numFmtId="0" fontId="25" fillId="0" borderId="0" xfId="0" applyFont="1" applyFill="1" applyBorder="1" applyAlignment="1" applyProtection="1">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7" fillId="0" borderId="0" xfId="0" applyFont="1" applyFill="1" applyBorder="1" applyAlignment="1" applyProtection="1">
      <alignment vertical="center"/>
      <protection hidden="1"/>
    </xf>
    <xf numFmtId="0" fontId="51" fillId="0" borderId="0" xfId="0" applyFont="1" applyFill="1" applyBorder="1" applyAlignment="1" applyProtection="1">
      <alignment vertical="center"/>
      <protection hidden="1"/>
    </xf>
    <xf numFmtId="0" fontId="98" fillId="0" borderId="0" xfId="0" applyFont="1" applyFill="1" applyBorder="1" applyAlignment="1" applyProtection="1">
      <alignment vertical="center"/>
      <protection hidden="1"/>
    </xf>
    <xf numFmtId="0" fontId="99" fillId="0" borderId="0" xfId="0" applyFont="1" applyFill="1" applyBorder="1" applyAlignment="1" applyProtection="1">
      <alignment horizontal="center" vertical="center"/>
      <protection hidden="1"/>
    </xf>
    <xf numFmtId="0" fontId="100" fillId="0" borderId="0" xfId="0" applyNumberFormat="1" applyFont="1" applyFill="1" applyBorder="1" applyProtection="1">
      <alignment vertical="center"/>
      <protection hidden="1"/>
    </xf>
    <xf numFmtId="0" fontId="100" fillId="0" borderId="0" xfId="0" applyFont="1" applyFill="1" applyBorder="1" applyProtection="1">
      <alignment vertical="center"/>
      <protection hidden="1"/>
    </xf>
    <xf numFmtId="0" fontId="99" fillId="0" borderId="0" xfId="0" applyFont="1" applyFill="1" applyBorder="1" applyAlignment="1" applyProtection="1">
      <alignment horizontal="right" vertical="center"/>
      <protection hidden="1"/>
    </xf>
    <xf numFmtId="0" fontId="101" fillId="0" borderId="0" xfId="0" applyFont="1" applyFill="1" applyBorder="1" applyAlignment="1" applyProtection="1">
      <alignment horizontal="left" vertical="top"/>
      <protection hidden="1"/>
    </xf>
    <xf numFmtId="0" fontId="97" fillId="0" borderId="0" xfId="0" applyFont="1" applyFill="1" applyBorder="1" applyAlignment="1" applyProtection="1">
      <alignment horizontal="left" vertical="center"/>
      <protection hidden="1"/>
    </xf>
    <xf numFmtId="0" fontId="98"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right" vertical="top"/>
      <protection hidden="1"/>
    </xf>
    <xf numFmtId="0" fontId="102" fillId="0" borderId="0" xfId="0" applyFont="1" applyFill="1" applyBorder="1" applyAlignment="1" applyProtection="1">
      <alignment vertical="center"/>
      <protection hidden="1"/>
    </xf>
    <xf numFmtId="0" fontId="103" fillId="0" borderId="0" xfId="0" applyFont="1" applyFill="1" applyBorder="1" applyAlignment="1" applyProtection="1">
      <alignment horizontal="left" vertical="center"/>
      <protection hidden="1"/>
    </xf>
    <xf numFmtId="0" fontId="103" fillId="0" borderId="0" xfId="0" applyFont="1" applyFill="1" applyBorder="1" applyAlignment="1" applyProtection="1">
      <alignment horizontal="right" vertical="center"/>
      <protection hidden="1"/>
    </xf>
    <xf numFmtId="0" fontId="103" fillId="0" borderId="0" xfId="0" applyFont="1" applyFill="1" applyBorder="1" applyAlignment="1" applyProtection="1">
      <alignment vertical="center"/>
      <protection hidden="1"/>
    </xf>
    <xf numFmtId="0" fontId="104" fillId="0" borderId="0" xfId="0" applyFont="1" applyFill="1" applyBorder="1" applyAlignment="1" applyProtection="1">
      <alignment vertical="center"/>
      <protection hidden="1"/>
    </xf>
    <xf numFmtId="0" fontId="104" fillId="0" borderId="0" xfId="0" applyFont="1" applyFill="1" applyBorder="1" applyAlignment="1" applyProtection="1">
      <alignment horizontal="center" vertical="center"/>
      <protection hidden="1"/>
    </xf>
    <xf numFmtId="0" fontId="105" fillId="0" borderId="0" xfId="0" applyFont="1" applyFill="1" applyBorder="1" applyAlignment="1" applyProtection="1">
      <alignment horizontal="center" vertical="center"/>
      <protection hidden="1"/>
    </xf>
    <xf numFmtId="0" fontId="106" fillId="0" borderId="0" xfId="0" applyFont="1" applyFill="1" applyBorder="1" applyAlignment="1" applyProtection="1">
      <alignment vertical="center"/>
      <protection hidden="1"/>
    </xf>
    <xf numFmtId="0" fontId="107" fillId="35" borderId="73" xfId="0" applyFont="1" applyFill="1" applyBorder="1" applyAlignment="1" applyProtection="1">
      <alignment horizontal="left" vertical="center"/>
      <protection hidden="1"/>
    </xf>
    <xf numFmtId="0" fontId="107" fillId="35" borderId="74" xfId="0" applyFont="1" applyFill="1" applyBorder="1" applyAlignment="1" applyProtection="1">
      <alignment horizontal="left" vertical="center"/>
      <protection hidden="1"/>
    </xf>
    <xf numFmtId="0" fontId="108" fillId="35" borderId="74" xfId="0" applyFont="1" applyFill="1" applyBorder="1" applyAlignment="1" applyProtection="1">
      <alignment horizontal="right" vertical="top"/>
      <protection hidden="1"/>
    </xf>
    <xf numFmtId="0" fontId="100" fillId="35" borderId="181" xfId="0" applyFont="1" applyFill="1" applyBorder="1" applyProtection="1">
      <alignment vertical="center"/>
      <protection hidden="1"/>
    </xf>
    <xf numFmtId="0" fontId="100" fillId="35" borderId="74" xfId="0" applyFont="1" applyFill="1" applyBorder="1" applyProtection="1">
      <alignment vertical="center"/>
      <protection hidden="1"/>
    </xf>
    <xf numFmtId="56" fontId="107" fillId="35" borderId="181" xfId="0" applyNumberFormat="1" applyFont="1" applyFill="1" applyBorder="1" applyProtection="1">
      <alignment vertical="center"/>
      <protection hidden="1"/>
    </xf>
    <xf numFmtId="0" fontId="107" fillId="35" borderId="135" xfId="0" applyFont="1" applyFill="1" applyBorder="1" applyAlignment="1" applyProtection="1">
      <alignment horizontal="left" vertical="center"/>
      <protection hidden="1"/>
    </xf>
    <xf numFmtId="0" fontId="76" fillId="0" borderId="0" xfId="0" applyFont="1" applyFill="1" applyBorder="1" applyProtection="1">
      <alignment vertical="center"/>
      <protection hidden="1"/>
    </xf>
    <xf numFmtId="49" fontId="27" fillId="0" borderId="83" xfId="0" applyNumberFormat="1" applyFont="1" applyFill="1" applyBorder="1" applyAlignment="1" applyProtection="1">
      <alignment horizontal="left" vertical="center"/>
      <protection hidden="1"/>
    </xf>
    <xf numFmtId="3" fontId="26" fillId="0" borderId="59" xfId="0" applyNumberFormat="1" applyFont="1" applyFill="1" applyBorder="1" applyAlignment="1" applyProtection="1">
      <alignment horizontal="left" vertical="center"/>
      <protection hidden="1"/>
    </xf>
    <xf numFmtId="3" fontId="27" fillId="0" borderId="182" xfId="0" applyNumberFormat="1" applyFont="1" applyFill="1" applyBorder="1" applyAlignment="1" applyProtection="1">
      <alignment vertical="center"/>
      <protection hidden="1"/>
    </xf>
    <xf numFmtId="0" fontId="100" fillId="0" borderId="119" xfId="0" applyFont="1" applyFill="1" applyBorder="1" applyProtection="1">
      <alignment vertical="center"/>
      <protection hidden="1"/>
    </xf>
    <xf numFmtId="0" fontId="27" fillId="0" borderId="90" xfId="0" applyFont="1" applyFill="1" applyBorder="1" applyAlignment="1" applyProtection="1">
      <alignment horizontal="left" vertical="center"/>
      <protection hidden="1"/>
    </xf>
    <xf numFmtId="0" fontId="30" fillId="0" borderId="0" xfId="0" applyFont="1" applyFill="1" applyBorder="1" applyAlignment="1" applyProtection="1">
      <alignment horizontal="left" vertical="center"/>
      <protection hidden="1"/>
    </xf>
    <xf numFmtId="40" fontId="27" fillId="0" borderId="183" xfId="0" quotePrefix="1" applyNumberFormat="1" applyFont="1" applyFill="1" applyBorder="1" applyAlignment="1" applyProtection="1">
      <alignment horizontal="left" vertical="center"/>
      <protection hidden="1"/>
    </xf>
    <xf numFmtId="2" fontId="30" fillId="0" borderId="0" xfId="0" applyNumberFormat="1" applyFont="1" applyFill="1" applyBorder="1" applyAlignment="1" applyProtection="1">
      <alignment horizontal="left" vertical="center"/>
      <protection hidden="1"/>
    </xf>
    <xf numFmtId="0" fontId="84" fillId="0" borderId="90" xfId="0" applyFont="1" applyFill="1" applyBorder="1" applyAlignment="1" applyProtection="1">
      <alignment vertical="center"/>
      <protection hidden="1"/>
    </xf>
    <xf numFmtId="0" fontId="84" fillId="0" borderId="0" xfId="0" applyFont="1" applyFill="1" applyBorder="1" applyAlignment="1" applyProtection="1">
      <alignment vertical="center"/>
      <protection hidden="1"/>
    </xf>
    <xf numFmtId="0" fontId="84" fillId="0" borderId="88" xfId="0" applyFont="1" applyFill="1" applyBorder="1" applyAlignment="1" applyProtection="1">
      <alignment vertical="center"/>
      <protection hidden="1"/>
    </xf>
    <xf numFmtId="0" fontId="100" fillId="0" borderId="10" xfId="0" applyFont="1" applyFill="1" applyBorder="1" applyProtection="1">
      <alignment vertical="center"/>
      <protection hidden="1"/>
    </xf>
    <xf numFmtId="0" fontId="6" fillId="0" borderId="10" xfId="0" applyNumberFormat="1" applyFont="1" applyFill="1" applyBorder="1" applyProtection="1">
      <alignment vertical="center"/>
      <protection hidden="1"/>
    </xf>
    <xf numFmtId="0" fontId="109" fillId="0" borderId="10" xfId="0" applyFont="1" applyFill="1" applyBorder="1" applyProtection="1">
      <alignment vertical="center"/>
      <protection hidden="1"/>
    </xf>
    <xf numFmtId="0" fontId="75" fillId="0" borderId="10" xfId="0" applyNumberFormat="1" applyFont="1" applyFill="1" applyBorder="1" applyProtection="1">
      <alignment vertical="center"/>
      <protection hidden="1"/>
    </xf>
    <xf numFmtId="0" fontId="100" fillId="0" borderId="10" xfId="0" applyNumberFormat="1" applyFont="1" applyFill="1" applyBorder="1" applyProtection="1">
      <alignment vertical="center"/>
      <protection hidden="1"/>
    </xf>
    <xf numFmtId="0" fontId="27" fillId="0" borderId="90" xfId="0" applyFont="1" applyFill="1" applyBorder="1" applyAlignment="1" applyProtection="1">
      <alignment vertical="center"/>
      <protection hidden="1"/>
    </xf>
    <xf numFmtId="3" fontId="26" fillId="0" borderId="0" xfId="0" applyNumberFormat="1" applyFont="1" applyFill="1" applyBorder="1" applyAlignment="1" applyProtection="1">
      <alignment horizontal="left" vertical="center"/>
      <protection hidden="1"/>
    </xf>
    <xf numFmtId="3" fontId="27" fillId="0" borderId="183" xfId="0" applyNumberFormat="1" applyFont="1" applyFill="1" applyBorder="1" applyAlignment="1" applyProtection="1">
      <alignment vertical="center"/>
      <protection hidden="1"/>
    </xf>
    <xf numFmtId="3" fontId="27" fillId="0" borderId="0" xfId="0" applyNumberFormat="1" applyFont="1" applyFill="1" applyBorder="1" applyAlignment="1" applyProtection="1">
      <alignment horizontal="left" vertical="center"/>
      <protection hidden="1"/>
    </xf>
    <xf numFmtId="0" fontId="27" fillId="0" borderId="83" xfId="0" applyFont="1" applyFill="1" applyBorder="1" applyAlignment="1" applyProtection="1">
      <alignment horizontal="left" vertical="center"/>
      <protection hidden="1"/>
    </xf>
    <xf numFmtId="0" fontId="30" fillId="0" borderId="59" xfId="0" applyFont="1" applyFill="1" applyBorder="1" applyAlignment="1" applyProtection="1">
      <alignment horizontal="left" vertical="center"/>
      <protection hidden="1"/>
    </xf>
    <xf numFmtId="0" fontId="27" fillId="0" borderId="182" xfId="0" applyFont="1" applyFill="1" applyBorder="1" applyAlignment="1" applyProtection="1">
      <alignment horizontal="left" vertical="center"/>
      <protection hidden="1"/>
    </xf>
    <xf numFmtId="3" fontId="30" fillId="0" borderId="119" xfId="0" applyNumberFormat="1" applyFont="1" applyFill="1" applyBorder="1" applyAlignment="1" applyProtection="1">
      <alignment horizontal="left" vertical="center"/>
      <protection hidden="1"/>
    </xf>
    <xf numFmtId="0" fontId="100" fillId="0" borderId="90" xfId="0" applyFont="1" applyFill="1" applyBorder="1" applyProtection="1">
      <alignment vertical="center"/>
      <protection hidden="1"/>
    </xf>
    <xf numFmtId="0" fontId="100" fillId="0" borderId="88" xfId="0" applyFont="1" applyFill="1" applyBorder="1" applyProtection="1">
      <alignment vertical="center"/>
      <protection hidden="1"/>
    </xf>
    <xf numFmtId="0" fontId="75" fillId="0" borderId="10" xfId="0" applyFont="1" applyFill="1" applyBorder="1" applyProtection="1">
      <alignment vertical="center"/>
      <protection hidden="1"/>
    </xf>
    <xf numFmtId="0" fontId="75" fillId="0" borderId="10" xfId="0" applyNumberFormat="1" applyFont="1" applyFill="1" applyBorder="1" applyAlignment="1" applyProtection="1">
      <protection hidden="1"/>
    </xf>
    <xf numFmtId="3" fontId="30" fillId="0" borderId="0" xfId="0" applyNumberFormat="1" applyFont="1" applyFill="1" applyBorder="1" applyAlignment="1" applyProtection="1">
      <alignment horizontal="left" vertical="center"/>
      <protection hidden="1"/>
    </xf>
    <xf numFmtId="180" fontId="27" fillId="0" borderId="183" xfId="0" applyNumberFormat="1" applyFont="1" applyFill="1" applyBorder="1" applyAlignment="1" applyProtection="1">
      <alignment horizontal="right" vertical="center"/>
      <protection hidden="1"/>
    </xf>
    <xf numFmtId="0" fontId="100" fillId="0" borderId="90" xfId="0" applyFont="1" applyFill="1" applyBorder="1" applyProtection="1">
      <alignment vertical="center"/>
      <protection locked="0"/>
    </xf>
    <xf numFmtId="0" fontId="100" fillId="0" borderId="0" xfId="0" applyFont="1" applyFill="1" applyBorder="1" applyProtection="1">
      <alignment vertical="center"/>
      <protection locked="0"/>
    </xf>
    <xf numFmtId="0" fontId="100" fillId="0" borderId="88" xfId="0" applyFont="1" applyFill="1" applyBorder="1" applyProtection="1">
      <alignment vertical="center"/>
      <protection locked="0"/>
    </xf>
    <xf numFmtId="38" fontId="75" fillId="0" borderId="10" xfId="35" applyFont="1" applyFill="1" applyBorder="1" applyProtection="1">
      <alignment vertical="center"/>
      <protection hidden="1"/>
    </xf>
    <xf numFmtId="0" fontId="75" fillId="0" borderId="10" xfId="0" applyNumberFormat="1" applyFont="1" applyFill="1" applyBorder="1" applyAlignment="1" applyProtection="1">
      <alignment horizontal="left" vertical="center" wrapText="1"/>
      <protection hidden="1"/>
    </xf>
    <xf numFmtId="0" fontId="27" fillId="0" borderId="83" xfId="0" applyFont="1" applyFill="1" applyBorder="1" applyAlignment="1" applyProtection="1">
      <alignment vertical="center"/>
      <protection hidden="1"/>
    </xf>
    <xf numFmtId="3" fontId="27" fillId="0" borderId="182" xfId="0" applyNumberFormat="1" applyFont="1" applyFill="1" applyBorder="1" applyAlignment="1" applyProtection="1">
      <alignment horizontal="left" vertical="center"/>
      <protection hidden="1"/>
    </xf>
    <xf numFmtId="3" fontId="27" fillId="0" borderId="59" xfId="0" applyNumberFormat="1" applyFont="1" applyFill="1" applyBorder="1" applyAlignment="1" applyProtection="1">
      <alignment horizontal="left" vertical="center"/>
      <protection hidden="1"/>
    </xf>
    <xf numFmtId="180" fontId="27" fillId="0" borderId="182" xfId="0" applyNumberFormat="1" applyFont="1" applyFill="1" applyBorder="1" applyAlignment="1" applyProtection="1">
      <alignment horizontal="right" vertical="center"/>
      <protection hidden="1"/>
    </xf>
    <xf numFmtId="37" fontId="27" fillId="0" borderId="119" xfId="0" applyNumberFormat="1" applyFont="1" applyFill="1" applyBorder="1" applyAlignment="1" applyProtection="1">
      <alignment horizontal="left" vertical="center"/>
      <protection hidden="1"/>
    </xf>
    <xf numFmtId="3" fontId="110" fillId="0" borderId="0" xfId="0" applyNumberFormat="1" applyFont="1" applyFill="1" applyBorder="1" applyAlignment="1" applyProtection="1">
      <alignment horizontal="left" vertical="center"/>
      <protection locked="0"/>
    </xf>
    <xf numFmtId="0" fontId="6" fillId="0" borderId="10" xfId="0" applyNumberFormat="1" applyFont="1" applyFill="1" applyBorder="1" applyAlignment="1" applyProtection="1">
      <alignment vertical="center" wrapText="1"/>
      <protection hidden="1"/>
    </xf>
    <xf numFmtId="49" fontId="27" fillId="0" borderId="86" xfId="0" applyNumberFormat="1" applyFont="1" applyFill="1" applyBorder="1" applyAlignment="1" applyProtection="1">
      <alignment horizontal="left" vertical="center"/>
      <protection hidden="1"/>
    </xf>
    <xf numFmtId="3" fontId="26" fillId="0" borderId="51" xfId="0" applyNumberFormat="1" applyFont="1" applyFill="1" applyBorder="1" applyAlignment="1" applyProtection="1">
      <alignment horizontal="left" vertical="center"/>
      <protection hidden="1"/>
    </xf>
    <xf numFmtId="3" fontId="27" fillId="0" borderId="184" xfId="0" applyNumberFormat="1" applyFont="1" applyFill="1" applyBorder="1" applyAlignment="1" applyProtection="1">
      <alignment vertical="center"/>
      <protection hidden="1"/>
    </xf>
    <xf numFmtId="0" fontId="100" fillId="0" borderId="85" xfId="0" applyFont="1" applyFill="1" applyBorder="1" applyProtection="1">
      <alignment vertical="center"/>
      <protection hidden="1"/>
    </xf>
    <xf numFmtId="3" fontId="27" fillId="0" borderId="104" xfId="0" applyNumberFormat="1" applyFont="1" applyFill="1" applyBorder="1" applyAlignment="1" applyProtection="1">
      <alignment horizontal="left" vertical="center"/>
      <protection hidden="1"/>
    </xf>
    <xf numFmtId="0" fontId="111" fillId="0" borderId="54" xfId="0" applyFont="1" applyFill="1" applyBorder="1" applyProtection="1">
      <alignment vertical="center"/>
      <protection hidden="1"/>
    </xf>
    <xf numFmtId="0" fontId="27" fillId="0" borderId="185" xfId="0" applyNumberFormat="1" applyFont="1" applyFill="1" applyBorder="1" applyAlignment="1" applyProtection="1">
      <alignment vertical="center"/>
      <protection hidden="1"/>
    </xf>
    <xf numFmtId="3" fontId="27" fillId="0" borderId="114" xfId="0" applyNumberFormat="1" applyFont="1" applyFill="1" applyBorder="1" applyAlignment="1" applyProtection="1">
      <alignment horizontal="left" vertical="center"/>
      <protection hidden="1"/>
    </xf>
    <xf numFmtId="3" fontId="71" fillId="0" borderId="0" xfId="0" applyNumberFormat="1" applyFont="1" applyFill="1" applyBorder="1" applyAlignment="1" applyProtection="1">
      <alignment horizontal="left" vertical="center"/>
      <protection locked="0"/>
    </xf>
    <xf numFmtId="0" fontId="27" fillId="0" borderId="104" xfId="0" applyFont="1" applyFill="1" applyBorder="1" applyAlignment="1" applyProtection="1">
      <alignment vertical="center"/>
      <protection hidden="1"/>
    </xf>
    <xf numFmtId="2" fontId="30" fillId="0" borderId="54" xfId="0" applyNumberFormat="1" applyFont="1" applyFill="1" applyBorder="1" applyAlignment="1" applyProtection="1">
      <alignment horizontal="left" vertical="center"/>
      <protection hidden="1"/>
    </xf>
    <xf numFmtId="181" fontId="27" fillId="0" borderId="54" xfId="0" applyNumberFormat="1" applyFont="1" applyFill="1" applyBorder="1" applyAlignment="1" applyProtection="1">
      <alignment horizontal="left" vertical="center"/>
      <protection hidden="1"/>
    </xf>
    <xf numFmtId="0" fontId="100" fillId="0" borderId="114" xfId="0" applyFont="1" applyFill="1" applyBorder="1" applyProtection="1">
      <alignment vertical="center"/>
      <protection hidden="1"/>
    </xf>
    <xf numFmtId="3" fontId="27" fillId="0" borderId="83" xfId="0" applyNumberFormat="1" applyFont="1" applyFill="1" applyBorder="1" applyAlignment="1" applyProtection="1">
      <alignment horizontal="left" vertical="center"/>
      <protection hidden="1"/>
    </xf>
    <xf numFmtId="0" fontId="111" fillId="0" borderId="59" xfId="0" applyFont="1" applyFill="1" applyBorder="1" applyProtection="1">
      <alignment vertical="center"/>
      <protection hidden="1"/>
    </xf>
    <xf numFmtId="185" fontId="80" fillId="0" borderId="10" xfId="0" applyNumberFormat="1" applyFont="1" applyFill="1" applyBorder="1" applyAlignment="1" applyProtection="1">
      <alignment horizontal="center" vertical="center"/>
      <protection hidden="1"/>
    </xf>
    <xf numFmtId="0" fontId="100" fillId="0" borderId="186" xfId="0" applyFont="1" applyFill="1" applyBorder="1" applyProtection="1">
      <alignment vertical="center"/>
      <protection hidden="1"/>
    </xf>
    <xf numFmtId="0" fontId="0" fillId="0" borderId="59" xfId="0" applyBorder="1">
      <alignment vertical="center"/>
    </xf>
    <xf numFmtId="181" fontId="27" fillId="0" borderId="59" xfId="0" applyNumberFormat="1" applyFont="1" applyFill="1" applyBorder="1" applyAlignment="1" applyProtection="1">
      <alignment horizontal="left" vertical="center"/>
      <protection hidden="1"/>
    </xf>
    <xf numFmtId="0" fontId="111" fillId="0" borderId="0" xfId="0" applyFont="1" applyFill="1" applyBorder="1" applyProtection="1">
      <alignment vertical="center"/>
      <protection hidden="1"/>
    </xf>
    <xf numFmtId="31" fontId="27" fillId="0" borderId="185" xfId="0" applyNumberFormat="1" applyFont="1" applyFill="1" applyBorder="1" applyAlignment="1" applyProtection="1">
      <alignment horizontal="left" vertical="center" shrinkToFit="1"/>
      <protection hidden="1"/>
    </xf>
    <xf numFmtId="0" fontId="30" fillId="0" borderId="54" xfId="0" applyFont="1" applyFill="1" applyBorder="1" applyProtection="1">
      <alignment vertical="center"/>
      <protection hidden="1"/>
    </xf>
    <xf numFmtId="185" fontId="80" fillId="0" borderId="0" xfId="0" applyNumberFormat="1" applyFont="1" applyFill="1" applyBorder="1" applyAlignment="1" applyProtection="1">
      <alignment horizontal="center" vertical="center"/>
      <protection hidden="1"/>
    </xf>
    <xf numFmtId="37" fontId="30" fillId="0" borderId="0" xfId="0" applyNumberFormat="1" applyFont="1" applyFill="1" applyBorder="1" applyAlignment="1" applyProtection="1">
      <alignment horizontal="left" vertical="center"/>
      <protection hidden="1"/>
    </xf>
    <xf numFmtId="0" fontId="75" fillId="0" borderId="183" xfId="0" applyFont="1" applyFill="1" applyBorder="1" applyProtection="1">
      <alignment vertical="center"/>
      <protection hidden="1"/>
    </xf>
    <xf numFmtId="3" fontId="27" fillId="0" borderId="0" xfId="0" applyNumberFormat="1" applyFont="1" applyFill="1" applyBorder="1" applyAlignment="1" applyProtection="1">
      <alignment horizontal="right" vertical="center"/>
      <protection hidden="1"/>
    </xf>
    <xf numFmtId="181" fontId="27" fillId="0" borderId="0" xfId="0" applyNumberFormat="1" applyFont="1" applyFill="1" applyBorder="1" applyAlignment="1" applyProtection="1">
      <alignment horizontal="left" vertical="center"/>
      <protection hidden="1"/>
    </xf>
    <xf numFmtId="14" fontId="27" fillId="0" borderId="183" xfId="0" applyNumberFormat="1" applyFont="1" applyFill="1" applyBorder="1" applyAlignment="1" applyProtection="1">
      <alignment horizontal="left" vertical="center"/>
      <protection hidden="1"/>
    </xf>
    <xf numFmtId="0" fontId="30" fillId="0" borderId="0" xfId="0" applyFont="1" applyFill="1" applyBorder="1" applyProtection="1">
      <alignment vertical="center"/>
      <protection hidden="1"/>
    </xf>
    <xf numFmtId="185" fontId="0" fillId="0" borderId="10" xfId="0" applyNumberFormat="1" applyFill="1" applyBorder="1" applyProtection="1">
      <alignment vertical="center"/>
      <protection hidden="1"/>
    </xf>
    <xf numFmtId="0" fontId="75" fillId="0" borderId="0" xfId="0" applyNumberFormat="1" applyFont="1" applyFill="1" applyBorder="1" applyProtection="1">
      <alignment vertical="center"/>
      <protection hidden="1"/>
    </xf>
    <xf numFmtId="31" fontId="27" fillId="0" borderId="183" xfId="0" applyNumberFormat="1" applyFont="1" applyFill="1" applyBorder="1" applyAlignment="1" applyProtection="1">
      <alignment horizontal="left" vertical="center" shrinkToFit="1"/>
      <protection hidden="1"/>
    </xf>
    <xf numFmtId="0" fontId="100" fillId="0" borderId="105" xfId="0" applyFont="1" applyFill="1" applyBorder="1" applyProtection="1">
      <alignment vertical="center"/>
      <protection locked="0"/>
    </xf>
    <xf numFmtId="0" fontId="100" fillId="0" borderId="156" xfId="0" applyFont="1" applyFill="1" applyBorder="1" applyProtection="1">
      <alignment vertical="center"/>
      <protection locked="0"/>
    </xf>
    <xf numFmtId="0" fontId="100" fillId="0" borderId="112" xfId="0" applyFont="1" applyFill="1" applyBorder="1" applyProtection="1">
      <alignment vertical="center"/>
      <protection locked="0"/>
    </xf>
    <xf numFmtId="0" fontId="6" fillId="0" borderId="0" xfId="0" applyNumberFormat="1" applyFont="1" applyFill="1" applyBorder="1" applyProtection="1">
      <alignment vertical="center"/>
      <protection hidden="1"/>
    </xf>
    <xf numFmtId="37" fontId="30" fillId="0" borderId="59" xfId="0" applyNumberFormat="1" applyFont="1" applyFill="1" applyBorder="1" applyAlignment="1" applyProtection="1">
      <alignment horizontal="left" vertical="center"/>
      <protection hidden="1"/>
    </xf>
    <xf numFmtId="0" fontId="75" fillId="0" borderId="182" xfId="0" applyFont="1" applyFill="1" applyBorder="1" applyProtection="1">
      <alignment vertical="center"/>
      <protection hidden="1"/>
    </xf>
    <xf numFmtId="37" fontId="27" fillId="0" borderId="59" xfId="0" applyNumberFormat="1" applyFont="1" applyFill="1" applyBorder="1" applyAlignment="1" applyProtection="1">
      <alignment horizontal="right" vertical="center"/>
      <protection hidden="1"/>
    </xf>
    <xf numFmtId="0" fontId="27" fillId="0" borderId="59" xfId="0" applyFont="1" applyFill="1" applyBorder="1" applyAlignment="1" applyProtection="1">
      <alignment horizontal="left" vertical="center"/>
      <protection hidden="1"/>
    </xf>
    <xf numFmtId="0" fontId="100" fillId="0" borderId="59" xfId="0" applyFont="1" applyFill="1" applyBorder="1" applyProtection="1">
      <alignment vertical="center"/>
      <protection hidden="1"/>
    </xf>
    <xf numFmtId="0" fontId="27" fillId="0" borderId="182" xfId="0" applyFont="1" applyFill="1" applyBorder="1" applyProtection="1">
      <alignment vertical="center"/>
      <protection hidden="1"/>
    </xf>
    <xf numFmtId="3" fontId="27" fillId="0" borderId="20" xfId="0" applyNumberFormat="1" applyFont="1" applyFill="1" applyBorder="1" applyAlignment="1" applyProtection="1">
      <alignment horizontal="left" vertical="center"/>
      <protection hidden="1"/>
    </xf>
    <xf numFmtId="3" fontId="27" fillId="0" borderId="153" xfId="0" applyNumberFormat="1" applyFont="1" applyFill="1" applyBorder="1" applyAlignment="1" applyProtection="1">
      <alignment horizontal="right" vertical="center" indent="1"/>
      <protection hidden="1"/>
    </xf>
    <xf numFmtId="0" fontId="40" fillId="0" borderId="88" xfId="0" applyFont="1" applyFill="1" applyBorder="1" applyProtection="1">
      <alignment vertical="center"/>
      <protection hidden="1"/>
    </xf>
    <xf numFmtId="0" fontId="100" fillId="0" borderId="54" xfId="0" applyFont="1" applyFill="1" applyBorder="1" applyProtection="1">
      <alignment vertical="center"/>
      <protection hidden="1"/>
    </xf>
    <xf numFmtId="0" fontId="75" fillId="0" borderId="0" xfId="0" applyFont="1" applyFill="1" applyBorder="1" applyProtection="1">
      <alignment vertical="center"/>
      <protection hidden="1"/>
    </xf>
    <xf numFmtId="0" fontId="27" fillId="0" borderId="88" xfId="0" applyFont="1" applyFill="1" applyBorder="1" applyProtection="1">
      <alignment vertical="center"/>
      <protection hidden="1"/>
    </xf>
    <xf numFmtId="0" fontId="27" fillId="0" borderId="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horizontal="left" vertical="center"/>
      <protection hidden="1"/>
    </xf>
    <xf numFmtId="0" fontId="84" fillId="0" borderId="0" xfId="0" applyNumberFormat="1" applyFont="1" applyFill="1" applyBorder="1" applyAlignment="1" applyProtection="1">
      <alignment vertical="center"/>
      <protection hidden="1"/>
    </xf>
    <xf numFmtId="0" fontId="100" fillId="0" borderId="105" xfId="0" applyFont="1" applyFill="1" applyBorder="1" applyProtection="1">
      <alignment vertical="center"/>
      <protection hidden="1"/>
    </xf>
    <xf numFmtId="3" fontId="30" fillId="0" borderId="156" xfId="0" applyNumberFormat="1" applyFont="1" applyFill="1" applyBorder="1" applyAlignment="1" applyProtection="1">
      <alignment horizontal="left" vertical="center"/>
      <protection hidden="1"/>
    </xf>
    <xf numFmtId="0" fontId="100" fillId="0" borderId="156" xfId="0" applyFont="1" applyFill="1" applyBorder="1" applyProtection="1">
      <alignment vertical="center"/>
      <protection hidden="1"/>
    </xf>
    <xf numFmtId="0" fontId="75" fillId="0" borderId="156" xfId="0" applyFont="1" applyFill="1" applyBorder="1" applyProtection="1">
      <alignment vertical="center"/>
      <protection hidden="1"/>
    </xf>
    <xf numFmtId="3" fontId="27" fillId="0" borderId="177" xfId="0" applyNumberFormat="1" applyFont="1" applyFill="1" applyBorder="1" applyAlignment="1" applyProtection="1">
      <alignment horizontal="right" vertical="center" indent="1"/>
      <protection hidden="1"/>
    </xf>
    <xf numFmtId="0" fontId="27" fillId="0" borderId="156" xfId="0" applyFont="1" applyFill="1" applyBorder="1" applyProtection="1">
      <alignment vertical="center"/>
      <protection hidden="1"/>
    </xf>
    <xf numFmtId="0" fontId="27" fillId="0" borderId="112" xfId="0" applyFont="1" applyFill="1" applyBorder="1" applyProtection="1">
      <alignment vertical="center"/>
      <protection hidden="1"/>
    </xf>
    <xf numFmtId="0" fontId="112" fillId="0" borderId="81" xfId="0" applyFont="1" applyFill="1" applyBorder="1" applyProtection="1">
      <alignment vertical="center"/>
      <protection hidden="1"/>
    </xf>
    <xf numFmtId="0" fontId="113" fillId="0" borderId="81" xfId="0" applyFont="1" applyFill="1" applyBorder="1" applyAlignment="1" applyProtection="1">
      <alignment vertical="center"/>
      <protection hidden="1"/>
    </xf>
    <xf numFmtId="0" fontId="100" fillId="0" borderId="81" xfId="0" applyFont="1" applyFill="1" applyBorder="1" applyProtection="1">
      <alignment vertical="center"/>
      <protection hidden="1"/>
    </xf>
    <xf numFmtId="3" fontId="114" fillId="0" borderId="81" xfId="0" applyNumberFormat="1" applyFont="1" applyFill="1" applyBorder="1" applyAlignment="1" applyProtection="1">
      <alignment horizontal="left" vertical="center"/>
      <protection hidden="1"/>
    </xf>
    <xf numFmtId="0" fontId="115" fillId="0" borderId="81" xfId="0" applyFont="1" applyFill="1" applyBorder="1" applyAlignment="1" applyProtection="1">
      <alignment vertical="center"/>
      <protection hidden="1"/>
    </xf>
    <xf numFmtId="37" fontId="27" fillId="0" borderId="81" xfId="0" applyNumberFormat="1" applyFont="1" applyFill="1" applyBorder="1" applyAlignment="1" applyProtection="1">
      <alignment horizontal="left" vertical="center"/>
      <protection hidden="1"/>
    </xf>
    <xf numFmtId="0" fontId="107" fillId="35" borderId="75" xfId="0" applyFont="1" applyFill="1" applyBorder="1" applyAlignment="1" applyProtection="1">
      <alignment vertical="center"/>
      <protection hidden="1"/>
    </xf>
    <xf numFmtId="0" fontId="116" fillId="35" borderId="81" xfId="0" applyFont="1" applyFill="1" applyBorder="1" applyAlignment="1" applyProtection="1">
      <alignment horizontal="right" vertical="center"/>
      <protection hidden="1"/>
    </xf>
    <xf numFmtId="0" fontId="116" fillId="35" borderId="81" xfId="0" applyFont="1" applyFill="1" applyBorder="1" applyAlignment="1" applyProtection="1">
      <alignment vertical="center"/>
      <protection hidden="1"/>
    </xf>
    <xf numFmtId="0" fontId="117" fillId="35" borderId="81" xfId="0" applyFont="1" applyFill="1" applyBorder="1" applyAlignment="1" applyProtection="1">
      <alignment vertical="center"/>
      <protection hidden="1"/>
    </xf>
    <xf numFmtId="0" fontId="107" fillId="35" borderId="181" xfId="0" applyFont="1" applyFill="1" applyBorder="1" applyProtection="1">
      <alignment vertical="center"/>
      <protection hidden="1"/>
    </xf>
    <xf numFmtId="0" fontId="60" fillId="35" borderId="74" xfId="0" applyFont="1" applyFill="1" applyBorder="1" applyAlignment="1" applyProtection="1">
      <alignment horizontal="left" vertical="center"/>
      <protection hidden="1"/>
    </xf>
    <xf numFmtId="0" fontId="78" fillId="35" borderId="74" xfId="0" applyFont="1" applyFill="1" applyBorder="1" applyAlignment="1" applyProtection="1">
      <alignment horizontal="right" vertical="center"/>
      <protection hidden="1"/>
    </xf>
    <xf numFmtId="0" fontId="78" fillId="35" borderId="135" xfId="0" applyFont="1" applyFill="1" applyBorder="1" applyAlignment="1" applyProtection="1">
      <alignment horizontal="right" vertical="center"/>
      <protection hidden="1"/>
    </xf>
    <xf numFmtId="0" fontId="100" fillId="0" borderId="75" xfId="0" applyFont="1" applyFill="1" applyBorder="1" applyAlignment="1" applyProtection="1">
      <alignment vertical="center"/>
      <protection hidden="1"/>
    </xf>
    <xf numFmtId="0" fontId="100" fillId="0" borderId="0" xfId="0" applyFont="1" applyFill="1" applyBorder="1" applyAlignment="1" applyProtection="1">
      <alignment vertical="center"/>
      <protection hidden="1"/>
    </xf>
    <xf numFmtId="0" fontId="47" fillId="0" borderId="90" xfId="0" applyFont="1" applyFill="1" applyBorder="1" applyAlignment="1" applyProtection="1">
      <alignment vertical="center"/>
      <protection hidden="1"/>
    </xf>
    <xf numFmtId="0" fontId="47" fillId="0" borderId="0" xfId="0" applyFont="1" applyFill="1" applyBorder="1" applyAlignment="1" applyProtection="1">
      <alignment vertical="center"/>
      <protection hidden="1"/>
    </xf>
    <xf numFmtId="0" fontId="119" fillId="0" borderId="88" xfId="0" applyFont="1" applyFill="1" applyBorder="1" applyAlignment="1" applyProtection="1">
      <alignment horizontal="right" vertical="center"/>
      <protection hidden="1"/>
    </xf>
    <xf numFmtId="38" fontId="75" fillId="0" borderId="10" xfId="35" applyFont="1" applyFill="1" applyBorder="1" applyAlignment="1" applyProtection="1">
      <protection hidden="1"/>
    </xf>
    <xf numFmtId="0" fontId="82" fillId="0" borderId="90" xfId="0" applyFont="1" applyFill="1" applyBorder="1" applyAlignment="1" applyProtection="1">
      <alignment horizontal="right" vertical="center"/>
      <protection hidden="1"/>
    </xf>
    <xf numFmtId="0" fontId="35" fillId="0" borderId="0" xfId="0" applyFont="1" applyFill="1" applyBorder="1" applyAlignment="1" applyProtection="1">
      <alignment horizontal="center" vertical="center"/>
      <protection hidden="1"/>
    </xf>
    <xf numFmtId="0" fontId="35" fillId="0" borderId="88" xfId="0" applyFont="1" applyFill="1" applyBorder="1" applyAlignment="1" applyProtection="1">
      <alignment horizontal="center" vertical="center"/>
      <protection hidden="1"/>
    </xf>
    <xf numFmtId="38" fontId="6" fillId="0" borderId="10" xfId="35" applyFont="1" applyFill="1" applyBorder="1" applyProtection="1">
      <alignment vertical="center"/>
      <protection hidden="1"/>
    </xf>
    <xf numFmtId="0" fontId="100" fillId="0" borderId="187" xfId="0" applyFont="1" applyFill="1" applyBorder="1" applyProtection="1">
      <alignment vertical="center"/>
      <protection hidden="1"/>
    </xf>
    <xf numFmtId="0" fontId="100" fillId="0" borderId="188" xfId="0" applyFont="1" applyFill="1" applyBorder="1" applyProtection="1">
      <alignment vertical="center"/>
      <protection hidden="1"/>
    </xf>
    <xf numFmtId="0" fontId="100" fillId="0" borderId="189" xfId="0" applyFont="1" applyFill="1" applyBorder="1" applyProtection="1">
      <alignment vertical="center"/>
      <protection hidden="1"/>
    </xf>
    <xf numFmtId="0" fontId="100" fillId="0" borderId="90" xfId="0" applyFont="1" applyFill="1" applyBorder="1" applyAlignment="1" applyProtection="1">
      <alignment vertical="center"/>
      <protection hidden="1"/>
    </xf>
    <xf numFmtId="0" fontId="82" fillId="0" borderId="90" xfId="0" applyFont="1" applyFill="1" applyBorder="1" applyAlignment="1" applyProtection="1">
      <alignment horizontal="left" vertical="center"/>
      <protection hidden="1"/>
    </xf>
    <xf numFmtId="0" fontId="36" fillId="0" borderId="0" xfId="0" applyFont="1" applyFill="1" applyBorder="1" applyAlignment="1" applyProtection="1">
      <alignment horizontal="center" vertical="center"/>
      <protection hidden="1"/>
    </xf>
    <xf numFmtId="0" fontId="100" fillId="0" borderId="0" xfId="0" applyFont="1" applyFill="1" applyBorder="1" applyAlignment="1">
      <alignment vertical="center"/>
    </xf>
    <xf numFmtId="0" fontId="28" fillId="0" borderId="0" xfId="0" applyFont="1" applyFill="1" applyBorder="1" applyAlignment="1" applyProtection="1">
      <alignment horizontal="right" vertical="center"/>
      <protection hidden="1"/>
    </xf>
    <xf numFmtId="0" fontId="6" fillId="0" borderId="10" xfId="0" applyNumberFormat="1" applyFont="1" applyFill="1" applyBorder="1" applyAlignment="1" applyProtection="1">
      <alignment horizontal="center"/>
      <protection hidden="1"/>
    </xf>
    <xf numFmtId="0" fontId="6" fillId="0" borderId="10" xfId="0" applyNumberFormat="1" applyFont="1" applyFill="1" applyBorder="1" applyAlignment="1" applyProtection="1">
      <protection hidden="1"/>
    </xf>
    <xf numFmtId="0" fontId="6" fillId="0" borderId="10" xfId="0" quotePrefix="1" applyNumberFormat="1" applyFont="1" applyFill="1" applyBorder="1" applyAlignment="1" applyProtection="1">
      <protection hidden="1"/>
    </xf>
    <xf numFmtId="0" fontId="82" fillId="0" borderId="187" xfId="0" applyFont="1" applyFill="1" applyBorder="1" applyAlignment="1" applyProtection="1">
      <alignment horizontal="left" vertical="center"/>
      <protection hidden="1"/>
    </xf>
    <xf numFmtId="0" fontId="36" fillId="0" borderId="188" xfId="0" applyFont="1" applyFill="1" applyBorder="1" applyAlignment="1" applyProtection="1">
      <alignment horizontal="center" vertical="center"/>
      <protection hidden="1"/>
    </xf>
    <xf numFmtId="0" fontId="100" fillId="0" borderId="188" xfId="0" applyFont="1" applyFill="1" applyBorder="1" applyAlignment="1">
      <alignment vertical="center"/>
    </xf>
    <xf numFmtId="0" fontId="28" fillId="0" borderId="189" xfId="0" applyFont="1" applyFill="1" applyBorder="1" applyAlignment="1" applyProtection="1">
      <alignment horizontal="right" vertical="center"/>
      <protection hidden="1"/>
    </xf>
    <xf numFmtId="0" fontId="119" fillId="0" borderId="10" xfId="0" applyFont="1" applyFill="1" applyBorder="1" applyProtection="1">
      <alignment vertical="center"/>
      <protection hidden="1"/>
    </xf>
    <xf numFmtId="0" fontId="11" fillId="0" borderId="10" xfId="0" applyFont="1" applyFill="1" applyBorder="1" applyProtection="1">
      <alignment vertical="center"/>
      <protection hidden="1"/>
    </xf>
    <xf numFmtId="0" fontId="11" fillId="0" borderId="133" xfId="0" applyFont="1" applyFill="1" applyBorder="1" applyProtection="1">
      <alignment vertical="center"/>
      <protection hidden="1"/>
    </xf>
    <xf numFmtId="0" fontId="100" fillId="36" borderId="10" xfId="0" applyFont="1" applyFill="1" applyBorder="1" applyProtection="1">
      <alignment vertical="center"/>
      <protection hidden="1"/>
    </xf>
    <xf numFmtId="9" fontId="100" fillId="0" borderId="10" xfId="0" applyNumberFormat="1" applyFont="1" applyFill="1" applyBorder="1" applyProtection="1">
      <alignment vertical="center"/>
      <protection hidden="1"/>
    </xf>
    <xf numFmtId="0" fontId="11" fillId="0" borderId="0" xfId="0" applyFont="1" applyFill="1" applyBorder="1" applyProtection="1">
      <alignment vertical="center"/>
      <protection hidden="1"/>
    </xf>
    <xf numFmtId="0" fontId="82" fillId="0" borderId="0" xfId="0" applyFont="1" applyFill="1" applyBorder="1" applyProtection="1">
      <alignment vertical="center"/>
      <protection hidden="1"/>
    </xf>
    <xf numFmtId="0" fontId="107" fillId="35" borderId="73" xfId="0" applyFont="1" applyFill="1" applyBorder="1" applyAlignment="1" applyProtection="1">
      <alignment vertical="center"/>
      <protection hidden="1"/>
    </xf>
    <xf numFmtId="0" fontId="120" fillId="35" borderId="74" xfId="0" applyFont="1" applyFill="1" applyBorder="1" applyAlignment="1" applyProtection="1">
      <alignment vertical="center"/>
      <protection hidden="1"/>
    </xf>
    <xf numFmtId="0" fontId="120" fillId="35" borderId="74" xfId="0" applyFont="1" applyFill="1" applyBorder="1" applyAlignment="1" applyProtection="1">
      <alignment horizontal="right" vertical="center"/>
      <protection hidden="1"/>
    </xf>
    <xf numFmtId="0" fontId="121" fillId="35" borderId="74" xfId="0" applyFont="1" applyFill="1" applyBorder="1" applyAlignment="1" applyProtection="1">
      <alignment horizontal="right" vertical="top"/>
      <protection hidden="1"/>
    </xf>
    <xf numFmtId="0" fontId="104" fillId="35" borderId="74" xfId="0" applyFont="1" applyFill="1" applyBorder="1" applyAlignment="1" applyProtection="1">
      <alignment horizontal="center" vertical="center"/>
      <protection hidden="1"/>
    </xf>
    <xf numFmtId="0" fontId="84" fillId="35" borderId="74" xfId="0" applyFont="1" applyFill="1" applyBorder="1" applyAlignment="1" applyProtection="1">
      <alignment vertical="center"/>
      <protection hidden="1"/>
    </xf>
    <xf numFmtId="0" fontId="121" fillId="35" borderId="135" xfId="0" applyFont="1" applyFill="1" applyBorder="1" applyAlignment="1" applyProtection="1">
      <alignment horizontal="right" vertical="center"/>
      <protection hidden="1"/>
    </xf>
    <xf numFmtId="0" fontId="123" fillId="30" borderId="90" xfId="0" applyFont="1" applyFill="1" applyBorder="1" applyAlignment="1" applyProtection="1">
      <alignment vertical="center"/>
      <protection hidden="1"/>
    </xf>
    <xf numFmtId="0" fontId="120" fillId="30" borderId="0" xfId="0" applyFont="1" applyFill="1" applyBorder="1" applyAlignment="1" applyProtection="1">
      <alignment vertical="center"/>
      <protection hidden="1"/>
    </xf>
    <xf numFmtId="0" fontId="104" fillId="30" borderId="0" xfId="0" applyFont="1" applyFill="1" applyBorder="1" applyAlignment="1" applyProtection="1">
      <alignment horizontal="center" vertical="center"/>
      <protection hidden="1"/>
    </xf>
    <xf numFmtId="0" fontId="124" fillId="30" borderId="0" xfId="0" applyFont="1" applyFill="1" applyBorder="1" applyAlignment="1" applyProtection="1">
      <alignment horizontal="right" vertical="center"/>
      <protection hidden="1"/>
    </xf>
    <xf numFmtId="0" fontId="125" fillId="30" borderId="0" xfId="0" applyFont="1" applyFill="1" applyBorder="1" applyAlignment="1" applyProtection="1">
      <alignment horizontal="right" vertical="center"/>
      <protection hidden="1"/>
    </xf>
    <xf numFmtId="0" fontId="127" fillId="30" borderId="0" xfId="0" applyFont="1" applyFill="1" applyBorder="1" applyAlignment="1" applyProtection="1">
      <alignment horizontal="right" vertical="center"/>
      <protection hidden="1"/>
    </xf>
    <xf numFmtId="176" fontId="127" fillId="30" borderId="0" xfId="0" applyNumberFormat="1" applyFont="1" applyFill="1" applyBorder="1" applyAlignment="1" applyProtection="1">
      <alignment horizontal="right" vertical="center"/>
      <protection hidden="1"/>
    </xf>
    <xf numFmtId="0" fontId="121" fillId="30" borderId="88" xfId="0" applyFont="1" applyFill="1" applyBorder="1" applyAlignment="1" applyProtection="1">
      <alignment horizontal="right" vertical="center"/>
      <protection hidden="1"/>
    </xf>
    <xf numFmtId="0" fontId="76" fillId="0" borderId="0" xfId="0" applyFont="1" applyFill="1" applyBorder="1" applyAlignment="1" applyProtection="1">
      <alignment vertical="center"/>
      <protection hidden="1"/>
    </xf>
    <xf numFmtId="181" fontId="76" fillId="0" borderId="0" xfId="0" applyNumberFormat="1" applyFont="1" applyFill="1" applyBorder="1" applyAlignment="1" applyProtection="1">
      <alignment horizontal="left" vertical="center"/>
      <protection hidden="1"/>
    </xf>
    <xf numFmtId="0" fontId="76" fillId="0" borderId="0" xfId="0" applyFont="1" applyFill="1" applyBorder="1" applyAlignment="1" applyProtection="1">
      <alignment horizontal="left" vertical="center"/>
      <protection hidden="1"/>
    </xf>
    <xf numFmtId="0" fontId="75" fillId="0" borderId="88" xfId="0" applyFont="1" applyFill="1" applyBorder="1" applyProtection="1">
      <alignment vertical="center"/>
      <protection hidden="1"/>
    </xf>
    <xf numFmtId="0" fontId="128" fillId="0" borderId="0" xfId="0" applyFont="1" applyFill="1" applyBorder="1" applyAlignment="1" applyProtection="1">
      <alignment vertical="center"/>
      <protection hidden="1"/>
    </xf>
    <xf numFmtId="0" fontId="129" fillId="0" borderId="0" xfId="0" applyFont="1" applyFill="1" applyBorder="1" applyAlignment="1" applyProtection="1">
      <alignment horizontal="left" vertical="center"/>
      <protection hidden="1"/>
    </xf>
    <xf numFmtId="0" fontId="86" fillId="0" borderId="0" xfId="0" applyFont="1" applyFill="1" applyBorder="1" applyAlignment="1" applyProtection="1">
      <alignment horizontal="right" vertical="center"/>
      <protection hidden="1"/>
    </xf>
    <xf numFmtId="0" fontId="130" fillId="0" borderId="0" xfId="0" applyFont="1" applyFill="1" applyBorder="1" applyProtection="1">
      <alignment vertical="center"/>
      <protection hidden="1"/>
    </xf>
    <xf numFmtId="181" fontId="76" fillId="0" borderId="88" xfId="0" applyNumberFormat="1" applyFont="1" applyFill="1" applyBorder="1" applyAlignment="1" applyProtection="1">
      <alignment horizontal="center" vertical="center"/>
      <protection hidden="1"/>
    </xf>
    <xf numFmtId="0" fontId="75" fillId="0" borderId="10" xfId="0" applyNumberFormat="1" applyFont="1" applyFill="1" applyBorder="1" applyAlignment="1" applyProtection="1">
      <alignment horizontal="left" vertical="center"/>
      <protection hidden="1"/>
    </xf>
    <xf numFmtId="176" fontId="75" fillId="0" borderId="10" xfId="0" applyNumberFormat="1" applyFont="1" applyFill="1" applyBorder="1" applyAlignment="1" applyProtection="1">
      <alignment horizontal="right"/>
      <protection hidden="1"/>
    </xf>
    <xf numFmtId="176" fontId="75" fillId="0" borderId="10" xfId="0" applyNumberFormat="1" applyFont="1" applyFill="1" applyBorder="1" applyProtection="1">
      <alignment vertical="center"/>
      <protection hidden="1"/>
    </xf>
    <xf numFmtId="0" fontId="6" fillId="0" borderId="10" xfId="0" applyNumberFormat="1" applyFont="1" applyFill="1" applyBorder="1" applyAlignment="1" applyProtection="1">
      <alignment horizontal="left" vertical="center"/>
      <protection hidden="1"/>
    </xf>
    <xf numFmtId="181" fontId="26" fillId="0" borderId="0" xfId="0" applyNumberFormat="1" applyFont="1" applyFill="1" applyBorder="1" applyAlignment="1" applyProtection="1">
      <alignment horizontal="left" vertical="center"/>
      <protection hidden="1"/>
    </xf>
    <xf numFmtId="0" fontId="30" fillId="0" borderId="0" xfId="0" applyFont="1" applyFill="1" applyBorder="1" applyAlignment="1" applyProtection="1">
      <alignment vertical="center"/>
      <protection hidden="1"/>
    </xf>
    <xf numFmtId="0" fontId="30" fillId="0" borderId="59" xfId="0" applyFont="1" applyFill="1" applyBorder="1" applyAlignment="1" applyProtection="1">
      <alignment vertical="center"/>
      <protection hidden="1"/>
    </xf>
    <xf numFmtId="0" fontId="104" fillId="0" borderId="59" xfId="0" applyFont="1" applyFill="1" applyBorder="1" applyAlignment="1" applyProtection="1">
      <alignment horizontal="center" vertical="center"/>
      <protection hidden="1"/>
    </xf>
    <xf numFmtId="0" fontId="104" fillId="0" borderId="59" xfId="0" applyFont="1" applyFill="1" applyBorder="1" applyAlignment="1" applyProtection="1">
      <alignment vertical="center"/>
      <protection hidden="1"/>
    </xf>
    <xf numFmtId="0" fontId="75" fillId="0" borderId="59" xfId="0" applyFont="1" applyFill="1" applyBorder="1" applyProtection="1">
      <alignment vertical="center"/>
      <protection hidden="1"/>
    </xf>
    <xf numFmtId="0" fontId="75" fillId="0" borderId="119" xfId="0" applyFont="1" applyFill="1" applyBorder="1" applyProtection="1">
      <alignment vertical="center"/>
      <protection hidden="1"/>
    </xf>
    <xf numFmtId="0" fontId="75" fillId="0" borderId="54" xfId="0" applyFont="1" applyFill="1" applyBorder="1" applyProtection="1">
      <alignment vertical="center"/>
      <protection hidden="1"/>
    </xf>
    <xf numFmtId="0" fontId="132" fillId="30" borderId="104" xfId="0" applyFont="1" applyFill="1" applyBorder="1" applyAlignment="1" applyProtection="1">
      <alignment vertical="center"/>
      <protection hidden="1"/>
    </xf>
    <xf numFmtId="0" fontId="120" fillId="30" borderId="54" xfId="0" applyFont="1" applyFill="1" applyBorder="1" applyAlignment="1" applyProtection="1">
      <alignment vertical="center"/>
      <protection hidden="1"/>
    </xf>
    <xf numFmtId="0" fontId="120" fillId="30" borderId="54" xfId="0" applyFont="1" applyFill="1" applyBorder="1" applyAlignment="1" applyProtection="1">
      <alignment horizontal="right" vertical="center"/>
      <protection hidden="1"/>
    </xf>
    <xf numFmtId="181" fontId="127" fillId="30" borderId="0" xfId="0" applyNumberFormat="1" applyFont="1" applyFill="1" applyBorder="1" applyAlignment="1" applyProtection="1">
      <alignment horizontal="right" vertical="center"/>
      <protection hidden="1"/>
    </xf>
    <xf numFmtId="0" fontId="76" fillId="0" borderId="90" xfId="0" applyFont="1" applyFill="1" applyBorder="1" applyAlignment="1" applyProtection="1">
      <alignment horizontal="left" vertical="center"/>
      <protection hidden="1"/>
    </xf>
    <xf numFmtId="1" fontId="76" fillId="0" borderId="0" xfId="0" applyNumberFormat="1" applyFont="1" applyFill="1" applyBorder="1" applyAlignment="1" applyProtection="1">
      <alignment horizontal="left" vertical="center"/>
      <protection hidden="1"/>
    </xf>
    <xf numFmtId="0" fontId="76" fillId="0" borderId="88" xfId="0" applyFont="1" applyFill="1" applyBorder="1" applyAlignment="1" applyProtection="1">
      <alignment horizontal="left" vertical="center"/>
      <protection hidden="1"/>
    </xf>
    <xf numFmtId="0" fontId="133" fillId="0" borderId="0" xfId="0" applyFont="1" applyFill="1" applyBorder="1" applyAlignment="1" applyProtection="1">
      <alignment vertical="center"/>
      <protection hidden="1"/>
    </xf>
    <xf numFmtId="0" fontId="30" fillId="0" borderId="0" xfId="0" applyFont="1" applyFill="1" applyBorder="1" applyAlignment="1" applyProtection="1">
      <alignment horizontal="right" vertical="center"/>
      <protection hidden="1"/>
    </xf>
    <xf numFmtId="1" fontId="30" fillId="0" borderId="0" xfId="0" applyNumberFormat="1" applyFont="1" applyFill="1" applyBorder="1" applyAlignment="1" applyProtection="1">
      <alignment vertical="center"/>
      <protection hidden="1"/>
    </xf>
    <xf numFmtId="176" fontId="100" fillId="0" borderId="0" xfId="0" applyNumberFormat="1" applyFont="1" applyFill="1" applyBorder="1" applyProtection="1">
      <alignment vertical="center"/>
      <protection hidden="1"/>
    </xf>
    <xf numFmtId="0" fontId="84" fillId="0" borderId="0" xfId="0" applyFont="1" applyFill="1" applyBorder="1" applyAlignment="1" applyProtection="1">
      <alignment horizontal="right" vertical="center"/>
      <protection hidden="1"/>
    </xf>
    <xf numFmtId="0" fontId="26" fillId="0" borderId="0" xfId="0" applyFont="1" applyFill="1" applyBorder="1" applyAlignment="1" applyProtection="1">
      <alignment horizontal="left" vertical="center"/>
      <protection hidden="1"/>
    </xf>
    <xf numFmtId="0" fontId="6" fillId="0" borderId="10" xfId="0" applyNumberFormat="1" applyFont="1" applyFill="1" applyBorder="1" applyAlignment="1" applyProtection="1">
      <alignment horizontal="left"/>
      <protection hidden="1"/>
    </xf>
    <xf numFmtId="0" fontId="30" fillId="0" borderId="90"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6" fontId="75" fillId="37" borderId="10" xfId="0" applyNumberFormat="1" applyFont="1" applyFill="1" applyBorder="1" applyAlignment="1" applyProtection="1">
      <alignment horizontal="right"/>
      <protection hidden="1"/>
    </xf>
    <xf numFmtId="0" fontId="75" fillId="0" borderId="0" xfId="0" applyNumberFormat="1" applyFont="1" applyFill="1" applyBorder="1" applyAlignment="1" applyProtection="1">
      <alignment horizontal="right"/>
      <protection hidden="1"/>
    </xf>
    <xf numFmtId="0" fontId="30" fillId="0" borderId="105" xfId="0" applyFont="1" applyFill="1" applyBorder="1" applyAlignment="1" applyProtection="1">
      <alignment vertical="center"/>
      <protection hidden="1"/>
    </xf>
    <xf numFmtId="0" fontId="30" fillId="0" borderId="156" xfId="0" applyFont="1" applyFill="1" applyBorder="1" applyAlignment="1" applyProtection="1">
      <alignment vertical="center"/>
      <protection hidden="1"/>
    </xf>
    <xf numFmtId="0" fontId="30" fillId="0" borderId="156" xfId="0" applyFont="1" applyFill="1" applyBorder="1" applyAlignment="1" applyProtection="1">
      <alignment horizontal="right" vertical="center"/>
      <protection hidden="1"/>
    </xf>
    <xf numFmtId="0" fontId="104" fillId="0" borderId="156" xfId="0" applyFont="1" applyFill="1" applyBorder="1" applyAlignment="1" applyProtection="1">
      <alignment vertical="center"/>
      <protection hidden="1"/>
    </xf>
    <xf numFmtId="0" fontId="26" fillId="0" borderId="156" xfId="0" applyFont="1" applyFill="1" applyBorder="1" applyAlignment="1" applyProtection="1">
      <alignment horizontal="left" vertical="center"/>
      <protection hidden="1"/>
    </xf>
    <xf numFmtId="0" fontId="84" fillId="0" borderId="156" xfId="0" applyFont="1" applyFill="1" applyBorder="1" applyAlignment="1" applyProtection="1">
      <alignment vertical="center"/>
      <protection hidden="1"/>
    </xf>
    <xf numFmtId="0" fontId="84" fillId="0" borderId="112" xfId="0" applyFont="1" applyFill="1" applyBorder="1" applyAlignment="1" applyProtection="1">
      <alignment vertical="center"/>
      <protection hidden="1"/>
    </xf>
    <xf numFmtId="194" fontId="75" fillId="0" borderId="0" xfId="0" applyNumberFormat="1" applyFont="1" applyFill="1" applyBorder="1" applyProtection="1">
      <alignment vertical="center"/>
      <protection hidden="1"/>
    </xf>
    <xf numFmtId="0" fontId="115" fillId="0" borderId="0" xfId="0" applyFont="1" applyFill="1" applyBorder="1" applyAlignment="1" applyProtection="1">
      <alignment vertical="center"/>
      <protection hidden="1"/>
    </xf>
    <xf numFmtId="0" fontId="26" fillId="0" borderId="0" xfId="0" applyFont="1" applyFill="1" applyBorder="1" applyAlignment="1" applyProtection="1">
      <alignment horizontal="right" vertical="center"/>
      <protection hidden="1"/>
    </xf>
    <xf numFmtId="0" fontId="120" fillId="35" borderId="81" xfId="0" applyFont="1" applyFill="1" applyBorder="1" applyAlignment="1" applyProtection="1">
      <alignment vertical="center"/>
      <protection hidden="1"/>
    </xf>
    <xf numFmtId="0" fontId="120" fillId="35" borderId="81" xfId="0" applyFont="1" applyFill="1" applyBorder="1" applyAlignment="1" applyProtection="1">
      <alignment horizontal="right" vertical="center"/>
      <protection hidden="1"/>
    </xf>
    <xf numFmtId="0" fontId="134" fillId="35" borderId="81" xfId="0" applyFont="1" applyFill="1" applyBorder="1" applyAlignment="1" applyProtection="1">
      <alignment horizontal="right" vertical="top"/>
      <protection hidden="1"/>
    </xf>
    <xf numFmtId="0" fontId="104" fillId="35" borderId="81" xfId="0" applyFont="1" applyFill="1" applyBorder="1" applyAlignment="1" applyProtection="1">
      <alignment horizontal="center" vertical="center"/>
      <protection hidden="1"/>
    </xf>
    <xf numFmtId="0" fontId="84" fillId="35" borderId="81" xfId="0" applyFont="1" applyFill="1" applyBorder="1" applyAlignment="1" applyProtection="1">
      <alignment vertical="center"/>
      <protection hidden="1"/>
    </xf>
    <xf numFmtId="0" fontId="134" fillId="35" borderId="110" xfId="0" applyFont="1" applyFill="1" applyBorder="1" applyAlignment="1" applyProtection="1">
      <alignment horizontal="right" vertical="center"/>
      <protection hidden="1"/>
    </xf>
    <xf numFmtId="0" fontId="4" fillId="38" borderId="104" xfId="0" applyFont="1" applyFill="1" applyBorder="1" applyAlignment="1" applyProtection="1">
      <alignment vertical="center"/>
      <protection hidden="1"/>
    </xf>
    <xf numFmtId="0" fontId="120" fillId="38" borderId="54" xfId="0" applyFont="1" applyFill="1" applyBorder="1" applyAlignment="1" applyProtection="1">
      <alignment vertical="center"/>
      <protection hidden="1"/>
    </xf>
    <xf numFmtId="0" fontId="120" fillId="38" borderId="54" xfId="0" applyFont="1" applyFill="1" applyBorder="1" applyAlignment="1" applyProtection="1">
      <alignment horizontal="right" vertical="center"/>
      <protection hidden="1"/>
    </xf>
    <xf numFmtId="0" fontId="88" fillId="38" borderId="55" xfId="0" applyFont="1" applyFill="1" applyBorder="1" applyAlignment="1" applyProtection="1">
      <alignment vertical="center"/>
      <protection hidden="1"/>
    </xf>
    <xf numFmtId="0" fontId="4" fillId="38" borderId="54" xfId="0" applyFont="1" applyFill="1" applyBorder="1" applyAlignment="1" applyProtection="1">
      <alignment vertical="center"/>
      <protection hidden="1"/>
    </xf>
    <xf numFmtId="0" fontId="88" fillId="38" borderId="54" xfId="0" applyFont="1" applyFill="1" applyBorder="1" applyAlignment="1" applyProtection="1">
      <alignment horizontal="center" vertical="center"/>
      <protection hidden="1"/>
    </xf>
    <xf numFmtId="0" fontId="88" fillId="38" borderId="114" xfId="0" applyFont="1" applyFill="1" applyBorder="1" applyAlignment="1" applyProtection="1">
      <alignment horizontal="center" vertical="center"/>
      <protection hidden="1"/>
    </xf>
    <xf numFmtId="0" fontId="135" fillId="38" borderId="104" xfId="0" applyFont="1" applyFill="1" applyBorder="1" applyAlignment="1" applyProtection="1">
      <alignment vertical="center"/>
      <protection hidden="1"/>
    </xf>
    <xf numFmtId="0" fontId="88" fillId="38" borderId="55" xfId="0" applyFont="1" applyFill="1" applyBorder="1" applyAlignment="1" applyProtection="1">
      <alignment horizontal="center" vertical="center"/>
      <protection hidden="1"/>
    </xf>
    <xf numFmtId="0" fontId="135" fillId="38" borderId="20" xfId="0" applyFont="1" applyFill="1" applyBorder="1">
      <alignment vertical="center"/>
    </xf>
    <xf numFmtId="0" fontId="88" fillId="38" borderId="0" xfId="0" applyFont="1" applyFill="1" applyBorder="1" applyAlignment="1" applyProtection="1">
      <alignment horizontal="center" vertical="center"/>
      <protection hidden="1"/>
    </xf>
    <xf numFmtId="0" fontId="88" fillId="38" borderId="153" xfId="0" applyFont="1" applyFill="1" applyBorder="1" applyAlignment="1" applyProtection="1">
      <alignment horizontal="center" vertical="center"/>
      <protection hidden="1"/>
    </xf>
    <xf numFmtId="0" fontId="135" fillId="38" borderId="53" xfId="0" applyFont="1" applyFill="1" applyBorder="1">
      <alignment vertical="center"/>
    </xf>
    <xf numFmtId="0" fontId="88" fillId="38" borderId="0" xfId="0" applyFont="1" applyFill="1" applyBorder="1" applyAlignment="1" applyProtection="1">
      <alignment horizontal="left" vertical="center"/>
      <protection hidden="1"/>
    </xf>
    <xf numFmtId="0" fontId="120" fillId="38" borderId="0" xfId="0" applyFont="1" applyFill="1" applyBorder="1" applyAlignment="1" applyProtection="1">
      <alignment horizontal="right" vertical="center"/>
      <protection hidden="1"/>
    </xf>
    <xf numFmtId="0" fontId="120" fillId="38" borderId="88" xfId="0" applyFont="1" applyFill="1" applyBorder="1" applyAlignment="1" applyProtection="1">
      <alignment horizontal="right" vertical="center"/>
      <protection hidden="1"/>
    </xf>
    <xf numFmtId="0" fontId="135" fillId="38" borderId="104" xfId="0" applyFont="1" applyFill="1" applyBorder="1">
      <alignment vertical="center"/>
    </xf>
    <xf numFmtId="0" fontId="88" fillId="38" borderId="54" xfId="0" applyFont="1" applyFill="1" applyBorder="1" applyAlignment="1" applyProtection="1">
      <alignment horizontal="left" vertical="center"/>
      <protection hidden="1"/>
    </xf>
    <xf numFmtId="0" fontId="120" fillId="38" borderId="55" xfId="0" applyFont="1" applyFill="1" applyBorder="1" applyAlignment="1" applyProtection="1">
      <alignment horizontal="right" vertical="center"/>
      <protection hidden="1"/>
    </xf>
    <xf numFmtId="0" fontId="135" fillId="38" borderId="0" xfId="0" applyFont="1" applyFill="1" applyBorder="1">
      <alignment vertical="center"/>
    </xf>
    <xf numFmtId="0" fontId="135" fillId="38" borderId="54" xfId="0" applyFont="1" applyFill="1" applyBorder="1">
      <alignment vertical="center"/>
    </xf>
    <xf numFmtId="0" fontId="120" fillId="38" borderId="114" xfId="0" applyFont="1" applyFill="1" applyBorder="1" applyAlignment="1" applyProtection="1">
      <alignment horizontal="right" vertical="center"/>
      <protection hidden="1"/>
    </xf>
    <xf numFmtId="0" fontId="60" fillId="39" borderId="73" xfId="0" applyFont="1" applyFill="1" applyBorder="1" applyAlignment="1" applyProtection="1">
      <alignment vertical="center"/>
      <protection hidden="1"/>
    </xf>
    <xf numFmtId="0" fontId="120" fillId="39" borderId="74" xfId="0" applyFont="1" applyFill="1" applyBorder="1" applyAlignment="1" applyProtection="1">
      <alignment vertical="center"/>
      <protection hidden="1"/>
    </xf>
    <xf numFmtId="0" fontId="120" fillId="39" borderId="74" xfId="0" applyFont="1" applyFill="1" applyBorder="1" applyAlignment="1" applyProtection="1">
      <alignment horizontal="right" vertical="center"/>
      <protection hidden="1"/>
    </xf>
    <xf numFmtId="0" fontId="121" fillId="39" borderId="74" xfId="0" applyFont="1" applyFill="1" applyBorder="1" applyAlignment="1" applyProtection="1">
      <alignment vertical="top"/>
      <protection hidden="1"/>
    </xf>
    <xf numFmtId="0" fontId="84" fillId="39" borderId="74" xfId="0" applyFont="1" applyFill="1" applyBorder="1" applyAlignment="1" applyProtection="1">
      <alignment vertical="center"/>
      <protection hidden="1"/>
    </xf>
    <xf numFmtId="0" fontId="134" fillId="39" borderId="74" xfId="0" applyFont="1" applyFill="1" applyBorder="1" applyAlignment="1" applyProtection="1">
      <alignment vertical="center"/>
      <protection hidden="1"/>
    </xf>
    <xf numFmtId="0" fontId="121" fillId="39" borderId="135" xfId="0" applyFont="1" applyFill="1" applyBorder="1" applyAlignment="1" applyProtection="1">
      <alignment horizontal="right" vertical="center"/>
      <protection hidden="1"/>
    </xf>
    <xf numFmtId="0" fontId="60" fillId="28" borderId="75" xfId="0" applyFont="1" applyFill="1" applyBorder="1" applyAlignment="1" applyProtection="1">
      <alignment vertical="center"/>
      <protection hidden="1"/>
    </xf>
    <xf numFmtId="0" fontId="120" fillId="28" borderId="81" xfId="0" applyFont="1" applyFill="1" applyBorder="1" applyAlignment="1" applyProtection="1">
      <alignment vertical="center"/>
      <protection hidden="1"/>
    </xf>
    <xf numFmtId="0" fontId="120" fillId="28" borderId="81" xfId="0" applyFont="1" applyFill="1" applyBorder="1" applyAlignment="1" applyProtection="1">
      <alignment horizontal="right" vertical="center"/>
      <protection hidden="1"/>
    </xf>
    <xf numFmtId="0" fontId="134" fillId="28" borderId="81" xfId="0" applyFont="1" applyFill="1" applyBorder="1" applyAlignment="1" applyProtection="1">
      <alignment vertical="center"/>
      <protection hidden="1"/>
    </xf>
    <xf numFmtId="0" fontId="2" fillId="28" borderId="81" xfId="0" applyFont="1" applyFill="1" applyBorder="1" applyAlignment="1" applyProtection="1">
      <alignment vertical="center"/>
      <protection hidden="1"/>
    </xf>
    <xf numFmtId="0" fontId="84" fillId="28" borderId="81" xfId="0" applyFont="1" applyFill="1" applyBorder="1" applyAlignment="1" applyProtection="1">
      <alignment vertical="center"/>
      <protection hidden="1"/>
    </xf>
    <xf numFmtId="0" fontId="2" fillId="28" borderId="110" xfId="0" applyFont="1" applyFill="1" applyBorder="1" applyAlignment="1" applyProtection="1">
      <alignment horizontal="right" vertical="center"/>
      <protection hidden="1"/>
    </xf>
    <xf numFmtId="0" fontId="103" fillId="40" borderId="75" xfId="0" applyFont="1" applyFill="1" applyBorder="1" applyAlignment="1" applyProtection="1">
      <alignment horizontal="left" vertical="center"/>
      <protection hidden="1"/>
    </xf>
    <xf numFmtId="0" fontId="103" fillId="40" borderId="81" xfId="0" applyFont="1" applyFill="1" applyBorder="1" applyAlignment="1" applyProtection="1">
      <alignment horizontal="left" vertical="center"/>
      <protection hidden="1"/>
    </xf>
    <xf numFmtId="0" fontId="103" fillId="40" borderId="81" xfId="0" applyFont="1" applyFill="1" applyBorder="1" applyAlignment="1" applyProtection="1">
      <alignment horizontal="right" vertical="center"/>
      <protection hidden="1"/>
    </xf>
    <xf numFmtId="0" fontId="37" fillId="26" borderId="81" xfId="0" applyFont="1" applyFill="1" applyBorder="1" applyAlignment="1" applyProtection="1">
      <alignment vertical="center"/>
      <protection hidden="1"/>
    </xf>
    <xf numFmtId="0" fontId="30" fillId="26" borderId="81" xfId="0" applyFont="1" applyFill="1" applyBorder="1" applyAlignment="1" applyProtection="1">
      <alignment vertical="center"/>
      <protection hidden="1"/>
    </xf>
    <xf numFmtId="0" fontId="84" fillId="26" borderId="81" xfId="0" applyFont="1" applyFill="1" applyBorder="1" applyAlignment="1" applyProtection="1">
      <alignment vertical="center"/>
      <protection hidden="1"/>
    </xf>
    <xf numFmtId="0" fontId="30" fillId="26" borderId="110" xfId="0" applyFont="1" applyFill="1" applyBorder="1" applyAlignment="1" applyProtection="1">
      <alignment horizontal="right" vertical="center"/>
      <protection hidden="1"/>
    </xf>
    <xf numFmtId="0" fontId="103" fillId="40" borderId="90" xfId="0" applyFont="1" applyFill="1" applyBorder="1" applyAlignment="1" applyProtection="1">
      <alignment horizontal="left" vertical="center"/>
      <protection hidden="1"/>
    </xf>
    <xf numFmtId="49" fontId="27" fillId="40" borderId="0" xfId="0" applyNumberFormat="1" applyFont="1" applyFill="1" applyBorder="1" applyAlignment="1" applyProtection="1">
      <alignment horizontal="left" vertical="center"/>
      <protection hidden="1"/>
    </xf>
    <xf numFmtId="49" fontId="30" fillId="40" borderId="0" xfId="0" applyNumberFormat="1" applyFont="1" applyFill="1" applyBorder="1" applyAlignment="1" applyProtection="1">
      <alignment horizontal="right" vertical="center"/>
      <protection hidden="1"/>
    </xf>
    <xf numFmtId="49" fontId="26" fillId="41" borderId="0"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left" vertical="center"/>
      <protection hidden="1"/>
    </xf>
    <xf numFmtId="49" fontId="26" fillId="41" borderId="0" xfId="0" applyNumberFormat="1" applyFont="1" applyFill="1" applyBorder="1" applyAlignment="1" applyProtection="1">
      <alignment horizontal="right" vertical="center"/>
      <protection locked="0"/>
    </xf>
    <xf numFmtId="0" fontId="30" fillId="41" borderId="0" xfId="0" applyNumberFormat="1" applyFont="1" applyFill="1" applyBorder="1" applyAlignment="1" applyProtection="1">
      <alignment horizontal="center" vertical="center"/>
      <protection locked="0"/>
    </xf>
    <xf numFmtId="0" fontId="30" fillId="0" borderId="0" xfId="0" applyNumberFormat="1" applyFont="1" applyFill="1" applyBorder="1" applyAlignment="1" applyProtection="1">
      <alignment horizontal="center" vertical="center"/>
      <protection hidden="1"/>
    </xf>
    <xf numFmtId="49" fontId="26" fillId="0" borderId="0" xfId="0" applyNumberFormat="1" applyFont="1" applyFill="1" applyBorder="1" applyAlignment="1" applyProtection="1">
      <alignment horizontal="center" vertical="center"/>
      <protection hidden="1"/>
    </xf>
    <xf numFmtId="49" fontId="26" fillId="0" borderId="88" xfId="0" applyNumberFormat="1" applyFont="1" applyFill="1" applyBorder="1" applyAlignment="1" applyProtection="1">
      <alignment horizontal="left" vertical="center"/>
      <protection hidden="1"/>
    </xf>
    <xf numFmtId="0" fontId="27" fillId="40" borderId="0" xfId="0" applyFont="1" applyFill="1" applyBorder="1" applyAlignment="1" applyProtection="1">
      <alignment vertical="center"/>
      <protection hidden="1"/>
    </xf>
    <xf numFmtId="0" fontId="30" fillId="40" borderId="0" xfId="0" applyFont="1" applyFill="1" applyBorder="1" applyAlignment="1" applyProtection="1">
      <alignment horizontal="right" vertical="center"/>
      <protection hidden="1"/>
    </xf>
    <xf numFmtId="0" fontId="30" fillId="41" borderId="0" xfId="0" applyFont="1" applyFill="1" applyBorder="1" applyAlignment="1" applyProtection="1">
      <alignment vertical="center"/>
      <protection locked="0"/>
    </xf>
    <xf numFmtId="0" fontId="30" fillId="41" borderId="0" xfId="0" applyFont="1" applyFill="1" applyBorder="1" applyAlignment="1" applyProtection="1">
      <alignment horizontal="right" vertical="center"/>
      <protection locked="0"/>
    </xf>
    <xf numFmtId="0" fontId="30" fillId="41" borderId="0" xfId="0" applyFont="1" applyFill="1" applyBorder="1" applyAlignment="1" applyProtection="1">
      <alignment horizontal="center" vertical="center"/>
      <protection locked="0"/>
    </xf>
    <xf numFmtId="0" fontId="30" fillId="0" borderId="0" xfId="0" applyFont="1" applyFill="1" applyBorder="1" applyAlignment="1" applyProtection="1">
      <alignment horizontal="center" vertical="center"/>
      <protection hidden="1"/>
    </xf>
    <xf numFmtId="0" fontId="30" fillId="0" borderId="88" xfId="0" applyFont="1" applyFill="1" applyBorder="1" applyAlignment="1" applyProtection="1">
      <alignment vertical="center"/>
      <protection hidden="1"/>
    </xf>
    <xf numFmtId="0" fontId="78" fillId="0" borderId="0" xfId="0" applyFont="1" applyFill="1" applyProtection="1">
      <alignment vertical="center"/>
      <protection hidden="1"/>
    </xf>
    <xf numFmtId="0" fontId="78" fillId="40" borderId="90" xfId="0" applyFont="1" applyFill="1" applyBorder="1" applyProtection="1">
      <alignment vertical="center"/>
      <protection hidden="1"/>
    </xf>
    <xf numFmtId="0" fontId="27" fillId="40" borderId="0" xfId="0" applyFont="1" applyFill="1" applyBorder="1" applyAlignment="1" applyProtection="1">
      <alignment horizontal="left" vertical="center"/>
      <protection hidden="1"/>
    </xf>
    <xf numFmtId="49" fontId="30" fillId="0" borderId="0" xfId="0" applyNumberFormat="1" applyFont="1" applyFill="1" applyBorder="1" applyAlignment="1" applyProtection="1">
      <alignment horizontal="center" vertical="center"/>
      <protection hidden="1"/>
    </xf>
    <xf numFmtId="0" fontId="30" fillId="40" borderId="0" xfId="0" applyFont="1" applyFill="1" applyBorder="1" applyAlignment="1" applyProtection="1">
      <alignment horizontal="left" vertical="center"/>
      <protection hidden="1"/>
    </xf>
    <xf numFmtId="49" fontId="30" fillId="0" borderId="88" xfId="0" applyNumberFormat="1" applyFont="1" applyFill="1" applyBorder="1" applyAlignment="1" applyProtection="1">
      <alignment horizontal="left" vertical="center"/>
      <protection hidden="1"/>
    </xf>
    <xf numFmtId="0" fontId="103" fillId="40" borderId="105" xfId="0" applyFont="1" applyFill="1" applyBorder="1" applyAlignment="1" applyProtection="1">
      <alignment horizontal="left" vertical="center"/>
      <protection hidden="1"/>
    </xf>
    <xf numFmtId="0" fontId="30" fillId="41" borderId="156" xfId="0" applyFont="1" applyFill="1" applyBorder="1" applyAlignment="1" applyProtection="1">
      <alignment horizontal="left" vertical="center"/>
      <protection locked="0"/>
    </xf>
    <xf numFmtId="0" fontId="30" fillId="40" borderId="156" xfId="0" applyFont="1" applyFill="1" applyBorder="1" applyAlignment="1" applyProtection="1">
      <alignment horizontal="right" vertical="center"/>
      <protection hidden="1"/>
    </xf>
    <xf numFmtId="0" fontId="30" fillId="41" borderId="156" xfId="0" applyFont="1" applyFill="1" applyBorder="1" applyAlignment="1" applyProtection="1">
      <alignment vertical="center"/>
      <protection locked="0"/>
    </xf>
    <xf numFmtId="0" fontId="27" fillId="0" borderId="156" xfId="0" applyFont="1" applyFill="1" applyBorder="1" applyAlignment="1" applyProtection="1">
      <alignment vertical="center"/>
      <protection hidden="1"/>
    </xf>
    <xf numFmtId="0" fontId="30" fillId="41" borderId="156" xfId="0" applyFont="1" applyFill="1" applyBorder="1" applyAlignment="1" applyProtection="1">
      <alignment horizontal="right" vertical="center"/>
      <protection locked="0"/>
    </xf>
    <xf numFmtId="0" fontId="30" fillId="0" borderId="156" xfId="0" applyFont="1" applyFill="1" applyBorder="1" applyAlignment="1" applyProtection="1">
      <alignment horizontal="center" vertical="center"/>
      <protection hidden="1"/>
    </xf>
    <xf numFmtId="0" fontId="30" fillId="0" borderId="112" xfId="0" applyFont="1" applyFill="1" applyBorder="1" applyAlignment="1" applyProtection="1">
      <alignment vertical="center"/>
      <protection hidden="1"/>
    </xf>
    <xf numFmtId="0" fontId="134" fillId="28" borderId="74" xfId="0" applyFont="1" applyFill="1" applyBorder="1" applyAlignment="1" applyProtection="1">
      <alignment horizontal="left" vertical="center"/>
      <protection hidden="1"/>
    </xf>
    <xf numFmtId="0" fontId="134" fillId="28" borderId="74" xfId="0" applyFont="1" applyFill="1" applyBorder="1" applyAlignment="1" applyProtection="1">
      <alignment horizontal="right" vertical="center"/>
      <protection hidden="1"/>
    </xf>
    <xf numFmtId="0" fontId="134" fillId="28" borderId="74" xfId="0" applyFont="1" applyFill="1" applyBorder="1" applyAlignment="1" applyProtection="1">
      <alignment vertical="center"/>
      <protection hidden="1"/>
    </xf>
    <xf numFmtId="0" fontId="138" fillId="28" borderId="74" xfId="0" applyFont="1" applyFill="1" applyBorder="1" applyAlignment="1" applyProtection="1">
      <alignment vertical="center"/>
      <protection hidden="1"/>
    </xf>
    <xf numFmtId="0" fontId="138" fillId="28" borderId="135" xfId="0" applyFont="1" applyFill="1" applyBorder="1" applyAlignment="1" applyProtection="1">
      <alignment vertical="center"/>
      <protection hidden="1"/>
    </xf>
    <xf numFmtId="0" fontId="4" fillId="30" borderId="75" xfId="0" applyNumberFormat="1" applyFont="1" applyFill="1" applyBorder="1" applyAlignment="1" applyProtection="1">
      <alignment vertical="center"/>
      <protection hidden="1"/>
    </xf>
    <xf numFmtId="0" fontId="88" fillId="30" borderId="81" xfId="0" applyNumberFormat="1" applyFont="1" applyFill="1" applyBorder="1" applyAlignment="1" applyProtection="1">
      <alignment vertical="center"/>
      <protection hidden="1"/>
    </xf>
    <xf numFmtId="0" fontId="88" fillId="30" borderId="81" xfId="0" applyNumberFormat="1" applyFont="1" applyFill="1" applyBorder="1" applyAlignment="1" applyProtection="1">
      <alignment horizontal="right" vertical="center"/>
      <protection hidden="1"/>
    </xf>
    <xf numFmtId="181" fontId="107" fillId="30" borderId="81" xfId="0" applyNumberFormat="1" applyFont="1" applyFill="1" applyBorder="1" applyAlignment="1" applyProtection="1">
      <alignment horizontal="center" vertical="center"/>
      <protection hidden="1"/>
    </xf>
    <xf numFmtId="0" fontId="78" fillId="30" borderId="81" xfId="0" applyFont="1" applyFill="1" applyBorder="1" applyProtection="1">
      <alignment vertical="center"/>
      <protection hidden="1"/>
    </xf>
    <xf numFmtId="0" fontId="4" fillId="30" borderId="76" xfId="0" applyNumberFormat="1" applyFont="1" applyFill="1" applyBorder="1" applyAlignment="1" applyProtection="1">
      <alignment vertical="center"/>
      <protection hidden="1"/>
    </xf>
    <xf numFmtId="0" fontId="107" fillId="30" borderId="81" xfId="0" applyNumberFormat="1" applyFont="1" applyFill="1" applyBorder="1" applyAlignment="1" applyProtection="1">
      <alignment vertical="center"/>
      <protection hidden="1"/>
    </xf>
    <xf numFmtId="0" fontId="107" fillId="30" borderId="81" xfId="0" applyNumberFormat="1" applyFont="1" applyFill="1" applyBorder="1" applyAlignment="1" applyProtection="1">
      <alignment horizontal="right" vertical="center"/>
      <protection hidden="1"/>
    </xf>
    <xf numFmtId="0" fontId="88" fillId="30" borderId="110" xfId="0" applyNumberFormat="1" applyFont="1" applyFill="1" applyBorder="1" applyAlignment="1" applyProtection="1">
      <alignment vertical="center"/>
      <protection hidden="1"/>
    </xf>
    <xf numFmtId="0" fontId="84" fillId="0" borderId="90" xfId="0" applyFont="1" applyFill="1" applyBorder="1" applyAlignment="1" applyProtection="1">
      <alignment horizontal="left" vertical="center"/>
      <protection hidden="1"/>
    </xf>
    <xf numFmtId="0" fontId="59" fillId="41" borderId="0" xfId="0" applyNumberFormat="1" applyFont="1" applyFill="1" applyBorder="1" applyAlignment="1" applyProtection="1">
      <alignment horizontal="left" vertical="center"/>
      <protection locked="0"/>
    </xf>
    <xf numFmtId="0" fontId="139" fillId="0" borderId="0" xfId="0" applyNumberFormat="1" applyFont="1" applyFill="1" applyBorder="1" applyAlignment="1" applyProtection="1">
      <alignment horizontal="right" vertical="center"/>
      <protection hidden="1"/>
    </xf>
    <xf numFmtId="0" fontId="59" fillId="41" borderId="20" xfId="0" applyNumberFormat="1" applyFont="1" applyFill="1" applyBorder="1" applyAlignment="1" applyProtection="1">
      <alignment horizontal="left" vertical="center"/>
      <protection locked="0"/>
    </xf>
    <xf numFmtId="0" fontId="119" fillId="0" borderId="0" xfId="0" applyFont="1" applyFill="1" applyBorder="1" applyAlignment="1" applyProtection="1">
      <alignment vertical="center"/>
      <protection hidden="1"/>
    </xf>
    <xf numFmtId="0" fontId="100" fillId="0" borderId="88" xfId="0" applyFont="1" applyFill="1" applyBorder="1" applyAlignment="1" applyProtection="1">
      <alignment vertical="center"/>
      <protection hidden="1"/>
    </xf>
    <xf numFmtId="0" fontId="84" fillId="0" borderId="105" xfId="0" applyFont="1" applyFill="1" applyBorder="1" applyAlignment="1" applyProtection="1">
      <alignment horizontal="left" vertical="center"/>
      <protection hidden="1"/>
    </xf>
    <xf numFmtId="0" fontId="139" fillId="41" borderId="156" xfId="0" applyNumberFormat="1" applyFont="1" applyFill="1" applyBorder="1" applyAlignment="1" applyProtection="1">
      <alignment horizontal="left" vertical="center"/>
      <protection locked="0"/>
    </xf>
    <xf numFmtId="0" fontId="139" fillId="0" borderId="156" xfId="0" applyNumberFormat="1" applyFont="1" applyFill="1" applyBorder="1" applyAlignment="1" applyProtection="1">
      <alignment horizontal="right" vertical="center"/>
      <protection hidden="1"/>
    </xf>
    <xf numFmtId="0" fontId="139" fillId="41" borderId="120" xfId="0" applyNumberFormat="1" applyFont="1" applyFill="1" applyBorder="1" applyAlignment="1" applyProtection="1">
      <alignment horizontal="left" vertical="center"/>
      <protection locked="0"/>
    </xf>
    <xf numFmtId="0" fontId="40" fillId="0" borderId="156" xfId="0" applyFont="1" applyFill="1" applyBorder="1" applyAlignment="1" applyProtection="1">
      <alignment horizontal="left" vertical="top"/>
      <protection hidden="1"/>
    </xf>
    <xf numFmtId="0" fontId="40" fillId="0" borderId="112" xfId="0" applyFont="1" applyFill="1" applyBorder="1" applyAlignment="1" applyProtection="1">
      <alignment horizontal="left" vertical="top"/>
      <protection hidden="1"/>
    </xf>
    <xf numFmtId="177" fontId="100" fillId="0" borderId="0" xfId="0" applyNumberFormat="1" applyFont="1" applyFill="1" applyBorder="1" applyProtection="1">
      <alignment vertical="center"/>
      <protection hidden="1"/>
    </xf>
    <xf numFmtId="0" fontId="100" fillId="0" borderId="0" xfId="0" applyFont="1" applyFill="1" applyProtection="1">
      <alignment vertical="center"/>
      <protection hidden="1"/>
    </xf>
    <xf numFmtId="0" fontId="140" fillId="0" borderId="53" xfId="0" quotePrefix="1" applyNumberFormat="1" applyFont="1" applyFill="1" applyBorder="1" applyAlignment="1" applyProtection="1">
      <alignment horizontal="left" vertical="center"/>
      <protection hidden="1"/>
    </xf>
    <xf numFmtId="0" fontId="141" fillId="0" borderId="54" xfId="0" applyFont="1" applyFill="1" applyBorder="1" applyAlignment="1" applyProtection="1">
      <alignment horizontal="right" vertical="center"/>
      <protection hidden="1"/>
    </xf>
    <xf numFmtId="0" fontId="103" fillId="0" borderId="54" xfId="0" applyFont="1" applyFill="1" applyBorder="1" applyAlignment="1" applyProtection="1">
      <alignment horizontal="right" vertical="center"/>
      <protection hidden="1"/>
    </xf>
    <xf numFmtId="0" fontId="141" fillId="0" borderId="54" xfId="0" quotePrefix="1" applyNumberFormat="1" applyFont="1" applyFill="1" applyBorder="1" applyAlignment="1" applyProtection="1">
      <alignment horizontal="left" vertical="center"/>
      <protection hidden="1"/>
    </xf>
    <xf numFmtId="0" fontId="141" fillId="0" borderId="54" xfId="0" quotePrefix="1" applyNumberFormat="1" applyFont="1" applyFill="1" applyBorder="1" applyAlignment="1" applyProtection="1">
      <alignment horizontal="center" vertical="center"/>
      <protection hidden="1"/>
    </xf>
    <xf numFmtId="0" fontId="141" fillId="0" borderId="54" xfId="0" applyFont="1" applyFill="1" applyBorder="1" applyAlignment="1" applyProtection="1">
      <alignment horizontal="center" vertical="center"/>
      <protection hidden="1"/>
    </xf>
    <xf numFmtId="0" fontId="141" fillId="0" borderId="54" xfId="0" applyFont="1" applyFill="1" applyBorder="1" applyAlignment="1" applyProtection="1">
      <alignment vertical="center"/>
      <protection hidden="1"/>
    </xf>
    <xf numFmtId="0" fontId="141" fillId="0" borderId="55" xfId="0" applyFont="1" applyFill="1" applyBorder="1" applyAlignment="1" applyProtection="1">
      <alignment vertical="center"/>
      <protection hidden="1"/>
    </xf>
    <xf numFmtId="0" fontId="140" fillId="0" borderId="20" xfId="0" quotePrefix="1" applyNumberFormat="1" applyFont="1" applyFill="1" applyBorder="1" applyAlignment="1" applyProtection="1">
      <alignment horizontal="left" vertical="center"/>
      <protection hidden="1"/>
    </xf>
    <xf numFmtId="0" fontId="142" fillId="0" borderId="0" xfId="0" applyFont="1" applyFill="1" applyBorder="1" applyAlignment="1" applyProtection="1">
      <alignment horizontal="right" vertical="center"/>
      <protection hidden="1"/>
    </xf>
    <xf numFmtId="0" fontId="141" fillId="0" borderId="0" xfId="0" applyNumberFormat="1" applyFont="1" applyFill="1" applyBorder="1" applyAlignment="1" applyProtection="1">
      <alignment horizontal="center" vertical="center"/>
      <protection hidden="1"/>
    </xf>
    <xf numFmtId="0" fontId="141" fillId="0" borderId="0" xfId="0" applyFont="1" applyFill="1" applyBorder="1" applyAlignment="1" applyProtection="1">
      <alignment horizontal="right" vertical="center"/>
      <protection hidden="1"/>
    </xf>
    <xf numFmtId="0" fontId="104" fillId="0" borderId="0" xfId="0" applyFont="1" applyBorder="1" applyAlignment="1" applyProtection="1">
      <alignment vertical="center"/>
      <protection hidden="1"/>
    </xf>
    <xf numFmtId="0" fontId="104" fillId="0" borderId="0" xfId="0" applyFont="1" applyBorder="1" applyAlignment="1" applyProtection="1">
      <alignment horizontal="center" vertical="center"/>
      <protection hidden="1"/>
    </xf>
    <xf numFmtId="0" fontId="141" fillId="0" borderId="0" xfId="0" applyNumberFormat="1" applyFont="1" applyFill="1" applyBorder="1" applyAlignment="1" applyProtection="1">
      <alignment horizontal="right" vertical="center"/>
      <protection hidden="1"/>
    </xf>
    <xf numFmtId="0" fontId="84" fillId="0" borderId="0" xfId="0" applyFont="1" applyBorder="1" applyAlignment="1" applyProtection="1">
      <alignment vertical="center"/>
      <protection hidden="1"/>
    </xf>
    <xf numFmtId="0" fontId="141" fillId="0" borderId="0" xfId="0" applyFont="1" applyBorder="1" applyAlignment="1" applyProtection="1">
      <alignment horizontal="center" vertical="center"/>
      <protection hidden="1"/>
    </xf>
    <xf numFmtId="0" fontId="141" fillId="0" borderId="153" xfId="0" applyFont="1" applyFill="1" applyBorder="1" applyAlignment="1" applyProtection="1">
      <alignment horizontal="right" vertical="center"/>
      <protection hidden="1"/>
    </xf>
    <xf numFmtId="0" fontId="142" fillId="0" borderId="0" xfId="0" applyNumberFormat="1" applyFont="1" applyFill="1" applyBorder="1" applyAlignment="1" applyProtection="1">
      <alignment horizontal="left" vertical="center"/>
      <protection hidden="1"/>
    </xf>
    <xf numFmtId="0" fontId="142" fillId="0" borderId="0" xfId="0" quotePrefix="1" applyNumberFormat="1" applyFont="1" applyFill="1" applyBorder="1" applyAlignment="1" applyProtection="1">
      <alignment horizontal="left" vertical="center"/>
      <protection hidden="1"/>
    </xf>
    <xf numFmtId="0" fontId="84" fillId="0" borderId="0" xfId="0" quotePrefix="1" applyNumberFormat="1" applyFont="1" applyFill="1" applyBorder="1" applyAlignment="1" applyProtection="1">
      <alignment horizontal="left" vertical="center"/>
      <protection hidden="1"/>
    </xf>
    <xf numFmtId="0" fontId="50" fillId="0" borderId="0" xfId="0" quotePrefix="1"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center" vertical="center"/>
      <protection hidden="1"/>
    </xf>
    <xf numFmtId="0" fontId="84" fillId="0" borderId="153" xfId="0" applyFont="1" applyFill="1" applyBorder="1" applyAlignment="1" applyProtection="1">
      <alignment vertical="center"/>
      <protection hidden="1"/>
    </xf>
    <xf numFmtId="0" fontId="103" fillId="0" borderId="20" xfId="0" applyFont="1" applyFill="1" applyBorder="1" applyAlignment="1" applyProtection="1">
      <alignment horizontal="left" vertical="center"/>
      <protection hidden="1"/>
    </xf>
    <xf numFmtId="0" fontId="142" fillId="0" borderId="0" xfId="0" applyFont="1" applyFill="1" applyBorder="1" applyAlignment="1" applyProtection="1">
      <alignment horizontal="left" vertical="center"/>
      <protection hidden="1"/>
    </xf>
    <xf numFmtId="0" fontId="142" fillId="0" borderId="0" xfId="0" applyFont="1" applyBorder="1" applyAlignment="1" applyProtection="1">
      <alignment horizontal="left" vertical="center"/>
      <protection hidden="1"/>
    </xf>
    <xf numFmtId="0" fontId="50" fillId="0" borderId="0" xfId="0" applyFont="1" applyFill="1" applyBorder="1" applyAlignment="1" applyProtection="1">
      <alignment vertical="center"/>
      <protection hidden="1"/>
    </xf>
    <xf numFmtId="0" fontId="103" fillId="0" borderId="24" xfId="0" applyFont="1" applyFill="1" applyBorder="1" applyAlignment="1" applyProtection="1">
      <alignment horizontal="left" vertical="center"/>
      <protection hidden="1"/>
    </xf>
    <xf numFmtId="0" fontId="142" fillId="0" borderId="59" xfId="0" applyFont="1" applyFill="1" applyBorder="1" applyAlignment="1" applyProtection="1">
      <alignment horizontal="right" vertical="center"/>
      <protection hidden="1"/>
    </xf>
    <xf numFmtId="0" fontId="142" fillId="0" borderId="59" xfId="0" applyFont="1" applyFill="1" applyBorder="1" applyAlignment="1" applyProtection="1">
      <alignment horizontal="left" vertical="center"/>
      <protection hidden="1"/>
    </xf>
    <xf numFmtId="0" fontId="103" fillId="0" borderId="59" xfId="0" applyFont="1" applyBorder="1" applyAlignment="1" applyProtection="1">
      <alignment vertical="center"/>
      <protection hidden="1"/>
    </xf>
    <xf numFmtId="0" fontId="104" fillId="0" borderId="59" xfId="0" applyFont="1" applyBorder="1" applyAlignment="1" applyProtection="1">
      <alignment vertical="center"/>
      <protection hidden="1"/>
    </xf>
    <xf numFmtId="0" fontId="50" fillId="0" borderId="59" xfId="0" applyFont="1" applyFill="1" applyBorder="1" applyAlignment="1" applyProtection="1">
      <alignment vertical="center"/>
      <protection hidden="1"/>
    </xf>
    <xf numFmtId="0" fontId="104" fillId="0" borderId="59" xfId="0" applyFont="1" applyBorder="1" applyAlignment="1" applyProtection="1">
      <alignment horizontal="center" vertical="center"/>
      <protection hidden="1"/>
    </xf>
    <xf numFmtId="0" fontId="84" fillId="0" borderId="59" xfId="0" applyFont="1" applyBorder="1" applyAlignment="1" applyProtection="1">
      <alignment vertical="center"/>
      <protection hidden="1"/>
    </xf>
    <xf numFmtId="0" fontId="84" fillId="0" borderId="60" xfId="0" applyFont="1" applyFill="1" applyBorder="1" applyAlignment="1" applyProtection="1">
      <alignment vertical="center"/>
      <protection hidden="1"/>
    </xf>
    <xf numFmtId="0" fontId="103" fillId="0" borderId="0" xfId="0" applyFont="1" applyBorder="1" applyAlignment="1" applyProtection="1">
      <alignment vertical="center"/>
      <protection hidden="1"/>
    </xf>
    <xf numFmtId="0" fontId="50" fillId="0" borderId="0" xfId="0" applyFont="1" applyBorder="1" applyAlignment="1" applyProtection="1">
      <alignment vertical="center"/>
      <protection hidden="1"/>
    </xf>
    <xf numFmtId="0" fontId="84" fillId="0" borderId="0" xfId="0" applyFont="1" applyFill="1" applyBorder="1" applyAlignment="1" applyProtection="1">
      <alignment horizontal="left" vertical="center"/>
      <protection hidden="1"/>
    </xf>
    <xf numFmtId="0" fontId="143"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left" vertical="center"/>
      <protection hidden="1"/>
    </xf>
    <xf numFmtId="0" fontId="144" fillId="0" borderId="0" xfId="0" quotePrefix="1" applyNumberFormat="1" applyFont="1" applyFill="1" applyBorder="1" applyAlignment="1" applyProtection="1">
      <alignment horizontal="right" vertical="center"/>
      <protection hidden="1"/>
    </xf>
    <xf numFmtId="0" fontId="143" fillId="0" borderId="0" xfId="0" quotePrefix="1" applyNumberFormat="1" applyFont="1" applyFill="1" applyBorder="1" applyAlignment="1" applyProtection="1">
      <alignment horizontal="right" vertical="center"/>
      <protection hidden="1"/>
    </xf>
    <xf numFmtId="0" fontId="100" fillId="35" borderId="190" xfId="0" applyFont="1" applyFill="1" applyBorder="1" applyProtection="1">
      <alignment vertical="center"/>
      <protection hidden="1"/>
    </xf>
    <xf numFmtId="56" fontId="107" fillId="35" borderId="191" xfId="0" applyNumberFormat="1" applyFont="1" applyFill="1" applyBorder="1" applyProtection="1">
      <alignment vertical="center"/>
      <protection hidden="1"/>
    </xf>
    <xf numFmtId="49" fontId="27" fillId="0" borderId="82" xfId="0" applyNumberFormat="1" applyFont="1" applyFill="1" applyBorder="1" applyAlignment="1" applyProtection="1">
      <alignment horizontal="left" vertical="center"/>
      <protection hidden="1"/>
    </xf>
    <xf numFmtId="3" fontId="26" fillId="0" borderId="79" xfId="0" applyNumberFormat="1" applyFont="1" applyFill="1" applyBorder="1" applyAlignment="1" applyProtection="1">
      <alignment horizontal="left" vertical="center"/>
      <protection hidden="1"/>
    </xf>
    <xf numFmtId="3" fontId="27" fillId="0" borderId="192" xfId="0" applyNumberFormat="1" applyFont="1" applyFill="1" applyBorder="1" applyAlignment="1" applyProtection="1">
      <alignment vertical="center"/>
      <protection hidden="1"/>
    </xf>
    <xf numFmtId="0" fontId="100" fillId="0" borderId="80" xfId="0" applyFont="1" applyFill="1" applyBorder="1" applyProtection="1">
      <alignment vertical="center"/>
      <protection hidden="1"/>
    </xf>
    <xf numFmtId="0" fontId="84" fillId="0" borderId="75" xfId="0" applyFont="1" applyFill="1" applyBorder="1" applyAlignment="1" applyProtection="1">
      <alignment vertical="center"/>
      <protection hidden="1"/>
    </xf>
    <xf numFmtId="0" fontId="27" fillId="0" borderId="182" xfId="0" applyNumberFormat="1" applyFont="1" applyFill="1" applyBorder="1" applyAlignment="1" applyProtection="1">
      <alignment horizontal="right" vertical="center"/>
      <protection hidden="1"/>
    </xf>
    <xf numFmtId="0" fontId="27" fillId="0" borderId="105" xfId="0" applyFont="1" applyFill="1" applyBorder="1" applyAlignment="1" applyProtection="1">
      <alignment horizontal="left" vertical="center"/>
      <protection hidden="1"/>
    </xf>
    <xf numFmtId="37" fontId="30" fillId="0" borderId="156" xfId="0" applyNumberFormat="1" applyFont="1" applyFill="1" applyBorder="1" applyAlignment="1" applyProtection="1">
      <alignment horizontal="left" vertical="center"/>
      <protection hidden="1"/>
    </xf>
    <xf numFmtId="0" fontId="75" fillId="0" borderId="193" xfId="0" applyFont="1" applyFill="1" applyBorder="1" applyProtection="1">
      <alignment vertical="center"/>
      <protection hidden="1"/>
    </xf>
    <xf numFmtId="37" fontId="27" fillId="0" borderId="156" xfId="0" applyNumberFormat="1" applyFont="1" applyFill="1" applyBorder="1" applyAlignment="1" applyProtection="1">
      <alignment horizontal="right" vertical="center"/>
      <protection hidden="1"/>
    </xf>
    <xf numFmtId="0" fontId="27" fillId="0" borderId="156" xfId="0" applyFont="1" applyFill="1" applyBorder="1" applyAlignment="1" applyProtection="1">
      <alignment horizontal="left" vertical="center"/>
      <protection hidden="1"/>
    </xf>
    <xf numFmtId="0" fontId="100" fillId="0" borderId="112" xfId="0" applyFont="1" applyFill="1" applyBorder="1" applyProtection="1">
      <alignment vertical="center"/>
      <protection hidden="1"/>
    </xf>
    <xf numFmtId="3" fontId="71" fillId="0" borderId="105" xfId="0" applyNumberFormat="1" applyFont="1" applyFill="1" applyBorder="1" applyAlignment="1" applyProtection="1">
      <alignment horizontal="left" vertical="center"/>
      <protection hidden="1"/>
    </xf>
    <xf numFmtId="3" fontId="71" fillId="0" borderId="156" xfId="0" applyNumberFormat="1" applyFont="1" applyFill="1" applyBorder="1" applyAlignment="1" applyProtection="1">
      <alignment horizontal="right" vertical="center" indent="1"/>
      <protection hidden="1"/>
    </xf>
    <xf numFmtId="0" fontId="71" fillId="0" borderId="156" xfId="0" applyFont="1" applyFill="1" applyBorder="1" applyProtection="1">
      <alignment vertical="center"/>
      <protection hidden="1"/>
    </xf>
    <xf numFmtId="0" fontId="71" fillId="0" borderId="112" xfId="0" applyFont="1" applyFill="1" applyBorder="1" applyProtection="1">
      <alignment vertical="center"/>
      <protection hidden="1"/>
    </xf>
    <xf numFmtId="0" fontId="100" fillId="0" borderId="183" xfId="0" applyFont="1" applyFill="1" applyBorder="1" applyProtection="1">
      <alignment vertical="center"/>
      <protection hidden="1"/>
    </xf>
    <xf numFmtId="0" fontId="47" fillId="0" borderId="0" xfId="0" applyFont="1" applyFill="1" applyBorder="1" applyAlignment="1" applyProtection="1">
      <alignment vertical="top" wrapText="1"/>
      <protection hidden="1"/>
    </xf>
    <xf numFmtId="0" fontId="47" fillId="0" borderId="88" xfId="0" applyFont="1" applyFill="1" applyBorder="1" applyAlignment="1" applyProtection="1">
      <alignment vertical="top" wrapText="1"/>
      <protection hidden="1"/>
    </xf>
    <xf numFmtId="0" fontId="112" fillId="0" borderId="0" xfId="0" applyFont="1" applyFill="1" applyBorder="1" applyProtection="1">
      <alignment vertical="center"/>
      <protection hidden="1"/>
    </xf>
    <xf numFmtId="3" fontId="71" fillId="0" borderId="153" xfId="0" applyNumberFormat="1" applyFont="1" applyFill="1" applyBorder="1" applyAlignment="1" applyProtection="1">
      <alignment horizontal="right" vertical="center" indent="1"/>
      <protection hidden="1"/>
    </xf>
    <xf numFmtId="0" fontId="71" fillId="0" borderId="0" xfId="0" applyFont="1" applyFill="1" applyBorder="1" applyProtection="1">
      <alignment vertical="center"/>
      <protection hidden="1"/>
    </xf>
    <xf numFmtId="0" fontId="71" fillId="0" borderId="88" xfId="0" applyFont="1" applyFill="1" applyBorder="1" applyProtection="1">
      <alignment vertical="center"/>
      <protection hidden="1"/>
    </xf>
    <xf numFmtId="0" fontId="112" fillId="0" borderId="90" xfId="0" applyFont="1" applyFill="1" applyBorder="1" applyProtection="1">
      <alignment vertical="center"/>
      <protection hidden="1"/>
    </xf>
    <xf numFmtId="3" fontId="145" fillId="0" borderId="0" xfId="0" applyNumberFormat="1" applyFont="1" applyFill="1" applyBorder="1" applyAlignment="1" applyProtection="1">
      <alignment horizontal="left" vertical="center"/>
      <protection hidden="1"/>
    </xf>
    <xf numFmtId="0" fontId="47" fillId="0" borderId="183" xfId="0" applyFont="1" applyFill="1" applyBorder="1" applyAlignment="1" applyProtection="1">
      <alignment vertical="top" wrapText="1"/>
      <protection hidden="1"/>
    </xf>
    <xf numFmtId="0" fontId="0" fillId="0" borderId="153" xfId="0" applyBorder="1">
      <alignment vertical="center"/>
    </xf>
    <xf numFmtId="0" fontId="112" fillId="0" borderId="105" xfId="0" applyFont="1" applyFill="1" applyBorder="1" applyProtection="1">
      <alignment vertical="center"/>
      <protection hidden="1"/>
    </xf>
    <xf numFmtId="3" fontId="146" fillId="0" borderId="156" xfId="0" applyNumberFormat="1" applyFont="1" applyFill="1" applyBorder="1" applyAlignment="1" applyProtection="1">
      <alignment horizontal="left" vertical="center"/>
      <protection hidden="1"/>
    </xf>
    <xf numFmtId="0" fontId="47" fillId="0" borderId="193" xfId="0" applyFont="1" applyFill="1" applyBorder="1" applyAlignment="1" applyProtection="1">
      <alignment vertical="top" wrapText="1"/>
      <protection hidden="1"/>
    </xf>
    <xf numFmtId="0" fontId="47" fillId="0" borderId="156" xfId="0" applyFont="1" applyFill="1" applyBorder="1" applyAlignment="1" applyProtection="1">
      <alignment vertical="top" wrapText="1"/>
      <protection hidden="1"/>
    </xf>
    <xf numFmtId="0" fontId="47" fillId="0" borderId="112" xfId="0" applyFont="1" applyFill="1" applyBorder="1" applyAlignment="1" applyProtection="1">
      <alignment vertical="top" wrapText="1"/>
      <protection hidden="1"/>
    </xf>
    <xf numFmtId="0" fontId="0" fillId="0" borderId="177" xfId="0" applyBorder="1">
      <alignment vertical="center"/>
    </xf>
    <xf numFmtId="0" fontId="112" fillId="0" borderId="156" xfId="0" applyFont="1" applyFill="1" applyBorder="1" applyProtection="1">
      <alignment vertical="center"/>
      <protection hidden="1"/>
    </xf>
    <xf numFmtId="3" fontId="71" fillId="0" borderId="177" xfId="0" applyNumberFormat="1" applyFont="1" applyFill="1" applyBorder="1" applyAlignment="1" applyProtection="1">
      <alignment horizontal="right" vertical="center" indent="1"/>
      <protection hidden="1"/>
    </xf>
    <xf numFmtId="0" fontId="35" fillId="0" borderId="0"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top"/>
      <protection hidden="1"/>
    </xf>
    <xf numFmtId="0" fontId="47" fillId="0" borderId="0" xfId="0" applyFont="1" applyFill="1" applyBorder="1" applyAlignment="1" applyProtection="1">
      <alignment horizontal="left" vertical="top"/>
      <protection hidden="1"/>
    </xf>
    <xf numFmtId="0" fontId="109" fillId="0" borderId="194" xfId="0" applyFont="1" applyFill="1" applyBorder="1" applyProtection="1">
      <alignment vertical="center"/>
      <protection hidden="1"/>
    </xf>
    <xf numFmtId="0" fontId="109" fillId="0" borderId="78" xfId="0" applyFont="1" applyFill="1" applyBorder="1" applyProtection="1">
      <alignment vertical="center"/>
      <protection hidden="1"/>
    </xf>
    <xf numFmtId="0" fontId="75" fillId="0" borderId="82" xfId="0" applyNumberFormat="1" applyFont="1" applyFill="1" applyBorder="1" applyAlignment="1" applyProtection="1">
      <alignment horizontal="centerContinuous" vertical="center"/>
      <protection hidden="1"/>
    </xf>
    <xf numFmtId="0" fontId="100" fillId="0" borderId="80" xfId="0" applyNumberFormat="1" applyFont="1" applyFill="1" applyBorder="1" applyAlignment="1" applyProtection="1">
      <alignment horizontal="centerContinuous" vertical="center"/>
      <protection hidden="1"/>
    </xf>
    <xf numFmtId="49" fontId="41" fillId="0" borderId="82" xfId="0" applyNumberFormat="1" applyFont="1" applyFill="1" applyBorder="1" applyAlignment="1" applyProtection="1">
      <alignment horizontal="left" vertical="center"/>
      <protection hidden="1"/>
    </xf>
    <xf numFmtId="3" fontId="41" fillId="0" borderId="79" xfId="0" applyNumberFormat="1" applyFont="1" applyFill="1" applyBorder="1" applyAlignment="1" applyProtection="1">
      <alignment vertical="center"/>
      <protection hidden="1"/>
    </xf>
    <xf numFmtId="0" fontId="26" fillId="0" borderId="80" xfId="0" applyFont="1" applyFill="1" applyBorder="1" applyProtection="1">
      <alignment vertical="center"/>
      <protection hidden="1"/>
    </xf>
    <xf numFmtId="0" fontId="26" fillId="0" borderId="82" xfId="0" applyFont="1" applyFill="1" applyBorder="1" applyAlignment="1" applyProtection="1">
      <alignment vertical="center"/>
      <protection hidden="1"/>
    </xf>
    <xf numFmtId="0" fontId="7" fillId="0" borderId="45" xfId="0" applyFont="1" applyFill="1" applyBorder="1" applyAlignment="1" applyProtection="1">
      <alignment horizontal="left" vertical="center" indent="1"/>
      <protection hidden="1"/>
    </xf>
    <xf numFmtId="0" fontId="26" fillId="0" borderId="80" xfId="0" applyFont="1" applyFill="1" applyBorder="1" applyAlignment="1" applyProtection="1">
      <alignment vertical="center"/>
      <protection hidden="1"/>
    </xf>
    <xf numFmtId="0" fontId="100" fillId="0" borderId="50" xfId="0" applyFont="1" applyFill="1" applyBorder="1" applyProtection="1">
      <alignment vertical="center"/>
      <protection hidden="1"/>
    </xf>
    <xf numFmtId="0" fontId="100" fillId="0" borderId="67" xfId="0" applyFont="1" applyFill="1" applyBorder="1" applyProtection="1">
      <alignment vertical="center"/>
      <protection hidden="1"/>
    </xf>
    <xf numFmtId="0" fontId="100" fillId="0" borderId="68" xfId="0" applyFont="1" applyFill="1" applyBorder="1" applyProtection="1">
      <alignment vertical="center"/>
      <protection hidden="1"/>
    </xf>
    <xf numFmtId="0" fontId="6" fillId="0" borderId="52" xfId="0" applyNumberFormat="1" applyFont="1" applyFill="1" applyBorder="1" applyProtection="1">
      <alignment vertical="center"/>
      <protection hidden="1"/>
    </xf>
    <xf numFmtId="0" fontId="109" fillId="0" borderId="50" xfId="0" applyFont="1" applyFill="1" applyBorder="1" applyProtection="1">
      <alignment vertical="center"/>
      <protection hidden="1"/>
    </xf>
    <xf numFmtId="0" fontId="109" fillId="0" borderId="67" xfId="0" applyFont="1" applyFill="1" applyBorder="1" applyProtection="1">
      <alignment vertical="center"/>
      <protection hidden="1"/>
    </xf>
    <xf numFmtId="0" fontId="109" fillId="0" borderId="68" xfId="0" applyFont="1" applyFill="1" applyBorder="1" applyProtection="1">
      <alignment vertical="center"/>
      <protection hidden="1"/>
    </xf>
    <xf numFmtId="0" fontId="100" fillId="0" borderId="52" xfId="0" applyNumberFormat="1" applyFont="1" applyFill="1" applyBorder="1" applyProtection="1">
      <alignment vertical="center"/>
      <protection hidden="1"/>
    </xf>
    <xf numFmtId="0" fontId="27" fillId="0" borderId="104" xfId="0" applyNumberFormat="1" applyFont="1" applyFill="1" applyBorder="1" applyAlignment="1" applyProtection="1">
      <alignment vertical="center"/>
      <protection hidden="1"/>
    </xf>
    <xf numFmtId="0" fontId="26" fillId="0" borderId="195" xfId="0" applyNumberFormat="1" applyFont="1" applyFill="1" applyBorder="1" applyAlignment="1" applyProtection="1">
      <alignment horizontal="left" vertical="center"/>
      <protection hidden="1"/>
    </xf>
    <xf numFmtId="0" fontId="30" fillId="0" borderId="54" xfId="0" applyNumberFormat="1" applyFont="1" applyFill="1" applyBorder="1" applyAlignment="1" applyProtection="1">
      <alignment horizontal="left" vertical="center"/>
      <protection hidden="1"/>
    </xf>
    <xf numFmtId="0" fontId="26" fillId="0" borderId="54" xfId="0" applyNumberFormat="1" applyFont="1" applyFill="1" applyBorder="1" applyAlignment="1" applyProtection="1">
      <alignment horizontal="left" vertical="center"/>
      <protection hidden="1"/>
    </xf>
    <xf numFmtId="0" fontId="30" fillId="0" borderId="114" xfId="0" applyNumberFormat="1" applyFont="1" applyFill="1" applyBorder="1" applyProtection="1">
      <alignment vertical="center"/>
      <protection hidden="1"/>
    </xf>
    <xf numFmtId="0" fontId="27" fillId="0" borderId="104" xfId="0" applyNumberFormat="1" applyFont="1" applyFill="1" applyBorder="1" applyAlignment="1" applyProtection="1">
      <alignment horizontal="left" vertical="center"/>
      <protection hidden="1"/>
    </xf>
    <xf numFmtId="0" fontId="30" fillId="0" borderId="195" xfId="0" applyNumberFormat="1" applyFont="1" applyFill="1" applyBorder="1" applyAlignment="1" applyProtection="1">
      <alignment horizontal="left" vertical="center"/>
      <protection hidden="1"/>
    </xf>
    <xf numFmtId="0" fontId="30" fillId="0" borderId="54" xfId="0" applyNumberFormat="1" applyFont="1" applyFill="1" applyBorder="1" applyAlignment="1" applyProtection="1">
      <alignment vertical="center"/>
      <protection hidden="1"/>
    </xf>
    <xf numFmtId="0" fontId="30" fillId="0" borderId="114" xfId="0" applyNumberFormat="1" applyFont="1" applyFill="1" applyBorder="1" applyAlignment="1" applyProtection="1">
      <alignment horizontal="left" vertical="center"/>
      <protection hidden="1"/>
    </xf>
    <xf numFmtId="0" fontId="30" fillId="0" borderId="104" xfId="0" applyNumberFormat="1" applyFont="1" applyFill="1" applyBorder="1" applyProtection="1">
      <alignment vertical="center"/>
      <protection hidden="1"/>
    </xf>
    <xf numFmtId="0" fontId="30" fillId="0" borderId="195" xfId="0" applyNumberFormat="1" applyFont="1" applyFill="1" applyBorder="1" applyProtection="1">
      <alignment vertical="center"/>
      <protection hidden="1"/>
    </xf>
    <xf numFmtId="0" fontId="75" fillId="0" borderId="52" xfId="0" applyFont="1" applyFill="1" applyBorder="1" applyProtection="1">
      <alignment vertical="center"/>
      <protection hidden="1"/>
    </xf>
    <xf numFmtId="176" fontId="75" fillId="0" borderId="67" xfId="0" applyNumberFormat="1" applyFont="1" applyFill="1" applyBorder="1" applyAlignment="1" applyProtection="1">
      <protection hidden="1"/>
    </xf>
    <xf numFmtId="176" fontId="75" fillId="0" borderId="68" xfId="0" applyNumberFormat="1" applyFont="1" applyFill="1" applyBorder="1" applyAlignment="1" applyProtection="1">
      <protection hidden="1"/>
    </xf>
    <xf numFmtId="0" fontId="27" fillId="0" borderId="90" xfId="0" applyNumberFormat="1" applyFont="1" applyFill="1" applyBorder="1" applyAlignment="1" applyProtection="1">
      <alignment vertical="center"/>
      <protection hidden="1"/>
    </xf>
    <xf numFmtId="0" fontId="30" fillId="0" borderId="196" xfId="0" applyNumberFormat="1" applyFont="1" applyFill="1" applyBorder="1" applyAlignment="1" applyProtection="1">
      <alignment horizontal="left" vertical="center"/>
      <protection hidden="1"/>
    </xf>
    <xf numFmtId="0" fontId="30" fillId="0" borderId="88" xfId="0" applyNumberFormat="1" applyFont="1" applyFill="1" applyBorder="1" applyProtection="1">
      <alignment vertical="center"/>
      <protection hidden="1"/>
    </xf>
    <xf numFmtId="0" fontId="27" fillId="0" borderId="9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vertical="center"/>
      <protection hidden="1"/>
    </xf>
    <xf numFmtId="0" fontId="30" fillId="0" borderId="88" xfId="0" applyNumberFormat="1" applyFont="1" applyFill="1" applyBorder="1" applyAlignment="1" applyProtection="1">
      <alignment horizontal="left" vertical="center"/>
      <protection hidden="1"/>
    </xf>
    <xf numFmtId="0" fontId="30" fillId="0" borderId="90" xfId="0" applyNumberFormat="1" applyFont="1" applyFill="1" applyBorder="1" applyProtection="1">
      <alignment vertical="center"/>
      <protection locked="0"/>
    </xf>
    <xf numFmtId="0" fontId="30" fillId="0" borderId="196" xfId="0" applyNumberFormat="1" applyFont="1" applyFill="1" applyBorder="1" applyProtection="1">
      <alignment vertical="center"/>
      <protection hidden="1"/>
    </xf>
    <xf numFmtId="0" fontId="75" fillId="0" borderId="50" xfId="0" applyNumberFormat="1" applyFont="1" applyFill="1" applyBorder="1" applyProtection="1">
      <alignment vertical="center"/>
      <protection hidden="1"/>
    </xf>
    <xf numFmtId="0" fontId="75" fillId="0" borderId="67" xfId="0" applyNumberFormat="1" applyFont="1" applyFill="1" applyBorder="1" applyProtection="1">
      <alignment vertical="center"/>
      <protection hidden="1"/>
    </xf>
    <xf numFmtId="38" fontId="75" fillId="0" borderId="68" xfId="35" applyFont="1" applyFill="1" applyBorder="1" applyProtection="1">
      <alignment vertical="center"/>
      <protection hidden="1"/>
    </xf>
    <xf numFmtId="0" fontId="26" fillId="0" borderId="196" xfId="0" applyNumberFormat="1" applyFont="1" applyFill="1" applyBorder="1" applyAlignment="1" applyProtection="1">
      <alignment horizontal="left" vertical="center"/>
      <protection hidden="1"/>
    </xf>
    <xf numFmtId="55" fontId="30" fillId="0" borderId="0" xfId="0" applyNumberFormat="1" applyFont="1" applyFill="1" applyBorder="1" applyAlignment="1" applyProtection="1">
      <alignment horizontal="left" vertical="center"/>
      <protection locked="0"/>
    </xf>
    <xf numFmtId="0" fontId="147" fillId="0" borderId="196" xfId="0" applyNumberFormat="1" applyFont="1" applyFill="1" applyBorder="1" applyAlignment="1" applyProtection="1">
      <alignment horizontal="left" vertical="center"/>
      <protection locked="0"/>
    </xf>
    <xf numFmtId="0" fontId="27" fillId="0" borderId="0" xfId="0" applyNumberFormat="1" applyFont="1" applyFill="1" applyBorder="1" applyProtection="1">
      <alignment vertical="center"/>
      <protection locked="0"/>
    </xf>
    <xf numFmtId="0" fontId="27" fillId="0" borderId="88" xfId="0" applyNumberFormat="1" applyFont="1" applyFill="1" applyBorder="1" applyProtection="1">
      <alignment vertical="center"/>
      <protection locked="0"/>
    </xf>
    <xf numFmtId="0" fontId="111" fillId="0" borderId="0" xfId="0" applyNumberFormat="1" applyFont="1" applyFill="1" applyBorder="1" applyProtection="1">
      <alignment vertical="center"/>
      <protection hidden="1"/>
    </xf>
    <xf numFmtId="40" fontId="30" fillId="0" borderId="0" xfId="0" applyNumberFormat="1" applyFont="1" applyBorder="1">
      <alignment vertical="center"/>
    </xf>
    <xf numFmtId="0" fontId="30" fillId="0" borderId="196" xfId="0" applyNumberFormat="1" applyFont="1" applyFill="1" applyBorder="1" applyAlignment="1" applyProtection="1">
      <alignment horizontal="left" vertical="center"/>
      <protection locked="0"/>
    </xf>
    <xf numFmtId="0" fontId="75" fillId="0" borderId="68" xfId="0" applyNumberFormat="1" applyFont="1" applyFill="1" applyBorder="1" applyProtection="1">
      <alignment vertical="center"/>
      <protection hidden="1"/>
    </xf>
    <xf numFmtId="0" fontId="75" fillId="0" borderId="50" xfId="0" applyFont="1" applyFill="1" applyBorder="1" applyProtection="1">
      <alignment vertical="center"/>
      <protection hidden="1"/>
    </xf>
    <xf numFmtId="185" fontId="80" fillId="0" borderId="67" xfId="0" applyNumberFormat="1" applyFont="1" applyFill="1" applyBorder="1" applyAlignment="1" applyProtection="1">
      <alignment horizontal="center" vertical="center"/>
      <protection hidden="1"/>
    </xf>
    <xf numFmtId="185" fontId="80" fillId="0" borderId="68" xfId="0" applyNumberFormat="1" applyFont="1" applyFill="1" applyBorder="1" applyAlignment="1" applyProtection="1">
      <alignment horizontal="center" vertical="center"/>
      <protection hidden="1"/>
    </xf>
    <xf numFmtId="0" fontId="30" fillId="0" borderId="0" xfId="0" applyNumberFormat="1" applyFont="1" applyBorder="1">
      <alignment vertical="center"/>
    </xf>
    <xf numFmtId="0" fontId="27" fillId="0" borderId="0" xfId="0" applyNumberFormat="1" applyFont="1" applyFill="1" applyBorder="1" applyProtection="1">
      <alignment vertical="center"/>
      <protection hidden="1"/>
    </xf>
    <xf numFmtId="185" fontId="80" fillId="0" borderId="90" xfId="0" applyNumberFormat="1" applyFont="1" applyFill="1" applyBorder="1" applyAlignment="1" applyProtection="1">
      <alignment horizontal="center" vertical="center"/>
      <protection hidden="1"/>
    </xf>
    <xf numFmtId="185" fontId="80" fillId="0" borderId="88" xfId="0" applyNumberFormat="1" applyFont="1" applyFill="1" applyBorder="1" applyAlignment="1" applyProtection="1">
      <alignment horizontal="center" vertical="center"/>
      <protection hidden="1"/>
    </xf>
    <xf numFmtId="176" fontId="75" fillId="0" borderId="197" xfId="0" applyNumberFormat="1" applyFont="1" applyFill="1" applyBorder="1" applyAlignment="1" applyProtection="1">
      <protection hidden="1"/>
    </xf>
    <xf numFmtId="176" fontId="75" fillId="0" borderId="198" xfId="0" applyNumberFormat="1" applyFont="1" applyFill="1" applyBorder="1" applyAlignment="1" applyProtection="1">
      <protection hidden="1"/>
    </xf>
    <xf numFmtId="0" fontId="30" fillId="0" borderId="0" xfId="0" applyNumberFormat="1" applyFont="1" applyFill="1" applyBorder="1" applyProtection="1">
      <alignment vertical="center"/>
      <protection hidden="1"/>
    </xf>
    <xf numFmtId="0" fontId="30" fillId="0" borderId="0" xfId="0" applyNumberFormat="1" applyFont="1" applyFill="1" applyBorder="1" applyAlignment="1" applyProtection="1">
      <alignment horizontal="right" vertical="center"/>
      <protection hidden="1"/>
    </xf>
    <xf numFmtId="0" fontId="30" fillId="0" borderId="196" xfId="0" applyNumberFormat="1" applyFont="1" applyFill="1" applyBorder="1" applyProtection="1">
      <alignment vertical="center"/>
      <protection locked="0"/>
    </xf>
    <xf numFmtId="185" fontId="0" fillId="0" borderId="67" xfId="0" applyNumberFormat="1" applyFill="1" applyBorder="1" applyProtection="1">
      <alignment vertical="center"/>
      <protection hidden="1"/>
    </xf>
    <xf numFmtId="185" fontId="0" fillId="0" borderId="68" xfId="0" applyNumberFormat="1" applyFill="1" applyBorder="1" applyProtection="1">
      <alignment vertical="center"/>
      <protection hidden="1"/>
    </xf>
    <xf numFmtId="0" fontId="27" fillId="0" borderId="0" xfId="0" applyNumberFormat="1" applyFont="1" applyFill="1" applyBorder="1" applyAlignment="1" applyProtection="1">
      <alignment vertical="center"/>
      <protection hidden="1"/>
    </xf>
    <xf numFmtId="185" fontId="0" fillId="0" borderId="197" xfId="0" applyNumberFormat="1" applyFill="1" applyBorder="1" applyProtection="1">
      <alignment vertical="center"/>
      <protection hidden="1"/>
    </xf>
    <xf numFmtId="185" fontId="0" fillId="0" borderId="107" xfId="0" applyNumberFormat="1" applyFill="1" applyBorder="1" applyProtection="1">
      <alignment vertical="center"/>
      <protection hidden="1"/>
    </xf>
    <xf numFmtId="0" fontId="30" fillId="0" borderId="196" xfId="0" applyNumberFormat="1" applyFont="1" applyFill="1" applyBorder="1" applyAlignment="1" applyProtection="1">
      <alignment horizontal="right" vertical="center" indent="1"/>
      <protection hidden="1"/>
    </xf>
    <xf numFmtId="0" fontId="27" fillId="0" borderId="88" xfId="0" applyNumberFormat="1" applyFont="1" applyFill="1" applyBorder="1" applyProtection="1">
      <alignment vertical="center"/>
      <protection hidden="1"/>
    </xf>
    <xf numFmtId="0" fontId="30" fillId="0" borderId="90" xfId="0" applyNumberFormat="1" applyFont="1" applyFill="1" applyBorder="1" applyAlignment="1" applyProtection="1">
      <alignment horizontal="left" vertical="center"/>
      <protection hidden="1"/>
    </xf>
    <xf numFmtId="0" fontId="30" fillId="0" borderId="0" xfId="0" applyNumberFormat="1" applyFont="1" applyFill="1" applyBorder="1" applyAlignment="1" applyProtection="1">
      <alignment vertical="top" wrapText="1"/>
      <protection hidden="1"/>
    </xf>
    <xf numFmtId="0" fontId="30" fillId="0" borderId="88" xfId="0" applyNumberFormat="1" applyFont="1" applyFill="1" applyBorder="1" applyAlignment="1" applyProtection="1">
      <alignment vertical="top" wrapText="1"/>
      <protection hidden="1"/>
    </xf>
    <xf numFmtId="0" fontId="30" fillId="0" borderId="90" xfId="0" applyNumberFormat="1" applyFont="1" applyFill="1" applyBorder="1" applyProtection="1">
      <alignment vertical="center"/>
      <protection hidden="1"/>
    </xf>
    <xf numFmtId="0" fontId="30" fillId="0" borderId="105" xfId="0" applyNumberFormat="1" applyFont="1" applyFill="1" applyBorder="1" applyProtection="1">
      <alignment vertical="center"/>
      <protection hidden="1"/>
    </xf>
    <xf numFmtId="0" fontId="30" fillId="0" borderId="199" xfId="0" applyNumberFormat="1" applyFont="1" applyFill="1" applyBorder="1" applyAlignment="1" applyProtection="1">
      <alignment horizontal="left" vertical="center"/>
      <protection hidden="1"/>
    </xf>
    <xf numFmtId="0" fontId="30" fillId="0" borderId="156" xfId="0" applyNumberFormat="1" applyFont="1" applyFill="1" applyBorder="1" applyAlignment="1" applyProtection="1">
      <alignment vertical="top" wrapText="1"/>
      <protection hidden="1"/>
    </xf>
    <xf numFmtId="0" fontId="30" fillId="0" borderId="112" xfId="0" applyNumberFormat="1" applyFont="1" applyFill="1" applyBorder="1" applyAlignment="1" applyProtection="1">
      <alignment vertical="top" wrapText="1"/>
      <protection hidden="1"/>
    </xf>
    <xf numFmtId="0" fontId="30" fillId="0" borderId="199" xfId="0" applyNumberFormat="1" applyFont="1" applyFill="1" applyBorder="1" applyProtection="1">
      <alignment vertical="center"/>
      <protection hidden="1"/>
    </xf>
    <xf numFmtId="0" fontId="30" fillId="0" borderId="199" xfId="0" applyNumberFormat="1" applyFont="1" applyFill="1" applyBorder="1" applyAlignment="1" applyProtection="1">
      <alignment horizontal="right" vertical="center" indent="1"/>
      <protection hidden="1"/>
    </xf>
    <xf numFmtId="0" fontId="0" fillId="0" borderId="156" xfId="0" applyBorder="1" applyAlignment="1">
      <alignment vertical="top" shrinkToFit="1"/>
    </xf>
    <xf numFmtId="0" fontId="0" fillId="0" borderId="112" xfId="0" applyBorder="1" applyAlignment="1">
      <alignment vertical="top" shrinkToFit="1"/>
    </xf>
    <xf numFmtId="0" fontId="109" fillId="0" borderId="82" xfId="0" applyFont="1" applyFill="1" applyBorder="1" applyAlignment="1" applyProtection="1">
      <alignment horizontal="centerContinuous" vertical="center"/>
      <protection hidden="1"/>
    </xf>
    <xf numFmtId="0" fontId="75" fillId="0" borderId="79" xfId="0" applyNumberFormat="1" applyFont="1" applyFill="1" applyBorder="1" applyAlignment="1" applyProtection="1">
      <alignment horizontal="centerContinuous" vertical="center"/>
      <protection hidden="1"/>
    </xf>
    <xf numFmtId="0" fontId="75" fillId="0" borderId="80" xfId="0" applyNumberFormat="1" applyFont="1" applyFill="1" applyBorder="1" applyAlignment="1" applyProtection="1">
      <alignment horizontal="centerContinuous" vertical="center"/>
      <protection hidden="1"/>
    </xf>
    <xf numFmtId="0" fontId="100" fillId="0" borderId="79" xfId="0" applyFont="1" applyFill="1" applyBorder="1" applyAlignment="1" applyProtection="1">
      <alignment horizontal="centerContinuous" vertical="center"/>
      <protection hidden="1"/>
    </xf>
    <xf numFmtId="0" fontId="100" fillId="0" borderId="80" xfId="0" applyFont="1" applyFill="1" applyBorder="1" applyAlignment="1" applyProtection="1">
      <alignment horizontal="centerContinuous" vertical="center"/>
      <protection hidden="1"/>
    </xf>
    <xf numFmtId="0" fontId="6" fillId="0" borderId="67" xfId="0" applyNumberFormat="1" applyFont="1" applyFill="1" applyBorder="1" applyProtection="1">
      <alignment vertical="center"/>
      <protection hidden="1"/>
    </xf>
    <xf numFmtId="0" fontId="6" fillId="0" borderId="68" xfId="0" applyNumberFormat="1" applyFont="1" applyFill="1" applyBorder="1" applyProtection="1">
      <alignment vertical="center"/>
      <protection hidden="1"/>
    </xf>
    <xf numFmtId="38" fontId="75" fillId="0" borderId="67" xfId="35" applyFont="1" applyFill="1" applyBorder="1" applyAlignment="1" applyProtection="1">
      <protection hidden="1"/>
    </xf>
    <xf numFmtId="38" fontId="75" fillId="0" borderId="68" xfId="35" applyFont="1" applyFill="1" applyBorder="1" applyAlignment="1" applyProtection="1">
      <protection hidden="1"/>
    </xf>
    <xf numFmtId="185" fontId="80" fillId="0" borderId="0" xfId="0" applyNumberFormat="1" applyFont="1" applyFill="1" applyBorder="1" applyAlignment="1" applyProtection="1">
      <alignment horizontal="left" vertical="top"/>
      <protection hidden="1"/>
    </xf>
    <xf numFmtId="185" fontId="80" fillId="0" borderId="0" xfId="0" applyNumberFormat="1" applyFont="1" applyFill="1" applyBorder="1" applyAlignment="1" applyProtection="1">
      <alignment horizontal="left" vertical="center"/>
      <protection hidden="1"/>
    </xf>
    <xf numFmtId="0" fontId="75" fillId="0" borderId="50" xfId="0" applyNumberFormat="1" applyFont="1" applyFill="1" applyBorder="1" applyAlignment="1" applyProtection="1">
      <protection hidden="1"/>
    </xf>
    <xf numFmtId="38" fontId="6" fillId="0" borderId="67" xfId="35" applyFont="1" applyFill="1" applyBorder="1" applyProtection="1">
      <alignment vertical="center"/>
      <protection hidden="1"/>
    </xf>
    <xf numFmtId="38" fontId="6" fillId="0" borderId="68" xfId="35" applyFont="1" applyFill="1" applyBorder="1" applyProtection="1">
      <alignment vertical="center"/>
      <protection hidden="1"/>
    </xf>
    <xf numFmtId="0" fontId="0" fillId="0" borderId="118" xfId="0" applyBorder="1">
      <alignment vertical="center"/>
    </xf>
    <xf numFmtId="38" fontId="6" fillId="0" borderId="197" xfId="35" applyFont="1" applyFill="1" applyBorder="1" applyProtection="1">
      <alignment vertical="center"/>
      <protection hidden="1"/>
    </xf>
    <xf numFmtId="38" fontId="6" fillId="0" borderId="121" xfId="35" applyFont="1" applyFill="1" applyBorder="1" applyProtection="1">
      <alignment vertical="center"/>
      <protection hidden="1"/>
    </xf>
    <xf numFmtId="38" fontId="6" fillId="0" borderId="198" xfId="35" applyFont="1" applyFill="1" applyBorder="1" applyProtection="1">
      <alignment vertical="center"/>
      <protection hidden="1"/>
    </xf>
    <xf numFmtId="201" fontId="75" fillId="0" borderId="156" xfId="0" applyNumberFormat="1" applyFont="1" applyFill="1" applyBorder="1" applyAlignment="1" applyProtection="1">
      <alignment horizontal="right" vertical="center"/>
      <protection hidden="1"/>
    </xf>
    <xf numFmtId="202" fontId="148" fillId="0" borderId="156" xfId="0" applyNumberFormat="1" applyFont="1" applyFill="1" applyBorder="1" applyProtection="1">
      <alignment vertical="center"/>
      <protection hidden="1"/>
    </xf>
    <xf numFmtId="176" fontId="127" fillId="30" borderId="0" xfId="0" applyNumberFormat="1" applyFont="1" applyFill="1" applyBorder="1" applyAlignment="1" applyProtection="1">
      <alignment horizontal="left" vertical="center"/>
      <protection hidden="1"/>
    </xf>
    <xf numFmtId="0" fontId="121" fillId="30" borderId="88" xfId="0" applyFont="1" applyFill="1" applyBorder="1" applyAlignment="1" applyProtection="1">
      <alignment horizontal="left" vertical="center"/>
      <protection hidden="1"/>
    </xf>
    <xf numFmtId="0" fontId="0" fillId="0" borderId="82" xfId="0" applyBorder="1" applyAlignment="1">
      <alignment horizontal="centerContinuous" vertical="center"/>
    </xf>
    <xf numFmtId="0" fontId="0" fillId="0" borderId="80" xfId="0" applyBorder="1" applyAlignment="1">
      <alignment horizontal="centerContinuous" vertical="center"/>
    </xf>
    <xf numFmtId="0" fontId="75" fillId="0" borderId="65" xfId="0" applyNumberFormat="1" applyFont="1" applyFill="1" applyBorder="1" applyProtection="1">
      <alignment vertical="center"/>
      <protection hidden="1"/>
    </xf>
    <xf numFmtId="0" fontId="75" fillId="0" borderId="66" xfId="0" applyNumberFormat="1" applyFont="1" applyFill="1" applyBorder="1" applyProtection="1">
      <alignment vertical="center"/>
      <protection hidden="1"/>
    </xf>
    <xf numFmtId="0" fontId="75" fillId="0" borderId="51" xfId="0" applyNumberFormat="1" applyFont="1" applyFill="1" applyBorder="1" applyProtection="1">
      <alignment vertical="center"/>
      <protection hidden="1"/>
    </xf>
    <xf numFmtId="0" fontId="75" fillId="0" borderId="50" xfId="0" applyNumberFormat="1" applyFont="1" applyFill="1" applyBorder="1" applyAlignment="1" applyProtection="1">
      <alignment horizontal="left" vertical="center"/>
      <protection hidden="1"/>
    </xf>
    <xf numFmtId="176" fontId="75" fillId="0" borderId="67" xfId="0" applyNumberFormat="1" applyFont="1" applyFill="1" applyBorder="1" applyAlignment="1" applyProtection="1">
      <alignment horizontal="right"/>
      <protection hidden="1"/>
    </xf>
    <xf numFmtId="176" fontId="75" fillId="0" borderId="68" xfId="0" applyNumberFormat="1" applyFont="1" applyFill="1" applyBorder="1" applyAlignment="1" applyProtection="1">
      <alignment horizontal="right"/>
      <protection hidden="1"/>
    </xf>
    <xf numFmtId="0" fontId="6" fillId="0" borderId="51" xfId="0" applyNumberFormat="1" applyFont="1" applyFill="1" applyBorder="1" applyProtection="1">
      <alignment vertical="center"/>
      <protection hidden="1"/>
    </xf>
    <xf numFmtId="0" fontId="75" fillId="0" borderId="51" xfId="0" applyNumberFormat="1" applyFont="1" applyFill="1" applyBorder="1" applyAlignment="1" applyProtection="1">
      <alignment horizontal="left" vertical="center"/>
      <protection hidden="1"/>
    </xf>
    <xf numFmtId="0" fontId="6" fillId="0" borderId="50" xfId="0" applyNumberFormat="1" applyFont="1" applyFill="1" applyBorder="1" applyAlignment="1" applyProtection="1">
      <alignment horizontal="left" vertical="center"/>
      <protection hidden="1"/>
    </xf>
    <xf numFmtId="0" fontId="84" fillId="0" borderId="68" xfId="0" applyNumberFormat="1" applyFont="1" applyFill="1" applyBorder="1" applyProtection="1">
      <alignment vertical="center"/>
      <protection hidden="1"/>
    </xf>
    <xf numFmtId="0" fontId="6" fillId="0" borderId="51" xfId="0" applyNumberFormat="1" applyFont="1" applyFill="1" applyBorder="1" applyAlignment="1" applyProtection="1">
      <alignment horizontal="left" vertical="center"/>
      <protection hidden="1"/>
    </xf>
    <xf numFmtId="0" fontId="75" fillId="0" borderId="90" xfId="0" applyNumberFormat="1" applyFont="1" applyFill="1" applyBorder="1" applyProtection="1">
      <alignment vertical="center"/>
      <protection hidden="1"/>
    </xf>
    <xf numFmtId="0" fontId="75" fillId="0" borderId="88" xfId="0" applyNumberFormat="1" applyFont="1" applyFill="1" applyBorder="1" applyProtection="1">
      <alignment vertical="center"/>
      <protection hidden="1"/>
    </xf>
    <xf numFmtId="0" fontId="0" fillId="0" borderId="88" xfId="0" applyBorder="1">
      <alignment vertical="center"/>
    </xf>
    <xf numFmtId="0" fontId="6" fillId="0" borderId="50" xfId="0" applyNumberFormat="1" applyFont="1" applyFill="1" applyBorder="1" applyProtection="1">
      <alignment vertical="center"/>
      <protection hidden="1"/>
    </xf>
    <xf numFmtId="176" fontId="100" fillId="0" borderId="90" xfId="0" applyNumberFormat="1" applyFont="1" applyFill="1" applyBorder="1" applyProtection="1">
      <alignment vertical="center"/>
      <protection hidden="1"/>
    </xf>
    <xf numFmtId="0" fontId="6" fillId="0" borderId="51" xfId="0" applyNumberFormat="1" applyFont="1" applyFill="1" applyBorder="1" applyAlignment="1" applyProtection="1">
      <alignment horizontal="left"/>
      <protection hidden="1"/>
    </xf>
    <xf numFmtId="0" fontId="0" fillId="0" borderId="51" xfId="0" applyNumberFormat="1" applyFill="1" applyBorder="1" applyProtection="1">
      <alignment vertical="center"/>
      <protection hidden="1"/>
    </xf>
    <xf numFmtId="176" fontId="75" fillId="37" borderId="197" xfId="0" applyNumberFormat="1" applyFont="1" applyFill="1" applyBorder="1" applyAlignment="1" applyProtection="1">
      <alignment horizontal="right"/>
      <protection hidden="1"/>
    </xf>
    <xf numFmtId="0" fontId="84" fillId="0" borderId="198" xfId="0" applyNumberFormat="1" applyFont="1" applyFill="1" applyBorder="1" applyProtection="1">
      <alignment vertical="center"/>
      <protection hidden="1"/>
    </xf>
    <xf numFmtId="176" fontId="75" fillId="0" borderId="197" xfId="0" applyNumberFormat="1" applyFont="1" applyFill="1" applyBorder="1" applyAlignment="1" applyProtection="1">
      <alignment horizontal="right"/>
      <protection hidden="1"/>
    </xf>
    <xf numFmtId="0" fontId="120" fillId="35" borderId="110" xfId="0" applyFont="1" applyFill="1" applyBorder="1" applyAlignment="1" applyProtection="1">
      <alignment vertical="center"/>
      <protection hidden="1"/>
    </xf>
    <xf numFmtId="0" fontId="0" fillId="0" borderId="116" xfId="0" applyNumberFormat="1" applyFill="1" applyBorder="1" applyAlignment="1" applyProtection="1">
      <alignment horizontal="centerContinuous" vertical="center"/>
      <protection hidden="1"/>
    </xf>
    <xf numFmtId="0" fontId="100" fillId="0" borderId="110" xfId="0" applyFont="1" applyFill="1" applyBorder="1" applyProtection="1">
      <alignment vertical="center"/>
      <protection hidden="1"/>
    </xf>
    <xf numFmtId="0" fontId="6" fillId="0" borderId="116" xfId="0" applyFont="1" applyFill="1" applyBorder="1" applyAlignment="1" applyProtection="1">
      <alignment horizontal="centerContinuous" vertical="center"/>
      <protection hidden="1"/>
    </xf>
    <xf numFmtId="0" fontId="120" fillId="0" borderId="90" xfId="0" applyFont="1" applyFill="1" applyBorder="1" applyAlignment="1" applyProtection="1">
      <alignment vertical="center"/>
      <protection hidden="1"/>
    </xf>
    <xf numFmtId="0" fontId="120" fillId="0" borderId="0" xfId="0" applyFont="1" applyFill="1" applyBorder="1" applyAlignment="1" applyProtection="1">
      <alignment vertical="center"/>
      <protection hidden="1"/>
    </xf>
    <xf numFmtId="0" fontId="120" fillId="0" borderId="88" xfId="0" applyFont="1" applyFill="1" applyBorder="1" applyAlignment="1" applyProtection="1">
      <alignment vertical="center"/>
      <protection hidden="1"/>
    </xf>
    <xf numFmtId="0" fontId="103" fillId="0" borderId="90" xfId="0" applyFont="1" applyFill="1" applyBorder="1" applyAlignment="1" applyProtection="1">
      <alignment horizontal="left" vertical="center"/>
      <protection hidden="1"/>
    </xf>
    <xf numFmtId="0" fontId="41" fillId="0" borderId="59" xfId="0" applyFont="1" applyFill="1" applyBorder="1" applyAlignment="1" applyProtection="1">
      <alignment vertical="center"/>
      <protection hidden="1"/>
    </xf>
    <xf numFmtId="0" fontId="15" fillId="0" borderId="59" xfId="0" applyFont="1" applyFill="1" applyBorder="1" applyAlignment="1" applyProtection="1">
      <alignment horizontal="center" vertical="center"/>
      <protection hidden="1"/>
    </xf>
    <xf numFmtId="0" fontId="154" fillId="0" borderId="59" xfId="0" applyFont="1" applyFill="1" applyBorder="1" applyAlignment="1" applyProtection="1">
      <alignment vertical="center"/>
      <protection hidden="1"/>
    </xf>
    <xf numFmtId="0" fontId="0" fillId="0" borderId="88" xfId="0" applyFill="1" applyBorder="1">
      <alignment vertical="center"/>
    </xf>
    <xf numFmtId="0" fontId="75" fillId="0" borderId="67" xfId="0" applyNumberFormat="1" applyFont="1" applyFill="1" applyBorder="1" applyAlignment="1" applyProtection="1">
      <protection hidden="1"/>
    </xf>
    <xf numFmtId="38" fontId="75" fillId="0" borderId="10" xfId="0" applyNumberFormat="1" applyFont="1" applyFill="1" applyBorder="1" applyAlignment="1" applyProtection="1">
      <protection hidden="1"/>
    </xf>
    <xf numFmtId="0" fontId="75" fillId="0" borderId="68" xfId="0" applyNumberFormat="1" applyFont="1" applyFill="1" applyBorder="1" applyAlignment="1" applyProtection="1">
      <protection hidden="1"/>
    </xf>
    <xf numFmtId="0" fontId="41" fillId="0" borderId="0" xfId="0" applyFont="1" applyFill="1" applyBorder="1" applyAlignment="1" applyProtection="1">
      <alignment vertical="center"/>
      <protection hidden="1"/>
    </xf>
    <xf numFmtId="0" fontId="155" fillId="0" borderId="0" xfId="0" applyFont="1" applyFill="1" applyBorder="1" applyAlignment="1" applyProtection="1">
      <alignment horizontal="center" vertical="top"/>
      <protection hidden="1"/>
    </xf>
    <xf numFmtId="0" fontId="154" fillId="0" borderId="0" xfId="0" applyFont="1" applyFill="1" applyBorder="1" applyAlignment="1" applyProtection="1">
      <alignment vertical="center"/>
      <protection hidden="1"/>
    </xf>
    <xf numFmtId="0" fontId="100" fillId="0" borderId="0" xfId="0" applyFont="1" applyFill="1" applyBorder="1">
      <alignment vertical="center"/>
    </xf>
    <xf numFmtId="0" fontId="112" fillId="0" borderId="0" xfId="0" applyFont="1" applyFill="1" applyBorder="1" applyProtection="1">
      <alignment vertical="center"/>
    </xf>
    <xf numFmtId="0" fontId="156" fillId="0" borderId="59" xfId="0" applyFont="1" applyFill="1" applyBorder="1" applyAlignment="1" applyProtection="1">
      <alignment horizontal="left"/>
      <protection hidden="1"/>
    </xf>
    <xf numFmtId="0" fontId="112" fillId="0" borderId="59" xfId="0" applyFont="1" applyFill="1" applyBorder="1" applyProtection="1">
      <alignment vertical="center"/>
    </xf>
    <xf numFmtId="38" fontId="6" fillId="0" borderId="67" xfId="0" applyNumberFormat="1" applyFont="1" applyFill="1" applyBorder="1" applyProtection="1">
      <alignment vertical="center"/>
      <protection hidden="1"/>
    </xf>
    <xf numFmtId="38" fontId="6" fillId="0" borderId="10" xfId="0" applyNumberFormat="1" applyFont="1" applyFill="1" applyBorder="1" applyProtection="1">
      <alignment vertical="center"/>
      <protection hidden="1"/>
    </xf>
    <xf numFmtId="0" fontId="0" fillId="0" borderId="51" xfId="0" applyBorder="1">
      <alignment vertical="center"/>
    </xf>
    <xf numFmtId="0" fontId="103" fillId="0" borderId="0" xfId="0" applyFont="1" applyFill="1" applyBorder="1" applyAlignment="1" applyProtection="1">
      <alignment horizontal="left" vertical="center"/>
    </xf>
    <xf numFmtId="0" fontId="156"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center"/>
    </xf>
    <xf numFmtId="0" fontId="6" fillId="0" borderId="197" xfId="0" applyNumberFormat="1" applyFont="1" applyFill="1" applyBorder="1" applyProtection="1">
      <alignment vertical="center"/>
      <protection hidden="1"/>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vertical="center"/>
    </xf>
    <xf numFmtId="0" fontId="70" fillId="0" borderId="0" xfId="0" applyFont="1" applyFill="1" applyBorder="1" applyAlignment="1" applyProtection="1">
      <alignment horizontal="center" vertical="center"/>
      <protection hidden="1"/>
    </xf>
    <xf numFmtId="0" fontId="82" fillId="0" borderId="0" xfId="0" applyFont="1" applyFill="1" applyBorder="1" applyAlignment="1">
      <alignment vertical="center"/>
    </xf>
    <xf numFmtId="0" fontId="75" fillId="0" borderId="0" xfId="0" applyFont="1" applyFill="1" applyBorder="1" applyAlignment="1" applyProtection="1">
      <alignment vertical="center"/>
    </xf>
    <xf numFmtId="176" fontId="82" fillId="0" borderId="0" xfId="0" applyNumberFormat="1" applyFont="1" applyFill="1" applyBorder="1" applyAlignment="1">
      <alignment horizontal="center" vertical="center"/>
    </xf>
    <xf numFmtId="0" fontId="50" fillId="0" borderId="0" xfId="0" applyNumberFormat="1" applyFont="1" applyFill="1" applyBorder="1" applyAlignment="1" applyProtection="1">
      <alignment horizontal="left" vertical="center"/>
      <protection hidden="1"/>
    </xf>
    <xf numFmtId="38" fontId="75" fillId="0" borderId="59" xfId="35" applyFont="1" applyFill="1" applyBorder="1" applyAlignment="1" applyProtection="1">
      <alignment horizontal="center"/>
      <protection hidden="1"/>
    </xf>
    <xf numFmtId="38" fontId="75" fillId="0" borderId="0" xfId="35" applyFont="1" applyFill="1" applyBorder="1" applyAlignment="1" applyProtection="1">
      <alignment horizontal="center" vertical="top"/>
      <protection hidden="1"/>
    </xf>
    <xf numFmtId="0" fontId="77" fillId="0" borderId="0" xfId="0" applyFont="1" applyFill="1" applyBorder="1" applyAlignment="1" applyProtection="1">
      <alignment horizontal="right" vertical="center" shrinkToFit="1"/>
      <protection hidden="1"/>
    </xf>
    <xf numFmtId="0" fontId="159" fillId="0" borderId="0" xfId="0" applyFont="1" applyFill="1" applyBorder="1" applyAlignment="1" applyProtection="1">
      <alignment horizontal="left" vertical="top"/>
      <protection hidden="1"/>
    </xf>
    <xf numFmtId="0" fontId="104" fillId="0" borderId="0" xfId="0" applyFont="1" applyFill="1" applyBorder="1" applyAlignment="1" applyProtection="1">
      <alignment vertical="top"/>
      <protection hidden="1"/>
    </xf>
    <xf numFmtId="38" fontId="32" fillId="0" borderId="0" xfId="35" applyFont="1" applyFill="1" applyBorder="1" applyAlignment="1" applyProtection="1">
      <alignment horizontal="center" vertical="center"/>
      <protection hidden="1"/>
    </xf>
    <xf numFmtId="0" fontId="70" fillId="0" borderId="0" xfId="0" applyNumberFormat="1" applyFont="1" applyFill="1" applyBorder="1" applyAlignment="1" applyProtection="1">
      <alignment horizontal="center" vertical="center"/>
      <protection hidden="1"/>
    </xf>
    <xf numFmtId="0" fontId="103" fillId="0" borderId="105" xfId="0" applyFont="1" applyFill="1" applyBorder="1" applyAlignment="1" applyProtection="1">
      <alignment horizontal="left" vertical="center"/>
      <protection hidden="1"/>
    </xf>
    <xf numFmtId="0" fontId="103" fillId="0" borderId="156" xfId="0" applyFont="1" applyFill="1" applyBorder="1" applyAlignment="1" applyProtection="1">
      <alignment horizontal="left" vertical="center"/>
      <protection hidden="1"/>
    </xf>
    <xf numFmtId="0" fontId="103" fillId="0" borderId="156" xfId="0" applyFont="1" applyFill="1" applyBorder="1" applyAlignment="1" applyProtection="1">
      <alignment horizontal="right" vertical="center"/>
      <protection hidden="1"/>
    </xf>
    <xf numFmtId="0" fontId="103" fillId="0" borderId="156" xfId="0" applyFont="1" applyFill="1" applyBorder="1" applyAlignment="1" applyProtection="1">
      <alignment vertical="center"/>
      <protection hidden="1"/>
    </xf>
    <xf numFmtId="38" fontId="75" fillId="0" borderId="156" xfId="35" applyFont="1" applyFill="1" applyBorder="1" applyAlignment="1" applyProtection="1">
      <alignment horizontal="center" vertical="top"/>
      <protection hidden="1"/>
    </xf>
    <xf numFmtId="0" fontId="0" fillId="0" borderId="112" xfId="0" applyFill="1" applyBorder="1">
      <alignment vertical="center"/>
    </xf>
    <xf numFmtId="0" fontId="70" fillId="0" borderId="59" xfId="0" applyFont="1" applyBorder="1">
      <alignment vertical="center"/>
    </xf>
    <xf numFmtId="0" fontId="25" fillId="0" borderId="0" xfId="0" applyFont="1" applyAlignment="1">
      <alignment horizontal="right" vertical="center"/>
    </xf>
    <xf numFmtId="0" fontId="27" fillId="24" borderId="1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23" xfId="0" applyFont="1" applyFill="1" applyBorder="1" applyAlignment="1">
      <alignment horizontal="center" vertical="center" wrapText="1"/>
    </xf>
    <xf numFmtId="189" fontId="27" fillId="24" borderId="10" xfId="0" applyNumberFormat="1" applyFont="1" applyFill="1" applyBorder="1" applyAlignment="1">
      <alignment horizontal="center" vertical="center"/>
    </xf>
    <xf numFmtId="0" fontId="27" fillId="24" borderId="10" xfId="0" applyFont="1" applyFill="1" applyBorder="1" applyAlignment="1">
      <alignment vertical="center"/>
    </xf>
    <xf numFmtId="0" fontId="27" fillId="24" borderId="22" xfId="0" applyFont="1" applyFill="1" applyBorder="1" applyAlignment="1">
      <alignment horizontal="center" vertical="center"/>
    </xf>
    <xf numFmtId="0" fontId="27" fillId="24" borderId="52" xfId="0" applyFont="1" applyFill="1" applyBorder="1" applyAlignment="1">
      <alignment horizontal="center" vertical="center" wrapText="1"/>
    </xf>
    <xf numFmtId="195" fontId="27" fillId="24" borderId="10" xfId="0" applyNumberFormat="1" applyFont="1" applyFill="1" applyBorder="1" applyAlignment="1">
      <alignment horizontal="center" vertical="center"/>
    </xf>
    <xf numFmtId="0" fontId="27" fillId="24" borderId="10" xfId="0" applyFont="1" applyFill="1" applyBorder="1" applyAlignment="1">
      <alignment vertical="center" wrapText="1"/>
    </xf>
    <xf numFmtId="0" fontId="27" fillId="24" borderId="61" xfId="0" applyFont="1" applyFill="1" applyBorder="1" applyAlignment="1">
      <alignment horizontal="center" vertical="center" wrapText="1"/>
    </xf>
    <xf numFmtId="178" fontId="27" fillId="24" borderId="10" xfId="0" applyNumberFormat="1" applyFont="1" applyFill="1" applyBorder="1" applyAlignment="1">
      <alignment horizontal="center" vertical="center"/>
    </xf>
    <xf numFmtId="0" fontId="27" fillId="24" borderId="10" xfId="0" applyFont="1" applyFill="1" applyBorder="1" applyAlignment="1" applyProtection="1">
      <alignment vertical="center" wrapText="1"/>
    </xf>
    <xf numFmtId="0" fontId="27" fillId="24" borderId="10" xfId="0" applyFont="1" applyFill="1" applyBorder="1" applyAlignment="1">
      <alignment horizontal="left" vertical="center" wrapText="1"/>
    </xf>
    <xf numFmtId="0" fontId="27" fillId="24" borderId="10" xfId="0" applyFont="1" applyFill="1" applyBorder="1" applyAlignment="1">
      <alignment horizontal="left" vertical="center" wrapText="1" shrinkToFit="1"/>
    </xf>
    <xf numFmtId="0" fontId="27" fillId="24" borderId="10" xfId="0" applyFont="1" applyFill="1" applyBorder="1" applyAlignment="1">
      <alignment horizontal="center" vertical="center" wrapText="1" shrinkToFit="1"/>
    </xf>
    <xf numFmtId="0" fontId="27" fillId="24" borderId="23" xfId="0" applyFont="1" applyFill="1" applyBorder="1" applyAlignment="1">
      <alignment horizontal="left" vertical="center" wrapText="1"/>
    </xf>
    <xf numFmtId="0" fontId="27" fillId="24" borderId="23" xfId="0" applyFont="1" applyFill="1" applyBorder="1" applyAlignment="1">
      <alignment horizontal="center" vertical="center" wrapText="1" shrinkToFit="1"/>
    </xf>
    <xf numFmtId="0" fontId="27" fillId="24" borderId="23" xfId="0" applyFont="1" applyFill="1" applyBorder="1" applyAlignment="1">
      <alignment vertical="center" wrapText="1"/>
    </xf>
    <xf numFmtId="0" fontId="27" fillId="24" borderId="20" xfId="0" applyFont="1" applyFill="1" applyBorder="1" applyAlignment="1">
      <alignment horizontal="center" vertical="center" wrapText="1"/>
    </xf>
    <xf numFmtId="0" fontId="27" fillId="24" borderId="50" xfId="0" applyFont="1" applyFill="1" applyBorder="1" applyAlignment="1">
      <alignment horizontal="left" vertical="center"/>
    </xf>
    <xf numFmtId="0" fontId="27" fillId="24" borderId="51" xfId="0" applyFont="1" applyFill="1" applyBorder="1" applyAlignment="1">
      <alignment horizontal="left" vertical="center" wrapText="1"/>
    </xf>
    <xf numFmtId="0" fontId="27" fillId="24" borderId="51" xfId="0" applyFont="1" applyFill="1" applyBorder="1" applyAlignment="1">
      <alignment horizontal="left" vertical="center" wrapText="1" shrinkToFit="1"/>
    </xf>
    <xf numFmtId="0" fontId="27" fillId="24" borderId="52" xfId="0" applyFont="1" applyFill="1" applyBorder="1" applyAlignment="1">
      <alignment vertical="center" wrapText="1"/>
    </xf>
    <xf numFmtId="0" fontId="27" fillId="24" borderId="200" xfId="0" applyFont="1" applyFill="1" applyBorder="1" applyAlignment="1">
      <alignment horizontal="center" vertical="center" wrapText="1"/>
    </xf>
    <xf numFmtId="40" fontId="27" fillId="24" borderId="200" xfId="0" applyNumberFormat="1" applyFont="1" applyFill="1" applyBorder="1" applyAlignment="1">
      <alignment horizontal="center" vertical="center" wrapText="1"/>
    </xf>
    <xf numFmtId="177" fontId="27" fillId="24" borderId="200" xfId="0" applyNumberFormat="1" applyFont="1" applyFill="1" applyBorder="1" applyAlignment="1">
      <alignment horizontal="center" vertical="center" wrapText="1" shrinkToFit="1"/>
    </xf>
    <xf numFmtId="0" fontId="27" fillId="24" borderId="147" xfId="0" applyFont="1" applyFill="1" applyBorder="1" applyAlignment="1" applyProtection="1">
      <alignment vertical="center" wrapText="1"/>
    </xf>
    <xf numFmtId="0" fontId="27" fillId="24" borderId="56" xfId="0" applyFont="1" applyFill="1" applyBorder="1" applyAlignment="1">
      <alignment horizontal="center" vertical="center" wrapText="1"/>
    </xf>
    <xf numFmtId="40" fontId="27" fillId="24" borderId="56" xfId="0" applyNumberFormat="1" applyFont="1" applyFill="1" applyBorder="1" applyAlignment="1">
      <alignment horizontal="center" vertical="center" wrapText="1"/>
    </xf>
    <xf numFmtId="177" fontId="27" fillId="24" borderId="56" xfId="0" applyNumberFormat="1" applyFont="1" applyFill="1" applyBorder="1" applyAlignment="1">
      <alignment horizontal="center" vertical="center" wrapText="1" shrinkToFit="1"/>
    </xf>
    <xf numFmtId="0" fontId="27" fillId="24" borderId="200" xfId="0" applyFont="1" applyFill="1" applyBorder="1" applyAlignment="1" applyProtection="1">
      <alignment vertical="center" wrapText="1"/>
    </xf>
    <xf numFmtId="0" fontId="27" fillId="24" borderId="56" xfId="0" applyFont="1" applyFill="1" applyBorder="1" applyAlignment="1" applyProtection="1">
      <alignment vertical="center" wrapText="1"/>
    </xf>
    <xf numFmtId="0" fontId="27" fillId="24" borderId="201" xfId="0" applyFont="1" applyFill="1" applyBorder="1" applyAlignment="1">
      <alignment horizontal="center" vertical="center" wrapText="1"/>
    </xf>
    <xf numFmtId="0" fontId="27" fillId="24" borderId="201" xfId="0" applyFont="1" applyFill="1" applyBorder="1" applyAlignment="1">
      <alignment horizontal="center" vertical="center" wrapText="1" shrinkToFit="1"/>
    </xf>
    <xf numFmtId="0" fontId="27" fillId="24" borderId="201" xfId="0" applyFont="1" applyFill="1" applyBorder="1" applyAlignment="1" applyProtection="1">
      <alignment vertical="center" wrapText="1"/>
    </xf>
    <xf numFmtId="0" fontId="27" fillId="24" borderId="52" xfId="0" applyFont="1" applyFill="1" applyBorder="1" applyAlignment="1" applyProtection="1">
      <alignment vertical="center" wrapText="1"/>
    </xf>
    <xf numFmtId="0" fontId="27" fillId="24" borderId="54" xfId="0" applyFont="1" applyFill="1" applyBorder="1" applyAlignment="1">
      <alignment horizontal="left" vertical="center" wrapText="1" shrinkToFit="1"/>
    </xf>
    <xf numFmtId="0" fontId="27" fillId="24" borderId="55" xfId="0" applyFont="1" applyFill="1" applyBorder="1" applyAlignment="1">
      <alignment vertical="center"/>
    </xf>
    <xf numFmtId="9" fontId="27" fillId="24" borderId="151" xfId="0" applyNumberFormat="1" applyFont="1" applyFill="1" applyBorder="1" applyAlignment="1">
      <alignment horizontal="center" vertical="center" wrapText="1"/>
    </xf>
    <xf numFmtId="9" fontId="27" fillId="27" borderId="202" xfId="0" applyNumberFormat="1" applyFont="1" applyFill="1" applyBorder="1" applyAlignment="1" applyProtection="1">
      <alignment horizontal="center" vertical="center" wrapText="1"/>
      <protection locked="0"/>
    </xf>
    <xf numFmtId="0" fontId="27" fillId="27" borderId="203" xfId="0" applyFont="1" applyFill="1" applyBorder="1" applyAlignment="1" applyProtection="1">
      <alignment vertical="center"/>
      <protection locked="0"/>
    </xf>
    <xf numFmtId="9" fontId="27" fillId="27" borderId="71" xfId="0" applyNumberFormat="1" applyFont="1" applyFill="1" applyBorder="1" applyAlignment="1" applyProtection="1">
      <alignment horizontal="center" vertical="center" wrapText="1"/>
      <protection locked="0"/>
    </xf>
    <xf numFmtId="0" fontId="27" fillId="27" borderId="204" xfId="0" applyFont="1" applyFill="1" applyBorder="1" applyAlignment="1" applyProtection="1">
      <alignment vertical="center"/>
      <protection locked="0"/>
    </xf>
    <xf numFmtId="9" fontId="27" fillId="24" borderId="151" xfId="0" applyNumberFormat="1" applyFont="1" applyFill="1" applyBorder="1" applyAlignment="1" applyProtection="1">
      <alignment horizontal="center" vertical="center" wrapText="1"/>
    </xf>
    <xf numFmtId="0" fontId="27" fillId="24" borderId="150" xfId="0" applyFont="1" applyFill="1" applyBorder="1" applyAlignment="1">
      <alignment horizontal="center" vertical="center" wrapText="1"/>
    </xf>
    <xf numFmtId="9" fontId="27" fillId="24" borderId="154" xfId="0" applyNumberFormat="1" applyFont="1" applyFill="1" applyBorder="1" applyAlignment="1">
      <alignment horizontal="center" vertical="center" wrapText="1" shrinkToFit="1"/>
    </xf>
    <xf numFmtId="9" fontId="27" fillId="24" borderId="154" xfId="0" applyNumberFormat="1" applyFont="1" applyFill="1" applyBorder="1" applyAlignment="1" applyProtection="1">
      <alignment horizontal="center" vertical="center" wrapText="1" shrinkToFit="1"/>
    </xf>
    <xf numFmtId="0" fontId="27" fillId="24" borderId="61" xfId="0" applyFont="1" applyFill="1" applyBorder="1" applyAlignment="1" applyProtection="1">
      <alignment vertical="center" wrapText="1"/>
    </xf>
    <xf numFmtId="0" fontId="27" fillId="24" borderId="55" xfId="0" applyFont="1" applyFill="1" applyBorder="1" applyAlignment="1">
      <alignment horizontal="center" vertical="center" wrapText="1"/>
    </xf>
    <xf numFmtId="178" fontId="27" fillId="24" borderId="23" xfId="0" applyNumberFormat="1" applyFont="1" applyFill="1" applyBorder="1" applyAlignment="1">
      <alignment horizontal="center" vertical="center"/>
    </xf>
    <xf numFmtId="178" fontId="27" fillId="24" borderId="61" xfId="0" applyNumberFormat="1" applyFont="1" applyFill="1" applyBorder="1" applyAlignment="1">
      <alignment horizontal="center" vertical="center"/>
    </xf>
    <xf numFmtId="0" fontId="27" fillId="24" borderId="50" xfId="0" applyFont="1" applyFill="1" applyBorder="1" applyAlignment="1">
      <alignment horizontal="center" vertical="center" wrapText="1"/>
    </xf>
    <xf numFmtId="0" fontId="27" fillId="24" borderId="51" xfId="0" applyFont="1" applyFill="1" applyBorder="1" applyAlignment="1">
      <alignment horizontal="center" vertical="center"/>
    </xf>
    <xf numFmtId="0" fontId="27" fillId="24" borderId="147" xfId="0" applyFont="1" applyFill="1" applyBorder="1" applyAlignment="1">
      <alignment horizontal="center" vertical="center" wrapText="1"/>
    </xf>
    <xf numFmtId="195" fontId="27" fillId="24" borderId="61" xfId="0" applyNumberFormat="1" applyFont="1" applyFill="1" applyBorder="1" applyAlignment="1">
      <alignment horizontal="center" vertical="center"/>
    </xf>
    <xf numFmtId="0" fontId="27" fillId="24" borderId="61" xfId="0" applyFont="1" applyFill="1" applyBorder="1" applyAlignment="1">
      <alignment vertical="center" wrapText="1"/>
    </xf>
    <xf numFmtId="0" fontId="27" fillId="24" borderId="153" xfId="0" applyFont="1" applyFill="1" applyBorder="1" applyAlignment="1">
      <alignment horizontal="center" vertical="center" wrapText="1"/>
    </xf>
    <xf numFmtId="195" fontId="27" fillId="24" borderId="56" xfId="0" applyNumberFormat="1" applyFont="1" applyFill="1" applyBorder="1" applyAlignment="1">
      <alignment horizontal="center" vertical="center"/>
    </xf>
    <xf numFmtId="0" fontId="27" fillId="24" borderId="56" xfId="0" applyFont="1" applyFill="1" applyBorder="1" applyAlignment="1">
      <alignment vertical="center" wrapText="1"/>
    </xf>
    <xf numFmtId="9" fontId="27" fillId="24" borderId="61" xfId="0" applyNumberFormat="1" applyFont="1" applyFill="1" applyBorder="1" applyAlignment="1">
      <alignment horizontal="center" vertical="center"/>
    </xf>
    <xf numFmtId="0" fontId="27" fillId="24" borderId="61" xfId="0" applyFont="1" applyFill="1" applyBorder="1" applyAlignment="1">
      <alignment vertical="center"/>
    </xf>
    <xf numFmtId="9" fontId="27" fillId="24" borderId="56" xfId="0" applyNumberFormat="1" applyFont="1" applyFill="1" applyBorder="1" applyAlignment="1">
      <alignment horizontal="center" vertical="center"/>
    </xf>
    <xf numFmtId="0" fontId="27" fillId="24" borderId="56" xfId="0" applyFont="1" applyFill="1" applyBorder="1" applyAlignment="1">
      <alignment vertical="center"/>
    </xf>
    <xf numFmtId="0" fontId="27" fillId="24" borderId="60" xfId="0" applyFont="1" applyFill="1" applyBorder="1" applyAlignment="1">
      <alignment horizontal="center" vertical="center" wrapText="1"/>
    </xf>
    <xf numFmtId="9" fontId="27" fillId="24" borderId="22" xfId="0" applyNumberFormat="1" applyFont="1" applyFill="1" applyBorder="1" applyAlignment="1">
      <alignment horizontal="center" vertical="center"/>
    </xf>
    <xf numFmtId="0" fontId="27" fillId="24" borderId="22" xfId="0" applyFont="1" applyFill="1" applyBorder="1" applyAlignment="1">
      <alignment vertical="center"/>
    </xf>
    <xf numFmtId="0" fontId="27" fillId="24" borderId="22" xfId="0" applyFont="1" applyFill="1" applyBorder="1" applyAlignment="1">
      <alignment horizontal="center" vertical="center" wrapText="1"/>
    </xf>
    <xf numFmtId="38" fontId="27" fillId="24" borderId="23" xfId="35" applyFont="1" applyFill="1" applyBorder="1" applyAlignment="1">
      <alignment horizontal="center" vertical="center" wrapText="1"/>
    </xf>
    <xf numFmtId="0" fontId="27" fillId="24" borderId="23" xfId="0" applyFont="1" applyFill="1" applyBorder="1" applyAlignment="1">
      <alignment vertical="center"/>
    </xf>
    <xf numFmtId="0" fontId="27" fillId="24" borderId="50" xfId="0" applyFont="1" applyFill="1" applyBorder="1" applyAlignment="1">
      <alignment vertical="center"/>
    </xf>
    <xf numFmtId="0" fontId="27" fillId="24" borderId="52" xfId="0" applyFont="1" applyFill="1" applyBorder="1" applyAlignment="1">
      <alignment vertical="center"/>
    </xf>
    <xf numFmtId="0" fontId="27" fillId="24" borderId="152" xfId="0" applyFont="1" applyFill="1" applyBorder="1" applyAlignment="1">
      <alignment horizontal="center" vertical="center" shrinkToFit="1"/>
    </xf>
    <xf numFmtId="198" fontId="27" fillId="24" borderId="200" xfId="0" applyNumberFormat="1" applyFont="1" applyFill="1" applyBorder="1" applyAlignment="1">
      <alignment horizontal="center" vertical="center"/>
    </xf>
    <xf numFmtId="0" fontId="27" fillId="24" borderId="200" xfId="0" applyFont="1" applyFill="1" applyBorder="1" applyAlignment="1">
      <alignment horizontal="center" vertical="center"/>
    </xf>
    <xf numFmtId="0" fontId="27" fillId="24" borderId="58" xfId="0" applyFont="1" applyFill="1" applyBorder="1" applyAlignment="1">
      <alignment horizontal="center" vertical="center"/>
    </xf>
    <xf numFmtId="0" fontId="27" fillId="24" borderId="56" xfId="0" applyFont="1" applyFill="1" applyBorder="1" applyAlignment="1">
      <alignment horizontal="center" vertical="center"/>
    </xf>
    <xf numFmtId="0" fontId="27" fillId="24" borderId="155" xfId="0" applyFont="1" applyFill="1" applyBorder="1" applyAlignment="1">
      <alignment horizontal="center" vertical="center" wrapText="1"/>
    </xf>
    <xf numFmtId="0" fontId="27" fillId="24" borderId="150" xfId="0" applyFont="1" applyFill="1" applyBorder="1" applyAlignment="1">
      <alignment horizontal="center" vertical="center"/>
    </xf>
    <xf numFmtId="0" fontId="27" fillId="24" borderId="0" xfId="0" applyFont="1" applyFill="1" applyBorder="1" applyAlignment="1">
      <alignment horizontal="center" vertical="center" wrapText="1"/>
    </xf>
    <xf numFmtId="0" fontId="27" fillId="27" borderId="22" xfId="0" applyFont="1" applyFill="1" applyBorder="1" applyAlignment="1" applyProtection="1">
      <alignment horizontal="center" vertical="center"/>
      <protection locked="0"/>
    </xf>
    <xf numFmtId="0" fontId="27" fillId="27" borderId="22" xfId="0" applyFont="1" applyFill="1" applyBorder="1" applyAlignment="1" applyProtection="1">
      <alignment vertical="center"/>
      <protection locked="0"/>
    </xf>
    <xf numFmtId="0" fontId="27" fillId="27" borderId="10" xfId="0" applyFont="1" applyFill="1" applyBorder="1" applyAlignment="1" applyProtection="1">
      <alignment horizontal="center" vertical="center"/>
      <protection locked="0"/>
    </xf>
    <xf numFmtId="0" fontId="27" fillId="27" borderId="10" xfId="0" applyFont="1" applyFill="1" applyBorder="1" applyAlignment="1" applyProtection="1">
      <alignment vertical="center"/>
      <protection locked="0"/>
    </xf>
    <xf numFmtId="195"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vertical="center" wrapText="1"/>
      <protection locked="0"/>
    </xf>
    <xf numFmtId="178"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left" vertical="center" wrapText="1"/>
      <protection locked="0"/>
    </xf>
    <xf numFmtId="0" fontId="27" fillId="27" borderId="10" xfId="0" applyFont="1" applyFill="1" applyBorder="1" applyAlignment="1" applyProtection="1">
      <alignment horizontal="left" vertical="center" wrapText="1" shrinkToFit="1"/>
      <protection locked="0"/>
    </xf>
    <xf numFmtId="0" fontId="27" fillId="27" borderId="10" xfId="0" applyFont="1" applyFill="1" applyBorder="1" applyAlignment="1" applyProtection="1">
      <alignment horizontal="center" vertical="center" wrapText="1" shrinkToFit="1"/>
      <protection locked="0"/>
    </xf>
    <xf numFmtId="0" fontId="27" fillId="27" borderId="147" xfId="0" applyFont="1" applyFill="1" applyBorder="1" applyAlignment="1" applyProtection="1">
      <alignment horizontal="center" vertical="center" wrapText="1"/>
      <protection locked="0"/>
    </xf>
    <xf numFmtId="0" fontId="27" fillId="27" borderId="147" xfId="0" applyFont="1" applyFill="1" applyBorder="1" applyAlignment="1" applyProtection="1">
      <alignment horizontal="center" vertical="center" wrapText="1" shrinkToFit="1"/>
      <protection locked="0"/>
    </xf>
    <xf numFmtId="0" fontId="27" fillId="27" borderId="147" xfId="0" applyFont="1" applyFill="1" applyBorder="1" applyAlignment="1" applyProtection="1">
      <alignment vertical="center" wrapText="1"/>
      <protection locked="0"/>
    </xf>
    <xf numFmtId="0" fontId="27" fillId="24" borderId="56" xfId="0" applyFont="1" applyFill="1" applyBorder="1" applyAlignment="1">
      <alignment horizontal="center" vertical="center" shrinkToFit="1"/>
    </xf>
    <xf numFmtId="0" fontId="27" fillId="27" borderId="56" xfId="0" applyFont="1" applyFill="1" applyBorder="1" applyAlignment="1" applyProtection="1">
      <alignment horizontal="center" vertical="center" wrapText="1"/>
      <protection locked="0"/>
    </xf>
    <xf numFmtId="0" fontId="27" fillId="27" borderId="56" xfId="0" applyFont="1" applyFill="1" applyBorder="1" applyAlignment="1" applyProtection="1">
      <alignment horizontal="center" vertical="center" wrapText="1" shrinkToFit="1"/>
      <protection locked="0"/>
    </xf>
    <xf numFmtId="0" fontId="27" fillId="27" borderId="200" xfId="0" applyFont="1" applyFill="1" applyBorder="1" applyAlignment="1" applyProtection="1">
      <alignment vertical="center" wrapText="1"/>
      <protection locked="0"/>
    </xf>
    <xf numFmtId="0" fontId="27" fillId="27" borderId="56" xfId="0" applyFont="1" applyFill="1" applyBorder="1" applyAlignment="1" applyProtection="1">
      <alignment vertical="center" wrapText="1"/>
      <protection locked="0"/>
    </xf>
    <xf numFmtId="0" fontId="27" fillId="27" borderId="201" xfId="0" applyFont="1" applyFill="1" applyBorder="1" applyAlignment="1" applyProtection="1">
      <alignment horizontal="center" vertical="center" wrapText="1"/>
      <protection locked="0"/>
    </xf>
    <xf numFmtId="0" fontId="27" fillId="27" borderId="201" xfId="0" applyFont="1" applyFill="1" applyBorder="1" applyAlignment="1" applyProtection="1">
      <alignment horizontal="center" vertical="center" wrapText="1" shrinkToFit="1"/>
      <protection locked="0"/>
    </xf>
    <xf numFmtId="0" fontId="27" fillId="27" borderId="201" xfId="0" applyFont="1" applyFill="1" applyBorder="1" applyAlignment="1" applyProtection="1">
      <alignment vertical="center" wrapText="1"/>
      <protection locked="0"/>
    </xf>
    <xf numFmtId="0" fontId="27" fillId="27" borderId="200" xfId="0" applyFont="1" applyFill="1" applyBorder="1" applyAlignment="1" applyProtection="1">
      <alignment horizontal="center" vertical="center" wrapText="1"/>
      <protection locked="0"/>
    </xf>
    <xf numFmtId="0" fontId="27" fillId="27" borderId="200" xfId="0" applyFont="1" applyFill="1" applyBorder="1" applyAlignment="1" applyProtection="1">
      <alignment horizontal="center" vertical="center" wrapText="1" shrinkToFit="1"/>
      <protection locked="0"/>
    </xf>
    <xf numFmtId="0" fontId="27" fillId="24" borderId="56" xfId="0" applyFont="1" applyFill="1" applyBorder="1" applyAlignment="1" applyProtection="1">
      <alignment horizontal="center" vertical="center" wrapText="1"/>
      <protection locked="0"/>
    </xf>
    <xf numFmtId="9" fontId="27" fillId="27" borderId="200" xfId="0" applyNumberFormat="1" applyFont="1" applyFill="1" applyBorder="1" applyAlignment="1" applyProtection="1">
      <alignment horizontal="center" vertical="center" wrapText="1"/>
      <protection locked="0"/>
    </xf>
    <xf numFmtId="0" fontId="27" fillId="27" borderId="200" xfId="0" applyFont="1" applyFill="1" applyBorder="1" applyAlignment="1" applyProtection="1">
      <alignment vertical="center"/>
      <protection locked="0"/>
    </xf>
    <xf numFmtId="0" fontId="27" fillId="27" borderId="56" xfId="0" applyFont="1" applyFill="1" applyBorder="1" applyAlignment="1" applyProtection="1">
      <alignment vertical="center"/>
      <protection locked="0"/>
    </xf>
    <xf numFmtId="9" fontId="27" fillId="27" borderId="150" xfId="0" applyNumberFormat="1" applyFont="1" applyFill="1" applyBorder="1" applyAlignment="1" applyProtection="1">
      <alignment horizontal="center" vertical="center" wrapText="1" shrinkToFit="1"/>
      <protection locked="0"/>
    </xf>
    <xf numFmtId="0" fontId="27" fillId="27" borderId="150" xfId="0" applyFont="1" applyFill="1" applyBorder="1" applyAlignment="1" applyProtection="1">
      <alignment vertical="center"/>
      <protection locked="0"/>
    </xf>
    <xf numFmtId="178" fontId="27" fillId="27" borderId="23" xfId="0" applyNumberFormat="1" applyFont="1" applyFill="1" applyBorder="1" applyAlignment="1" applyProtection="1">
      <alignment horizontal="center" vertical="center"/>
      <protection locked="0"/>
    </xf>
    <xf numFmtId="195" fontId="27" fillId="27" borderId="22" xfId="0" applyNumberFormat="1" applyFont="1" applyFill="1" applyBorder="1" applyAlignment="1" applyProtection="1">
      <alignment horizontal="center" vertical="center"/>
      <protection locked="0"/>
    </xf>
    <xf numFmtId="0" fontId="27" fillId="27" borderId="22" xfId="0" applyFont="1" applyFill="1" applyBorder="1" applyAlignment="1" applyProtection="1">
      <alignment vertical="center" wrapText="1"/>
      <protection locked="0"/>
    </xf>
    <xf numFmtId="195" fontId="27" fillId="27" borderId="23" xfId="0" applyNumberFormat="1" applyFont="1" applyFill="1" applyBorder="1" applyAlignment="1" applyProtection="1">
      <alignment horizontal="center" vertical="center"/>
      <protection locked="0"/>
    </xf>
    <xf numFmtId="0" fontId="27" fillId="27" borderId="23" xfId="0" applyFont="1" applyFill="1" applyBorder="1" applyAlignment="1" applyProtection="1">
      <alignment vertical="center" wrapText="1"/>
      <protection locked="0"/>
    </xf>
    <xf numFmtId="9" fontId="27" fillId="27" borderId="22" xfId="0" applyNumberFormat="1" applyFont="1" applyFill="1" applyBorder="1" applyAlignment="1" applyProtection="1">
      <alignment horizontal="center" vertical="center"/>
      <protection locked="0"/>
    </xf>
    <xf numFmtId="9" fontId="27" fillId="27" borderId="10" xfId="0" applyNumberFormat="1" applyFont="1" applyFill="1" applyBorder="1" applyAlignment="1" applyProtection="1">
      <alignment horizontal="center" vertical="center"/>
      <protection locked="0"/>
    </xf>
    <xf numFmtId="0" fontId="27" fillId="27" borderId="10" xfId="0" applyFont="1" applyFill="1" applyBorder="1" applyAlignment="1" applyProtection="1">
      <alignment horizontal="center" vertical="center" wrapText="1"/>
      <protection locked="0"/>
    </xf>
    <xf numFmtId="38" fontId="27" fillId="27" borderId="23" xfId="35" applyFont="1" applyFill="1" applyBorder="1" applyAlignment="1" applyProtection="1">
      <alignment horizontal="center" vertical="center" wrapText="1"/>
      <protection locked="0"/>
    </xf>
    <xf numFmtId="0" fontId="27" fillId="27" borderId="23" xfId="0" applyFont="1" applyFill="1" applyBorder="1" applyAlignment="1" applyProtection="1">
      <alignment vertical="center"/>
      <protection locked="0"/>
    </xf>
    <xf numFmtId="0" fontId="27" fillId="27" borderId="200" xfId="0" applyFont="1" applyFill="1" applyBorder="1" applyAlignment="1" applyProtection="1">
      <alignment horizontal="center" vertical="center"/>
      <protection locked="0"/>
    </xf>
    <xf numFmtId="0" fontId="27" fillId="27" borderId="56" xfId="0" applyFont="1" applyFill="1" applyBorder="1" applyAlignment="1" applyProtection="1">
      <alignment horizontal="center" vertical="center"/>
      <protection locked="0"/>
    </xf>
    <xf numFmtId="0" fontId="27" fillId="27" borderId="150" xfId="0" applyFont="1" applyFill="1" applyBorder="1" applyAlignment="1" applyProtection="1">
      <alignment horizontal="center" vertical="center"/>
      <protection locked="0"/>
    </xf>
    <xf numFmtId="0" fontId="60" fillId="28" borderId="75" xfId="0" applyNumberFormat="1" applyFont="1" applyFill="1" applyBorder="1" applyAlignment="1" applyProtection="1">
      <alignment vertical="center"/>
    </xf>
    <xf numFmtId="0" fontId="49" fillId="28" borderId="81" xfId="0" applyFont="1" applyFill="1" applyBorder="1" applyAlignment="1" applyProtection="1">
      <alignment horizontal="left" vertical="center"/>
    </xf>
    <xf numFmtId="0" fontId="49" fillId="28" borderId="81" xfId="0" applyFont="1" applyFill="1" applyBorder="1" applyAlignment="1" applyProtection="1">
      <alignment vertical="center"/>
    </xf>
    <xf numFmtId="0" fontId="85" fillId="28" borderId="110" xfId="0" applyFont="1" applyFill="1" applyBorder="1" applyAlignment="1" applyProtection="1">
      <alignment vertical="center"/>
    </xf>
    <xf numFmtId="0" fontId="60" fillId="35" borderId="75" xfId="0" applyFont="1" applyFill="1" applyBorder="1" applyAlignment="1" applyProtection="1">
      <alignment vertical="center"/>
    </xf>
    <xf numFmtId="0" fontId="31" fillId="35" borderId="81" xfId="44" applyFont="1" applyFill="1" applyBorder="1" applyAlignment="1" applyProtection="1">
      <alignment vertical="center"/>
    </xf>
    <xf numFmtId="0" fontId="31" fillId="35" borderId="81" xfId="44" applyFont="1" applyFill="1" applyBorder="1" applyAlignment="1" applyProtection="1">
      <alignment horizontal="left" vertical="center"/>
    </xf>
    <xf numFmtId="0" fontId="31" fillId="35" borderId="81" xfId="44" applyNumberFormat="1" applyFont="1" applyFill="1" applyBorder="1" applyAlignment="1" applyProtection="1">
      <alignment vertical="center"/>
    </xf>
    <xf numFmtId="0" fontId="2" fillId="35" borderId="81" xfId="44" applyNumberFormat="1" applyFont="1" applyFill="1" applyBorder="1" applyAlignment="1" applyProtection="1">
      <alignment vertical="center"/>
    </xf>
    <xf numFmtId="0" fontId="2" fillId="35" borderId="81" xfId="0" applyFont="1" applyFill="1" applyBorder="1" applyAlignment="1" applyProtection="1">
      <alignment horizontal="center" vertical="center"/>
    </xf>
    <xf numFmtId="0" fontId="2" fillId="35" borderId="81" xfId="0" applyFont="1" applyFill="1" applyBorder="1" applyAlignment="1" applyProtection="1">
      <alignment vertical="center"/>
    </xf>
    <xf numFmtId="0" fontId="49" fillId="35" borderId="81" xfId="0" applyFont="1" applyFill="1" applyBorder="1" applyAlignment="1" applyProtection="1">
      <alignment vertical="center"/>
    </xf>
    <xf numFmtId="0" fontId="31" fillId="35" borderId="110" xfId="44" applyFont="1" applyFill="1" applyBorder="1" applyAlignment="1" applyProtection="1">
      <alignment vertical="center"/>
    </xf>
    <xf numFmtId="0" fontId="27" fillId="0" borderId="0" xfId="0" applyFont="1" applyBorder="1">
      <alignment vertical="center"/>
    </xf>
    <xf numFmtId="0" fontId="60" fillId="24" borderId="90" xfId="0" applyFont="1" applyFill="1" applyBorder="1" applyAlignment="1" applyProtection="1">
      <alignment vertical="center"/>
    </xf>
    <xf numFmtId="0" fontId="31" fillId="24" borderId="0" xfId="44" applyFont="1" applyFill="1" applyBorder="1" applyAlignment="1" applyProtection="1">
      <alignment vertical="center"/>
    </xf>
    <xf numFmtId="0" fontId="31" fillId="24" borderId="0" xfId="44" applyFont="1" applyFill="1" applyBorder="1" applyAlignment="1" applyProtection="1">
      <alignment horizontal="left" vertical="center"/>
    </xf>
    <xf numFmtId="0" fontId="31" fillId="24" borderId="0" xfId="44" applyNumberFormat="1" applyFont="1" applyFill="1" applyBorder="1" applyAlignment="1" applyProtection="1">
      <alignment vertical="center"/>
    </xf>
    <xf numFmtId="0" fontId="2" fillId="24" borderId="0" xfId="44" applyNumberFormat="1" applyFont="1" applyFill="1" applyBorder="1" applyAlignment="1" applyProtection="1">
      <alignment vertical="center"/>
    </xf>
    <xf numFmtId="0" fontId="27" fillId="24" borderId="0" xfId="0" applyFont="1" applyFill="1" applyBorder="1" applyAlignment="1" applyProtection="1">
      <alignment horizontal="center" vertical="center"/>
    </xf>
    <xf numFmtId="0" fontId="2" fillId="24" borderId="0" xfId="0" applyFont="1" applyFill="1" applyBorder="1" applyAlignment="1" applyProtection="1">
      <alignment vertical="center"/>
    </xf>
    <xf numFmtId="0" fontId="49" fillId="24" borderId="0" xfId="0" applyFont="1" applyFill="1" applyBorder="1" applyAlignment="1" applyProtection="1">
      <alignment vertical="center"/>
    </xf>
    <xf numFmtId="0" fontId="32" fillId="24" borderId="90" xfId="44" applyFont="1" applyFill="1" applyBorder="1" applyAlignment="1" applyProtection="1">
      <alignment vertical="center"/>
    </xf>
    <xf numFmtId="0" fontId="27" fillId="24" borderId="0" xfId="44" applyFont="1" applyFill="1" applyBorder="1" applyAlignment="1" applyProtection="1">
      <alignment horizontal="right" vertical="center"/>
    </xf>
    <xf numFmtId="0" fontId="6" fillId="24" borderId="0" xfId="44" applyFont="1" applyFill="1" applyBorder="1" applyAlignment="1" applyProtection="1">
      <alignment vertical="center"/>
    </xf>
    <xf numFmtId="0" fontId="27" fillId="24" borderId="88" xfId="44" applyFont="1" applyFill="1" applyBorder="1" applyAlignment="1" applyProtection="1">
      <alignment horizontal="right" vertical="center"/>
    </xf>
    <xf numFmtId="0" fontId="41" fillId="24" borderId="0" xfId="44" applyFont="1" applyFill="1" applyBorder="1" applyAlignment="1" applyProtection="1">
      <alignment vertical="center"/>
    </xf>
    <xf numFmtId="0" fontId="110" fillId="24" borderId="0" xfId="44" applyFont="1" applyFill="1" applyBorder="1" applyAlignment="1" applyProtection="1">
      <alignment horizontal="left" vertical="center"/>
    </xf>
    <xf numFmtId="0" fontId="27" fillId="24" borderId="0" xfId="44" applyFont="1" applyFill="1" applyBorder="1" applyAlignment="1" applyProtection="1">
      <alignment vertical="center"/>
      <protection hidden="1"/>
    </xf>
    <xf numFmtId="0" fontId="27" fillId="26" borderId="10" xfId="44" applyFont="1" applyFill="1" applyBorder="1" applyAlignment="1" applyProtection="1">
      <alignment horizontal="center" vertical="center"/>
    </xf>
    <xf numFmtId="179" fontId="27" fillId="26" borderId="10" xfId="44" applyNumberFormat="1" applyFont="1" applyFill="1" applyBorder="1" applyAlignment="1" applyProtection="1">
      <alignment horizontal="center" vertical="center"/>
    </xf>
    <xf numFmtId="0" fontId="27" fillId="26" borderId="10" xfId="44" applyFont="1" applyFill="1" applyBorder="1" applyAlignment="1" applyProtection="1">
      <alignment vertical="center"/>
    </xf>
    <xf numFmtId="0" fontId="27" fillId="24" borderId="0" xfId="44" applyFont="1" applyFill="1" applyBorder="1" applyAlignment="1" applyProtection="1">
      <alignment vertical="center"/>
    </xf>
    <xf numFmtId="0" fontId="27" fillId="26" borderId="68" xfId="44" applyFont="1" applyFill="1" applyBorder="1" applyAlignment="1" applyProtection="1">
      <alignment vertical="center"/>
    </xf>
    <xf numFmtId="0" fontId="27" fillId="24" borderId="0" xfId="0" applyFont="1" applyFill="1" applyBorder="1">
      <alignment vertical="center"/>
    </xf>
    <xf numFmtId="0" fontId="27" fillId="24" borderId="0" xfId="44" applyFont="1" applyFill="1" applyBorder="1" applyAlignment="1" applyProtection="1">
      <alignment horizontal="left" vertical="center"/>
    </xf>
    <xf numFmtId="38" fontId="27" fillId="0" borderId="0" xfId="35" applyFont="1" applyBorder="1" applyAlignment="1"/>
    <xf numFmtId="0" fontId="27" fillId="0" borderId="0" xfId="44" applyFont="1" applyBorder="1" applyAlignment="1"/>
    <xf numFmtId="0" fontId="6" fillId="24" borderId="88" xfId="44" applyFont="1" applyFill="1" applyBorder="1" applyAlignment="1" applyProtection="1">
      <alignment vertical="center"/>
    </xf>
    <xf numFmtId="179" fontId="27" fillId="24" borderId="153" xfId="44" applyNumberFormat="1" applyFont="1" applyFill="1" applyBorder="1" applyAlignment="1" applyProtection="1">
      <alignment horizontal="center" vertical="center"/>
    </xf>
    <xf numFmtId="0" fontId="6" fillId="24" borderId="50" xfId="44" applyFont="1" applyFill="1" applyBorder="1" applyAlignment="1" applyProtection="1">
      <alignment horizontal="left" vertical="center"/>
    </xf>
    <xf numFmtId="0" fontId="27" fillId="24" borderId="51" xfId="44" applyFont="1" applyFill="1" applyBorder="1" applyAlignment="1" applyProtection="1">
      <alignment vertical="center"/>
    </xf>
    <xf numFmtId="0" fontId="6" fillId="24" borderId="52" xfId="44" applyFont="1" applyFill="1" applyBorder="1" applyAlignment="1" applyProtection="1">
      <alignment vertical="center"/>
    </xf>
    <xf numFmtId="178" fontId="6" fillId="24" borderId="10" xfId="44" applyNumberFormat="1" applyFont="1" applyFill="1" applyBorder="1" applyAlignment="1" applyProtection="1">
      <alignment vertical="center"/>
    </xf>
    <xf numFmtId="178" fontId="6" fillId="24" borderId="68" xfId="44" applyNumberFormat="1" applyFont="1" applyFill="1" applyBorder="1" applyAlignment="1" applyProtection="1">
      <alignment vertical="center"/>
    </xf>
    <xf numFmtId="178" fontId="6" fillId="24" borderId="23" xfId="44" applyNumberFormat="1" applyFont="1" applyFill="1" applyBorder="1" applyAlignment="1" applyProtection="1">
      <alignment vertical="center"/>
    </xf>
    <xf numFmtId="0" fontId="4" fillId="30" borderId="50" xfId="44" applyFont="1" applyFill="1" applyBorder="1" applyAlignment="1" applyProtection="1">
      <alignment vertical="center"/>
    </xf>
    <xf numFmtId="0" fontId="31" fillId="30" borderId="51" xfId="44" applyFont="1" applyFill="1" applyBorder="1" applyAlignment="1" applyProtection="1">
      <alignment horizontal="left" vertical="center"/>
    </xf>
    <xf numFmtId="0" fontId="31" fillId="30" borderId="51" xfId="44" applyFont="1" applyFill="1" applyBorder="1" applyAlignment="1" applyProtection="1">
      <alignment vertical="center"/>
    </xf>
    <xf numFmtId="178" fontId="4" fillId="30" borderId="10" xfId="44" applyNumberFormat="1" applyFont="1" applyFill="1" applyBorder="1" applyAlignment="1" applyProtection="1">
      <alignment horizontal="right" vertical="center"/>
    </xf>
    <xf numFmtId="178" fontId="4" fillId="30" borderId="68" xfId="44" applyNumberFormat="1" applyFont="1" applyFill="1" applyBorder="1" applyAlignment="1" applyProtection="1">
      <alignment horizontal="right" vertical="center"/>
    </xf>
    <xf numFmtId="9" fontId="32" fillId="24" borderId="22" xfId="28" applyFont="1" applyFill="1" applyBorder="1" applyAlignment="1" applyProtection="1">
      <alignment vertical="center"/>
      <protection hidden="1"/>
    </xf>
    <xf numFmtId="9" fontId="32" fillId="24" borderId="66" xfId="44" applyNumberFormat="1" applyFont="1" applyFill="1" applyBorder="1" applyAlignment="1" applyProtection="1">
      <alignment vertical="center"/>
      <protection hidden="1"/>
    </xf>
    <xf numFmtId="0" fontId="27" fillId="24" borderId="88" xfId="44" applyFont="1" applyFill="1" applyBorder="1" applyAlignment="1" applyProtection="1">
      <alignment vertical="center"/>
      <protection hidden="1"/>
    </xf>
    <xf numFmtId="0" fontId="41" fillId="24" borderId="0" xfId="44" applyFont="1" applyFill="1" applyBorder="1" applyAlignment="1" applyProtection="1">
      <alignment horizontal="right" vertical="center"/>
      <protection hidden="1"/>
    </xf>
    <xf numFmtId="0" fontId="27" fillId="24" borderId="105" xfId="44" applyFont="1" applyFill="1" applyBorder="1" applyAlignment="1">
      <alignment vertical="center"/>
    </xf>
    <xf numFmtId="0" fontId="27" fillId="24" borderId="156" xfId="44" applyFont="1" applyFill="1" applyBorder="1" applyAlignment="1" applyProtection="1">
      <alignment vertical="center"/>
      <protection hidden="1"/>
    </xf>
    <xf numFmtId="0" fontId="27" fillId="24" borderId="112" xfId="44" applyFont="1" applyFill="1" applyBorder="1" applyAlignment="1" applyProtection="1">
      <alignment vertical="center"/>
      <protection hidden="1"/>
    </xf>
    <xf numFmtId="0" fontId="70" fillId="0" borderId="0" xfId="44" applyFont="1" applyBorder="1" applyAlignment="1"/>
    <xf numFmtId="0" fontId="32" fillId="0" borderId="0" xfId="44" applyFont="1" applyFill="1" applyBorder="1" applyAlignment="1">
      <alignment vertical="center"/>
    </xf>
    <xf numFmtId="0" fontId="41" fillId="0" borderId="0" xfId="44" applyFont="1" applyFill="1" applyBorder="1" applyAlignment="1">
      <alignment vertical="center"/>
    </xf>
    <xf numFmtId="0" fontId="27" fillId="27" borderId="50" xfId="44" applyFont="1" applyFill="1" applyBorder="1" applyAlignment="1">
      <alignment horizontal="left"/>
    </xf>
    <xf numFmtId="0" fontId="27" fillId="27" borderId="51" xfId="44" applyFont="1" applyFill="1" applyBorder="1" applyAlignment="1">
      <alignment horizontal="center"/>
    </xf>
    <xf numFmtId="0" fontId="27" fillId="27" borderId="51" xfId="44" applyFont="1" applyFill="1" applyBorder="1" applyAlignment="1">
      <alignment horizontal="left"/>
    </xf>
    <xf numFmtId="0" fontId="27" fillId="27" borderId="52" xfId="44" applyFont="1" applyFill="1" applyBorder="1" applyAlignment="1"/>
    <xf numFmtId="0" fontId="27" fillId="0" borderId="0" xfId="44" applyFont="1" applyBorder="1" applyAlignment="1">
      <alignment horizontal="left"/>
    </xf>
    <xf numFmtId="0" fontId="27" fillId="0" borderId="0" xfId="44" applyFont="1" applyFill="1" applyBorder="1" applyAlignment="1">
      <alignment vertical="center"/>
    </xf>
    <xf numFmtId="0" fontId="27" fillId="27" borderId="50" xfId="44" applyFont="1" applyFill="1" applyBorder="1" applyAlignment="1" applyProtection="1">
      <alignment horizontal="left" vertical="center"/>
      <protection hidden="1"/>
    </xf>
    <xf numFmtId="0" fontId="27" fillId="27" borderId="52" xfId="44" applyFont="1" applyFill="1" applyBorder="1" applyAlignment="1">
      <alignment horizontal="left"/>
    </xf>
    <xf numFmtId="0" fontId="27" fillId="24" borderId="50" xfId="44" applyFont="1" applyFill="1" applyBorder="1" applyAlignment="1"/>
    <xf numFmtId="0" fontId="27" fillId="24" borderId="51" xfId="44" applyFont="1" applyFill="1" applyBorder="1" applyAlignment="1">
      <alignment horizontal="left"/>
    </xf>
    <xf numFmtId="0" fontId="27" fillId="24" borderId="51" xfId="44" applyFont="1" applyFill="1" applyBorder="1" applyAlignment="1"/>
    <xf numFmtId="0" fontId="27" fillId="24" borderId="52" xfId="44" applyFont="1" applyFill="1" applyBorder="1" applyAlignment="1"/>
    <xf numFmtId="0" fontId="27" fillId="26" borderId="10" xfId="44" applyFont="1" applyFill="1" applyBorder="1" applyAlignment="1">
      <alignment horizontal="center"/>
    </xf>
    <xf numFmtId="0" fontId="27" fillId="27" borderId="10" xfId="44" applyFont="1" applyFill="1" applyBorder="1" applyAlignment="1">
      <alignment horizontal="center"/>
    </xf>
    <xf numFmtId="0" fontId="27" fillId="26" borderId="0" xfId="44" applyFont="1" applyFill="1" applyBorder="1" applyAlignment="1">
      <alignment horizontal="left"/>
    </xf>
    <xf numFmtId="0" fontId="27" fillId="26" borderId="0" xfId="44" applyFont="1" applyFill="1" applyBorder="1" applyAlignment="1">
      <alignment vertical="center"/>
    </xf>
    <xf numFmtId="0" fontId="27" fillId="26" borderId="50" xfId="44" applyFont="1" applyFill="1" applyBorder="1" applyAlignment="1">
      <alignment horizontal="center"/>
    </xf>
    <xf numFmtId="0" fontId="27" fillId="24" borderId="53" xfId="44" applyFont="1" applyFill="1" applyBorder="1" applyAlignment="1"/>
    <xf numFmtId="0" fontId="27" fillId="24" borderId="54" xfId="44" applyFont="1" applyFill="1" applyBorder="1" applyAlignment="1">
      <alignment horizontal="left"/>
    </xf>
    <xf numFmtId="0" fontId="27" fillId="24" borderId="20" xfId="44" applyFont="1" applyFill="1" applyBorder="1" applyAlignment="1"/>
    <xf numFmtId="9" fontId="27" fillId="24" borderId="52" xfId="44" applyNumberFormat="1" applyFont="1" applyFill="1" applyBorder="1" applyAlignment="1"/>
    <xf numFmtId="0" fontId="27" fillId="26" borderId="53" xfId="44" applyFont="1" applyFill="1" applyBorder="1" applyAlignment="1">
      <alignment horizontal="center"/>
    </xf>
    <xf numFmtId="0" fontId="27" fillId="26" borderId="20" xfId="44" applyFont="1" applyFill="1" applyBorder="1" applyAlignment="1"/>
    <xf numFmtId="0" fontId="27" fillId="26" borderId="153" xfId="44" applyFont="1" applyFill="1" applyBorder="1" applyAlignment="1">
      <alignment horizontal="left"/>
    </xf>
    <xf numFmtId="0" fontId="27" fillId="26" borderId="50" xfId="0" applyFont="1" applyFill="1" applyBorder="1">
      <alignment vertical="center"/>
    </xf>
    <xf numFmtId="9" fontId="27" fillId="26" borderId="52" xfId="44" applyNumberFormat="1" applyFont="1" applyFill="1" applyBorder="1" applyAlignment="1"/>
    <xf numFmtId="0" fontId="27" fillId="26" borderId="61" xfId="44" applyFont="1" applyFill="1" applyBorder="1" applyAlignment="1">
      <alignment horizontal="center"/>
    </xf>
    <xf numFmtId="9" fontId="27" fillId="26" borderId="61" xfId="44" applyNumberFormat="1" applyFont="1" applyFill="1" applyBorder="1" applyAlignment="1">
      <alignment horizontal="center"/>
    </xf>
    <xf numFmtId="0" fontId="27" fillId="26" borderId="22" xfId="44" applyFont="1" applyFill="1" applyBorder="1" applyAlignment="1">
      <alignment horizontal="center"/>
    </xf>
    <xf numFmtId="0" fontId="27" fillId="26" borderId="24" xfId="44" applyFont="1" applyFill="1" applyBorder="1" applyAlignment="1"/>
    <xf numFmtId="0" fontId="27" fillId="26" borderId="59" xfId="44" applyFont="1" applyFill="1" applyBorder="1" applyAlignment="1">
      <alignment horizontal="left"/>
    </xf>
    <xf numFmtId="0" fontId="27" fillId="26" borderId="0" xfId="44" applyFont="1" applyFill="1" applyBorder="1" applyAlignment="1">
      <alignment horizontal="center"/>
    </xf>
    <xf numFmtId="177" fontId="163" fillId="0" borderId="10" xfId="44" applyNumberFormat="1" applyFont="1" applyFill="1" applyBorder="1" applyAlignment="1"/>
    <xf numFmtId="177" fontId="27" fillId="0" borderId="10" xfId="44" applyNumberFormat="1" applyFont="1" applyFill="1" applyBorder="1" applyAlignment="1"/>
    <xf numFmtId="0" fontId="27" fillId="0" borderId="54" xfId="44" applyFont="1" applyBorder="1" applyAlignment="1"/>
    <xf numFmtId="0" fontId="27" fillId="24" borderId="10" xfId="44" applyFont="1" applyFill="1" applyBorder="1" applyAlignment="1">
      <alignment horizontal="center"/>
    </xf>
    <xf numFmtId="0" fontId="27" fillId="24" borderId="54" xfId="44" applyFont="1" applyFill="1" applyBorder="1" applyAlignment="1"/>
    <xf numFmtId="188" fontId="27" fillId="24" borderId="55" xfId="44" applyNumberFormat="1" applyFont="1" applyFill="1" applyBorder="1" applyAlignment="1">
      <alignment horizontal="left"/>
    </xf>
    <xf numFmtId="0" fontId="27" fillId="24" borderId="0" xfId="44" applyFont="1" applyFill="1" applyBorder="1" applyAlignment="1">
      <alignment horizontal="center"/>
    </xf>
    <xf numFmtId="9" fontId="27" fillId="26" borderId="51" xfId="0" applyNumberFormat="1" applyFont="1" applyFill="1" applyBorder="1">
      <alignment vertical="center"/>
    </xf>
    <xf numFmtId="40" fontId="27" fillId="0" borderId="10" xfId="35" applyNumberFormat="1" applyFont="1" applyFill="1" applyBorder="1" applyAlignment="1"/>
    <xf numFmtId="0" fontId="27" fillId="24" borderId="24" xfId="44" applyFont="1" applyFill="1" applyBorder="1" applyAlignment="1"/>
    <xf numFmtId="40" fontId="27" fillId="0" borderId="23" xfId="35" applyNumberFormat="1" applyFont="1" applyFill="1" applyBorder="1" applyAlignment="1"/>
    <xf numFmtId="0" fontId="27" fillId="24" borderId="51" xfId="44" applyFont="1" applyFill="1" applyBorder="1" applyAlignment="1">
      <alignment horizontal="center"/>
    </xf>
    <xf numFmtId="9" fontId="27" fillId="26" borderId="54" xfId="0" applyNumberFormat="1" applyFont="1" applyFill="1" applyBorder="1">
      <alignment vertical="center"/>
    </xf>
    <xf numFmtId="40" fontId="27" fillId="33" borderId="23" xfId="35" applyNumberFormat="1" applyFont="1" applyFill="1" applyBorder="1" applyAlignment="1"/>
    <xf numFmtId="0" fontId="27" fillId="0" borderId="54" xfId="44" applyFont="1" applyBorder="1" applyAlignment="1">
      <alignment horizontal="left"/>
    </xf>
    <xf numFmtId="198" fontId="27" fillId="0" borderId="10" xfId="44" applyNumberFormat="1" applyFont="1" applyBorder="1" applyAlignment="1"/>
    <xf numFmtId="0" fontId="27" fillId="0" borderId="53" xfId="44" applyFont="1" applyBorder="1" applyAlignment="1"/>
    <xf numFmtId="0" fontId="27" fillId="0" borderId="55" xfId="44" applyFont="1" applyBorder="1" applyAlignment="1"/>
    <xf numFmtId="0" fontId="28" fillId="0" borderId="0" xfId="44" applyFont="1" applyBorder="1" applyAlignment="1"/>
    <xf numFmtId="0" fontId="27" fillId="0" borderId="153" xfId="44" applyFont="1" applyBorder="1" applyAlignment="1"/>
    <xf numFmtId="0" fontId="27" fillId="0" borderId="20" xfId="44" applyFont="1" applyBorder="1" applyAlignment="1"/>
    <xf numFmtId="0" fontId="28" fillId="0" borderId="24" xfId="44" applyFont="1" applyBorder="1" applyAlignment="1"/>
    <xf numFmtId="0" fontId="27" fillId="0" borderId="59" xfId="44" applyFont="1" applyBorder="1" applyAlignment="1"/>
    <xf numFmtId="0" fontId="27" fillId="0" borderId="60" xfId="44" applyFont="1" applyBorder="1" applyAlignment="1"/>
    <xf numFmtId="188" fontId="27" fillId="24" borderId="52" xfId="44" applyNumberFormat="1" applyFont="1" applyFill="1" applyBorder="1" applyAlignment="1">
      <alignment horizontal="left"/>
    </xf>
    <xf numFmtId="0" fontId="27" fillId="0" borderId="10" xfId="44" applyFont="1" applyBorder="1" applyAlignment="1"/>
    <xf numFmtId="9" fontId="27" fillId="0" borderId="10" xfId="28" applyFont="1" applyFill="1" applyBorder="1" applyAlignment="1"/>
    <xf numFmtId="0" fontId="27" fillId="0" borderId="10" xfId="44" applyFont="1" applyFill="1" applyBorder="1" applyAlignment="1"/>
    <xf numFmtId="0" fontId="32" fillId="0" borderId="0" xfId="44" applyFont="1" applyBorder="1" applyAlignment="1"/>
    <xf numFmtId="0" fontId="27" fillId="0" borderId="0" xfId="44" applyFont="1" applyFill="1" applyBorder="1" applyAlignment="1" applyProtection="1">
      <alignment horizontal="left" vertical="center"/>
      <protection hidden="1"/>
    </xf>
    <xf numFmtId="0" fontId="27" fillId="0" borderId="0" xfId="44" applyFont="1" applyFill="1" applyBorder="1" applyAlignment="1">
      <alignment horizontal="left"/>
    </xf>
    <xf numFmtId="38" fontId="27" fillId="0" borderId="10" xfId="35" applyFont="1" applyBorder="1" applyAlignment="1"/>
    <xf numFmtId="187" fontId="27" fillId="0" borderId="10" xfId="44" applyNumberFormat="1" applyFont="1" applyFill="1" applyBorder="1" applyAlignment="1"/>
    <xf numFmtId="0" fontId="27" fillId="0" borderId="0" xfId="44" applyFont="1" applyFill="1" applyBorder="1" applyAlignment="1"/>
    <xf numFmtId="187" fontId="27" fillId="0" borderId="10" xfId="44" applyNumberFormat="1" applyFont="1" applyFill="1" applyBorder="1" applyAlignment="1"/>
    <xf numFmtId="0" fontId="67" fillId="0" borderId="0" xfId="0" applyFont="1" applyFill="1" applyAlignment="1">
      <alignment horizontal="left"/>
    </xf>
    <xf numFmtId="0" fontId="27" fillId="0" borderId="0" xfId="0" applyFont="1" applyFill="1" applyAlignment="1"/>
    <xf numFmtId="177" fontId="67" fillId="0" borderId="0" xfId="35" applyNumberFormat="1" applyFont="1" applyFill="1" applyBorder="1" applyAlignment="1"/>
    <xf numFmtId="0" fontId="67" fillId="0" borderId="0" xfId="0" applyFont="1" applyFill="1" applyBorder="1">
      <alignment vertical="center"/>
    </xf>
    <xf numFmtId="49" fontId="67" fillId="0" borderId="0" xfId="35" applyNumberFormat="1" applyFont="1" applyFill="1" applyBorder="1" applyAlignment="1">
      <alignment horizontal="center"/>
    </xf>
    <xf numFmtId="2" fontId="67" fillId="0" borderId="0" xfId="0" applyNumberFormat="1" applyFont="1" applyFill="1" applyBorder="1" applyAlignment="1">
      <alignment horizontal="left"/>
    </xf>
    <xf numFmtId="2" fontId="67" fillId="0" borderId="0" xfId="0" applyNumberFormat="1" applyFont="1" applyFill="1" applyBorder="1" applyAlignment="1">
      <alignment horizontal="center"/>
    </xf>
    <xf numFmtId="0" fontId="67" fillId="0" borderId="0" xfId="0" applyNumberFormat="1" applyFont="1" applyFill="1" applyBorder="1">
      <alignment vertical="center"/>
    </xf>
    <xf numFmtId="0" fontId="6" fillId="0" borderId="0" xfId="0" applyFont="1" applyFill="1">
      <alignment vertical="center"/>
    </xf>
    <xf numFmtId="0" fontId="27" fillId="0" borderId="0" xfId="0" applyFont="1" applyFill="1" applyAlignment="1" applyProtection="1">
      <protection hidden="1"/>
    </xf>
    <xf numFmtId="177" fontId="165" fillId="0" borderId="0" xfId="35" applyNumberFormat="1" applyFont="1" applyFill="1" applyBorder="1" applyAlignment="1" applyProtection="1">
      <protection hidden="1"/>
    </xf>
    <xf numFmtId="0" fontId="165" fillId="0" borderId="0" xfId="0" applyFont="1" applyFill="1" applyBorder="1" applyProtection="1">
      <alignment vertical="center"/>
      <protection hidden="1"/>
    </xf>
    <xf numFmtId="2" fontId="164" fillId="0" borderId="0" xfId="0" applyNumberFormat="1" applyFont="1" applyFill="1" applyBorder="1" applyAlignment="1" applyProtection="1">
      <alignment horizontal="left"/>
      <protection hidden="1"/>
    </xf>
    <xf numFmtId="49" fontId="164" fillId="0" borderId="0" xfId="0" applyNumberFormat="1" applyFont="1" applyFill="1" applyBorder="1" applyProtection="1">
      <alignment vertical="center"/>
      <protection hidden="1"/>
    </xf>
    <xf numFmtId="0" fontId="83" fillId="0" borderId="0" xfId="0" applyFont="1">
      <alignment vertical="center"/>
    </xf>
    <xf numFmtId="2" fontId="165" fillId="0" borderId="0" xfId="0" applyNumberFormat="1" applyFont="1" applyFill="1" applyBorder="1" applyAlignment="1" applyProtection="1">
      <alignment horizontal="center"/>
      <protection hidden="1"/>
    </xf>
    <xf numFmtId="0" fontId="165" fillId="0" borderId="0" xfId="0" applyNumberFormat="1" applyFont="1" applyFill="1" applyBorder="1">
      <alignment vertical="center"/>
    </xf>
    <xf numFmtId="0" fontId="83" fillId="0" borderId="0" xfId="0" applyFont="1" applyFill="1">
      <alignment vertical="center"/>
    </xf>
    <xf numFmtId="2" fontId="165" fillId="0" borderId="0" xfId="0" applyNumberFormat="1" applyFont="1" applyFill="1" applyBorder="1" applyAlignment="1" applyProtection="1">
      <alignment horizontal="left"/>
      <protection hidden="1"/>
    </xf>
    <xf numFmtId="0" fontId="67" fillId="38" borderId="50" xfId="0" applyFont="1" applyFill="1" applyBorder="1" applyAlignment="1" applyProtection="1">
      <alignment horizontal="centerContinuous" vertical="center"/>
      <protection hidden="1"/>
    </xf>
    <xf numFmtId="0" fontId="67" fillId="38" borderId="52" xfId="0" applyFont="1" applyFill="1" applyBorder="1" applyAlignment="1" applyProtection="1">
      <alignment horizontal="centerContinuous" vertical="center"/>
      <protection hidden="1"/>
    </xf>
    <xf numFmtId="0" fontId="67" fillId="0" borderId="0" xfId="0" applyFont="1" applyFill="1" applyBorder="1" applyProtection="1">
      <alignment vertical="center"/>
      <protection hidden="1"/>
    </xf>
    <xf numFmtId="0" fontId="6" fillId="38" borderId="10" xfId="0" applyFont="1" applyFill="1" applyBorder="1" applyAlignment="1" applyProtection="1">
      <alignment horizontal="center" vertical="center"/>
      <protection hidden="1"/>
    </xf>
    <xf numFmtId="2" fontId="67" fillId="38" borderId="50" xfId="0" applyNumberFormat="1" applyFont="1" applyFill="1" applyBorder="1" applyAlignment="1" applyProtection="1">
      <alignment horizontal="centerContinuous"/>
      <protection hidden="1"/>
    </xf>
    <xf numFmtId="2" fontId="67" fillId="38" borderId="51" xfId="0" applyNumberFormat="1" applyFont="1" applyFill="1" applyBorder="1" applyAlignment="1" applyProtection="1">
      <alignment horizontal="centerContinuous"/>
      <protection hidden="1"/>
    </xf>
    <xf numFmtId="2" fontId="67" fillId="38" borderId="52" xfId="0" applyNumberFormat="1" applyFont="1" applyFill="1" applyBorder="1" applyAlignment="1" applyProtection="1">
      <alignment horizontal="centerContinuous"/>
      <protection hidden="1"/>
    </xf>
    <xf numFmtId="0" fontId="155" fillId="0" borderId="0" xfId="0" applyNumberFormat="1" applyFont="1" applyFill="1" applyBorder="1" applyAlignment="1">
      <alignment horizontal="left" vertical="top"/>
    </xf>
    <xf numFmtId="0" fontId="6" fillId="38" borderId="24" xfId="0" applyFont="1" applyFill="1" applyBorder="1" applyAlignment="1" applyProtection="1">
      <alignment horizontal="center" vertical="center"/>
      <protection hidden="1"/>
    </xf>
    <xf numFmtId="177" fontId="67" fillId="38" borderId="10" xfId="35" applyNumberFormat="1" applyFont="1" applyFill="1" applyBorder="1" applyAlignment="1" applyProtection="1">
      <alignment horizontal="center"/>
      <protection hidden="1"/>
    </xf>
    <xf numFmtId="0" fontId="67" fillId="0" borderId="0" xfId="0" applyFont="1" applyFill="1" applyBorder="1" applyAlignment="1" applyProtection="1">
      <alignment horizontal="center"/>
      <protection hidden="1"/>
    </xf>
    <xf numFmtId="2" fontId="67" fillId="38" borderId="10" xfId="0" applyNumberFormat="1" applyFont="1" applyFill="1" applyBorder="1" applyAlignment="1" applyProtection="1">
      <alignment horizontal="center" vertical="top"/>
      <protection hidden="1"/>
    </xf>
    <xf numFmtId="2" fontId="67" fillId="38" borderId="50" xfId="0" applyNumberFormat="1" applyFont="1" applyFill="1" applyBorder="1" applyAlignment="1" applyProtection="1">
      <alignment horizontal="center" vertical="top"/>
      <protection hidden="1"/>
    </xf>
    <xf numFmtId="2" fontId="67" fillId="38" borderId="52" xfId="0" applyNumberFormat="1" applyFont="1" applyFill="1" applyBorder="1" applyAlignment="1" applyProtection="1">
      <alignment horizontal="center" vertical="top"/>
      <protection hidden="1"/>
    </xf>
    <xf numFmtId="0" fontId="67" fillId="0" borderId="0" xfId="0" applyNumberFormat="1" applyFont="1" applyFill="1" applyBorder="1" applyAlignment="1">
      <alignment horizontal="center" vertical="top"/>
    </xf>
    <xf numFmtId="0" fontId="27" fillId="38" borderId="60" xfId="0" applyFont="1" applyFill="1" applyBorder="1" applyAlignment="1" applyProtection="1">
      <alignment horizontal="center" vertical="center"/>
      <protection hidden="1"/>
    </xf>
    <xf numFmtId="190" fontId="67" fillId="38" borderId="10" xfId="35" applyNumberFormat="1" applyFont="1" applyFill="1" applyBorder="1" applyAlignment="1" applyProtection="1">
      <alignment horizontal="center" vertical="top"/>
      <protection hidden="1"/>
    </xf>
    <xf numFmtId="0" fontId="4" fillId="38" borderId="10"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center" vertical="center"/>
      <protection hidden="1"/>
    </xf>
    <xf numFmtId="177" fontId="29" fillId="38" borderId="10" xfId="35" applyNumberFormat="1" applyFont="1" applyFill="1" applyBorder="1" applyAlignment="1" applyProtection="1">
      <alignment horizontal="center"/>
      <protection hidden="1"/>
    </xf>
    <xf numFmtId="0" fontId="29" fillId="0" borderId="0" xfId="0" applyFont="1" applyFill="1" applyBorder="1" applyAlignment="1" applyProtection="1">
      <alignment horizontal="center"/>
      <protection hidden="1"/>
    </xf>
    <xf numFmtId="0" fontId="4" fillId="38" borderId="10" xfId="0" applyFont="1" applyFill="1" applyBorder="1" applyAlignment="1" applyProtection="1">
      <alignment horizontal="center" vertical="center"/>
      <protection hidden="1"/>
    </xf>
    <xf numFmtId="190" fontId="29" fillId="38" borderId="10" xfId="35" applyNumberFormat="1" applyFont="1" applyFill="1" applyBorder="1" applyAlignment="1" applyProtection="1">
      <alignment horizontal="center" vertical="top"/>
      <protection hidden="1"/>
    </xf>
    <xf numFmtId="190" fontId="29" fillId="38" borderId="50" xfId="35" applyNumberFormat="1" applyFont="1" applyFill="1" applyBorder="1" applyAlignment="1" applyProtection="1">
      <alignment horizontal="center" vertical="top"/>
      <protection hidden="1"/>
    </xf>
    <xf numFmtId="190" fontId="29" fillId="38" borderId="52" xfId="0" applyNumberFormat="1" applyFont="1" applyFill="1" applyBorder="1" applyAlignment="1" applyProtection="1">
      <alignment horizontal="center" vertical="top"/>
      <protection hidden="1"/>
    </xf>
    <xf numFmtId="0" fontId="29" fillId="0" borderId="0" xfId="0" applyNumberFormat="1" applyFont="1" applyFill="1" applyBorder="1" applyAlignment="1">
      <alignment horizontal="center" vertical="top"/>
    </xf>
    <xf numFmtId="0" fontId="4" fillId="0" borderId="0" xfId="0" applyFont="1" applyFill="1">
      <alignment vertical="center"/>
    </xf>
    <xf numFmtId="0" fontId="41" fillId="26" borderId="10" xfId="0" applyNumberFormat="1" applyFont="1" applyFill="1" applyBorder="1" applyAlignment="1" applyProtection="1">
      <alignment horizontal="left" vertical="center"/>
      <protection hidden="1"/>
    </xf>
    <xf numFmtId="0" fontId="41" fillId="26" borderId="10" xfId="0" applyNumberFormat="1" applyFont="1" applyFill="1" applyBorder="1" applyAlignment="1" applyProtection="1">
      <alignment vertical="center"/>
      <protection hidden="1"/>
    </xf>
    <xf numFmtId="197" fontId="41" fillId="26" borderId="10" xfId="35" applyNumberFormat="1" applyFont="1" applyFill="1" applyBorder="1" applyAlignment="1" applyProtection="1">
      <alignment vertical="center"/>
      <protection hidden="1"/>
    </xf>
    <xf numFmtId="187" fontId="155" fillId="26" borderId="10" xfId="35" applyNumberFormat="1" applyFont="1" applyFill="1" applyBorder="1" applyAlignment="1" applyProtection="1">
      <protection hidden="1"/>
    </xf>
    <xf numFmtId="0" fontId="155" fillId="0" borderId="0" xfId="0" applyFont="1" applyFill="1" applyBorder="1" applyProtection="1">
      <alignment vertical="center"/>
      <protection hidden="1"/>
    </xf>
    <xf numFmtId="0" fontId="155" fillId="26" borderId="10" xfId="0" applyNumberFormat="1" applyFont="1" applyFill="1" applyBorder="1" applyAlignment="1" applyProtection="1">
      <alignment horizontal="left" vertical="center"/>
      <protection hidden="1"/>
    </xf>
    <xf numFmtId="190" fontId="41" fillId="26" borderId="10" xfId="35" applyNumberFormat="1" applyFont="1" applyFill="1" applyBorder="1" applyAlignment="1" applyProtection="1">
      <alignment horizontal="center" vertical="center"/>
      <protection hidden="1"/>
    </xf>
    <xf numFmtId="0" fontId="155" fillId="0" borderId="0" xfId="35" applyNumberFormat="1" applyFont="1" applyFill="1" applyBorder="1" applyAlignment="1">
      <alignment horizontal="right" vertical="center"/>
    </xf>
    <xf numFmtId="0" fontId="32" fillId="0" borderId="0" xfId="0" applyFont="1" applyFill="1">
      <alignment vertical="center"/>
    </xf>
    <xf numFmtId="0" fontId="155" fillId="24" borderId="10" xfId="0" applyNumberFormat="1" applyFont="1" applyFill="1" applyBorder="1" applyAlignment="1" applyProtection="1">
      <alignment horizontal="left" vertical="center"/>
      <protection hidden="1"/>
    </xf>
    <xf numFmtId="0" fontId="41" fillId="24" borderId="10" xfId="0" applyNumberFormat="1" applyFont="1" applyFill="1" applyBorder="1" applyAlignment="1" applyProtection="1">
      <alignment vertical="center"/>
      <protection hidden="1"/>
    </xf>
    <xf numFmtId="197" fontId="41" fillId="24" borderId="10" xfId="35" applyNumberFormat="1" applyFont="1" applyFill="1" applyBorder="1" applyAlignment="1" applyProtection="1">
      <alignment vertical="center"/>
      <protection hidden="1"/>
    </xf>
    <xf numFmtId="187" fontId="155" fillId="24" borderId="1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protection hidden="1"/>
    </xf>
    <xf numFmtId="190" fontId="41" fillId="24" borderId="50" xfId="35" applyNumberFormat="1" applyFont="1" applyFill="1" applyBorder="1" applyAlignment="1" applyProtection="1">
      <alignment horizontal="center" vertical="center"/>
      <protection hidden="1"/>
    </xf>
    <xf numFmtId="0" fontId="155" fillId="0" borderId="0" xfId="35" applyNumberFormat="1" applyFont="1" applyFill="1" applyBorder="1" applyAlignment="1"/>
    <xf numFmtId="0" fontId="67" fillId="24" borderId="10" xfId="0" applyNumberFormat="1" applyFont="1" applyFill="1" applyBorder="1" applyAlignment="1" applyProtection="1">
      <alignment horizontal="left" vertical="center"/>
      <protection hidden="1"/>
    </xf>
    <xf numFmtId="0" fontId="27" fillId="24" borderId="10" xfId="0" applyFont="1" applyFill="1" applyBorder="1" applyAlignment="1" applyProtection="1">
      <alignment vertical="center"/>
      <protection hidden="1"/>
    </xf>
    <xf numFmtId="197" fontId="27" fillId="24" borderId="10" xfId="35" applyNumberFormat="1" applyFont="1" applyFill="1" applyBorder="1" applyAlignment="1" applyProtection="1">
      <alignment vertical="center"/>
      <protection hidden="1"/>
    </xf>
    <xf numFmtId="187" fontId="67" fillId="24" borderId="10" xfId="35" applyNumberFormat="1" applyFont="1" applyFill="1" applyBorder="1" applyAlignment="1" applyProtection="1">
      <protection hidden="1"/>
    </xf>
    <xf numFmtId="49"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vertical="center"/>
      <protection hidden="1"/>
    </xf>
    <xf numFmtId="190" fontId="27" fillId="24" borderId="52" xfId="35" applyNumberFormat="1" applyFont="1" applyFill="1" applyBorder="1" applyAlignment="1" applyProtection="1">
      <alignment horizontal="center" vertical="center"/>
      <protection hidden="1"/>
    </xf>
    <xf numFmtId="0" fontId="67" fillId="0" borderId="0" xfId="35" applyNumberFormat="1" applyFont="1" applyFill="1" applyBorder="1" applyAlignment="1">
      <alignment vertical="center"/>
    </xf>
    <xf numFmtId="0" fontId="67" fillId="24" borderId="10" xfId="0" applyFont="1" applyFill="1" applyBorder="1" applyAlignment="1" applyProtection="1">
      <alignment horizontal="left" vertical="center"/>
      <protection hidden="1"/>
    </xf>
    <xf numFmtId="197" fontId="27" fillId="24" borderId="10" xfId="35" applyNumberFormat="1" applyFont="1" applyFill="1" applyBorder="1">
      <alignment vertical="center"/>
    </xf>
    <xf numFmtId="2" fontId="27" fillId="24" borderId="10" xfId="35" applyNumberFormat="1" applyFont="1" applyFill="1" applyBorder="1" applyAlignment="1" applyProtection="1">
      <alignment horizontal="center" vertical="center"/>
      <protection hidden="1"/>
    </xf>
    <xf numFmtId="2" fontId="27" fillId="24" borderId="50" xfId="35" applyNumberFormat="1" applyFont="1" applyFill="1" applyBorder="1" applyAlignment="1" applyProtection="1">
      <alignment horizontal="center" vertical="center"/>
      <protection hidden="1"/>
    </xf>
    <xf numFmtId="2" fontId="27" fillId="24" borderId="52" xfId="35" applyNumberFormat="1" applyFont="1" applyFill="1" applyBorder="1" applyAlignment="1" applyProtection="1">
      <alignment horizontal="center" vertical="center"/>
      <protection hidden="1"/>
    </xf>
    <xf numFmtId="190" fontId="27" fillId="24" borderId="50" xfId="35" applyNumberFormat="1" applyFont="1" applyFill="1" applyBorder="1" applyAlignment="1" applyProtection="1">
      <alignment horizontal="center" vertical="center"/>
      <protection hidden="1"/>
    </xf>
    <xf numFmtId="0" fontId="155" fillId="24" borderId="10" xfId="0" applyFont="1" applyFill="1" applyBorder="1" applyAlignment="1" applyProtection="1">
      <alignment horizontal="left" vertical="center"/>
      <protection hidden="1"/>
    </xf>
    <xf numFmtId="0" fontId="41" fillId="24" borderId="10" xfId="0" applyFont="1" applyFill="1" applyBorder="1" applyAlignment="1" applyProtection="1">
      <alignment vertical="center"/>
      <protection hidden="1"/>
    </xf>
    <xf numFmtId="190" fontId="41" fillId="24" borderId="50" xfId="0"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vertical="center"/>
      <protection hidden="1"/>
    </xf>
    <xf numFmtId="190" fontId="27" fillId="24" borderId="50" xfId="0" applyNumberFormat="1" applyFont="1" applyFill="1" applyBorder="1" applyAlignment="1" applyProtection="1">
      <alignment horizontal="center" vertical="center"/>
      <protection hidden="1"/>
    </xf>
    <xf numFmtId="0" fontId="67" fillId="0" borderId="0" xfId="35" applyNumberFormat="1" applyFont="1" applyFill="1" applyBorder="1" applyAlignment="1">
      <alignment horizontal="right" vertical="center"/>
    </xf>
    <xf numFmtId="190" fontId="27" fillId="24" borderId="10" xfId="0" applyNumberFormat="1" applyFont="1" applyFill="1" applyBorder="1" applyAlignment="1" applyProtection="1">
      <alignment horizontal="center"/>
      <protection hidden="1"/>
    </xf>
    <xf numFmtId="177" fontId="41" fillId="24" borderId="10" xfId="35" applyNumberFormat="1" applyFont="1" applyFill="1" applyBorder="1" applyAlignment="1" applyProtection="1">
      <alignment horizontal="center"/>
      <protection hidden="1"/>
    </xf>
    <xf numFmtId="177" fontId="41" fillId="24" borderId="50" xfId="0" applyNumberFormat="1" applyFont="1" applyFill="1" applyBorder="1" applyAlignment="1" applyProtection="1">
      <alignment horizontal="center" vertical="center"/>
      <protection hidden="1"/>
    </xf>
    <xf numFmtId="177" fontId="27" fillId="24" borderId="10" xfId="35" applyNumberFormat="1" applyFont="1" applyFill="1" applyBorder="1" applyAlignment="1" applyProtection="1">
      <alignment horizontal="center" vertical="center"/>
      <protection hidden="1"/>
    </xf>
    <xf numFmtId="177" fontId="27" fillId="24" borderId="50" xfId="35" applyNumberFormat="1" applyFont="1" applyFill="1" applyBorder="1" applyAlignment="1" applyProtection="1">
      <alignment horizontal="center" vertical="center"/>
      <protection hidden="1"/>
    </xf>
    <xf numFmtId="177" fontId="27" fillId="24" borderId="52" xfId="35" applyNumberFormat="1" applyFont="1" applyFill="1" applyBorder="1" applyAlignment="1" applyProtection="1">
      <alignment horizontal="center" vertical="center"/>
      <protection hidden="1"/>
    </xf>
    <xf numFmtId="177" fontId="67" fillId="24" borderId="10" xfId="35" applyNumberFormat="1" applyFont="1" applyFill="1" applyBorder="1" applyAlignment="1" applyProtection="1">
      <alignment horizontal="center" vertical="center"/>
      <protection hidden="1"/>
    </xf>
    <xf numFmtId="40" fontId="155" fillId="0" borderId="0" xfId="35" applyNumberFormat="1" applyFont="1" applyFill="1" applyBorder="1" applyAlignment="1" applyProtection="1">
      <alignment horizontal="right" vertical="center"/>
      <protection hidden="1"/>
    </xf>
    <xf numFmtId="0" fontId="41" fillId="24" borderId="10" xfId="0" applyNumberFormat="1" applyFont="1" applyFill="1" applyBorder="1" applyAlignment="1" applyProtection="1">
      <alignment horizontal="left" vertical="center"/>
      <protection hidden="1"/>
    </xf>
    <xf numFmtId="40" fontId="155" fillId="0" borderId="0" xfId="35" applyNumberFormat="1" applyFont="1" applyFill="1" applyBorder="1" applyAlignment="1" applyProtection="1">
      <protection hidden="1"/>
    </xf>
    <xf numFmtId="190" fontId="41" fillId="24" borderId="10" xfId="35" applyNumberFormat="1" applyFont="1" applyFill="1" applyBorder="1" applyAlignment="1" applyProtection="1">
      <alignment horizontal="center" vertical="center"/>
      <protection hidden="1"/>
    </xf>
    <xf numFmtId="40" fontId="67" fillId="0" borderId="0" xfId="35" applyNumberFormat="1" applyFont="1" applyFill="1" applyBorder="1" applyAlignment="1" applyProtection="1">
      <alignment vertical="center"/>
      <protection hidden="1"/>
    </xf>
    <xf numFmtId="40" fontId="67" fillId="0" borderId="0" xfId="35" applyNumberFormat="1" applyFont="1" applyFill="1" applyBorder="1" applyAlignment="1" applyProtection="1">
      <alignment horizontal="right" vertical="center"/>
      <protection hidden="1"/>
    </xf>
    <xf numFmtId="190" fontId="41" fillId="24" borderId="50" xfId="35" applyNumberFormat="1" applyFont="1" applyFill="1" applyBorder="1" applyAlignment="1" applyProtection="1">
      <alignment horizontal="center"/>
      <protection hidden="1"/>
    </xf>
    <xf numFmtId="0" fontId="27" fillId="24" borderId="10" xfId="0" applyNumberFormat="1" applyFont="1" applyFill="1" applyBorder="1" applyAlignment="1" applyProtection="1">
      <alignment horizontal="left" vertical="center"/>
      <protection hidden="1"/>
    </xf>
    <xf numFmtId="197" fontId="27" fillId="24" borderId="10" xfId="35" applyNumberFormat="1" applyFont="1" applyFill="1" applyBorder="1" applyAlignment="1" applyProtection="1">
      <alignment horizontal="left" vertical="center"/>
      <protection hidden="1"/>
    </xf>
    <xf numFmtId="0" fontId="67" fillId="31" borderId="10" xfId="0" applyFont="1" applyFill="1" applyBorder="1" applyAlignment="1" applyProtection="1">
      <alignment horizontal="left" vertical="center"/>
      <protection hidden="1"/>
    </xf>
    <xf numFmtId="0" fontId="27" fillId="31" borderId="10" xfId="0" applyFont="1" applyFill="1" applyBorder="1" applyAlignment="1" applyProtection="1">
      <alignment vertical="center"/>
      <protection hidden="1"/>
    </xf>
    <xf numFmtId="197" fontId="27" fillId="31" borderId="10" xfId="35" applyNumberFormat="1" applyFont="1" applyFill="1" applyBorder="1" applyAlignment="1" applyProtection="1">
      <alignment vertical="center"/>
      <protection hidden="1"/>
    </xf>
    <xf numFmtId="187" fontId="67" fillId="31" borderId="10" xfId="35" applyNumberFormat="1" applyFont="1" applyFill="1" applyBorder="1" applyAlignment="1" applyProtection="1">
      <protection hidden="1"/>
    </xf>
    <xf numFmtId="0" fontId="67" fillId="31" borderId="10" xfId="0" applyNumberFormat="1" applyFont="1" applyFill="1" applyBorder="1" applyAlignment="1" applyProtection="1">
      <alignment horizontal="left" vertical="center"/>
      <protection hidden="1"/>
    </xf>
    <xf numFmtId="190" fontId="27" fillId="31" borderId="10" xfId="35" applyNumberFormat="1" applyFont="1" applyFill="1" applyBorder="1" applyAlignment="1" applyProtection="1">
      <alignment horizontal="center" vertical="center"/>
      <protection hidden="1"/>
    </xf>
    <xf numFmtId="190" fontId="27" fillId="31" borderId="50" xfId="35" applyNumberFormat="1" applyFont="1" applyFill="1" applyBorder="1" applyAlignment="1" applyProtection="1">
      <alignment horizontal="center" vertical="center"/>
      <protection hidden="1"/>
    </xf>
    <xf numFmtId="190" fontId="27" fillId="31" borderId="52" xfId="35" applyNumberFormat="1" applyFont="1" applyFill="1" applyBorder="1" applyAlignment="1" applyProtection="1">
      <alignment horizontal="center" vertical="center"/>
      <protection hidden="1"/>
    </xf>
    <xf numFmtId="0" fontId="41" fillId="24" borderId="10" xfId="0" applyFont="1" applyFill="1" applyBorder="1" applyProtection="1">
      <alignment vertical="center"/>
      <protection hidden="1"/>
    </xf>
    <xf numFmtId="190" fontId="41" fillId="26" borderId="52" xfId="35" applyNumberFormat="1" applyFont="1" applyFill="1" applyBorder="1" applyAlignment="1" applyProtection="1">
      <alignment horizontal="center" vertical="center"/>
      <protection hidden="1"/>
    </xf>
    <xf numFmtId="190" fontId="41" fillId="24" borderId="52"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protection hidden="1"/>
    </xf>
    <xf numFmtId="190" fontId="27" fillId="24" borderId="10" xfId="35" applyNumberFormat="1" applyFont="1" applyFill="1" applyBorder="1" applyAlignment="1" applyProtection="1">
      <alignment horizontal="center"/>
      <protection hidden="1"/>
    </xf>
    <xf numFmtId="190" fontId="27" fillId="24" borderId="52" xfId="35" applyNumberFormat="1" applyFont="1" applyFill="1" applyBorder="1" applyAlignment="1" applyProtection="1">
      <alignment horizontal="center"/>
      <protection hidden="1"/>
    </xf>
    <xf numFmtId="0" fontId="155" fillId="31" borderId="10" xfId="0" applyFont="1" applyFill="1" applyBorder="1" applyAlignment="1" applyProtection="1">
      <alignment horizontal="left" vertical="center"/>
      <protection hidden="1"/>
    </xf>
    <xf numFmtId="0" fontId="41" fillId="31" borderId="10" xfId="0" applyFont="1" applyFill="1" applyBorder="1" applyAlignment="1" applyProtection="1">
      <alignment vertical="center"/>
      <protection hidden="1"/>
    </xf>
    <xf numFmtId="187" fontId="155" fillId="31" borderId="10" xfId="35" applyNumberFormat="1" applyFont="1" applyFill="1" applyBorder="1" applyAlignment="1" applyProtection="1">
      <protection hidden="1"/>
    </xf>
    <xf numFmtId="0" fontId="155" fillId="31" borderId="10" xfId="0" applyNumberFormat="1" applyFont="1" applyFill="1" applyBorder="1" applyAlignment="1" applyProtection="1">
      <alignment horizontal="left" vertical="center"/>
      <protection hidden="1"/>
    </xf>
    <xf numFmtId="197" fontId="60" fillId="38" borderId="60" xfId="35" applyNumberFormat="1" applyFont="1" applyFill="1" applyBorder="1" applyAlignment="1" applyProtection="1">
      <alignment horizontal="center" vertical="center"/>
      <protection hidden="1"/>
    </xf>
    <xf numFmtId="0" fontId="4" fillId="38" borderId="10" xfId="0" applyNumberFormat="1" applyFont="1" applyFill="1" applyBorder="1" applyAlignment="1" applyProtection="1">
      <alignment horizontal="center" vertical="center"/>
      <protection hidden="1"/>
    </xf>
    <xf numFmtId="190" fontId="41" fillId="38" borderId="10" xfId="35" applyNumberFormat="1" applyFont="1" applyFill="1" applyBorder="1" applyAlignment="1" applyProtection="1">
      <alignment horizontal="center" vertical="top"/>
      <protection hidden="1"/>
    </xf>
    <xf numFmtId="190" fontId="41" fillId="38" borderId="50" xfId="35" applyNumberFormat="1" applyFont="1" applyFill="1" applyBorder="1" applyAlignment="1" applyProtection="1">
      <alignment horizontal="center" vertical="top"/>
      <protection hidden="1"/>
    </xf>
    <xf numFmtId="190" fontId="41" fillId="38" borderId="52" xfId="0" applyNumberFormat="1" applyFont="1" applyFill="1" applyBorder="1" applyAlignment="1" applyProtection="1">
      <alignment horizontal="center" vertical="top"/>
      <protection hidden="1"/>
    </xf>
    <xf numFmtId="190" fontId="41" fillId="38" borderId="10" xfId="0" applyNumberFormat="1" applyFont="1" applyFill="1" applyBorder="1" applyAlignment="1" applyProtection="1">
      <alignment horizontal="center" vertical="top"/>
      <protection hidden="1"/>
    </xf>
    <xf numFmtId="0" fontId="41" fillId="24" borderId="10" xfId="0" quotePrefix="1" applyNumberFormat="1" applyFont="1" applyFill="1" applyBorder="1" applyAlignment="1" applyProtection="1">
      <alignment horizontal="left" vertical="center"/>
      <protection hidden="1"/>
    </xf>
    <xf numFmtId="0" fontId="155" fillId="24" borderId="10" xfId="0" quotePrefix="1" applyNumberFormat="1" applyFont="1" applyFill="1" applyBorder="1" applyAlignment="1" applyProtection="1">
      <alignment horizontal="left" vertical="center"/>
      <protection hidden="1"/>
    </xf>
    <xf numFmtId="2" fontId="155" fillId="24" borderId="10" xfId="35" applyNumberFormat="1" applyFont="1" applyFill="1" applyBorder="1" applyAlignment="1" applyProtection="1">
      <alignment horizontal="center" vertical="center"/>
      <protection hidden="1"/>
    </xf>
    <xf numFmtId="0" fontId="67" fillId="24" borderId="10" xfId="0" quotePrefix="1" applyNumberFormat="1" applyFont="1" applyFill="1" applyBorder="1" applyAlignment="1" applyProtection="1">
      <alignment horizontal="left" vertical="center"/>
      <protection hidden="1"/>
    </xf>
    <xf numFmtId="40" fontId="67" fillId="0" borderId="0" xfId="35" applyNumberFormat="1" applyFont="1" applyFill="1" applyBorder="1" applyAlignment="1" applyProtection="1">
      <protection hidden="1"/>
    </xf>
    <xf numFmtId="0" fontId="67" fillId="0" borderId="0" xfId="35" applyNumberFormat="1" applyFont="1" applyFill="1" applyBorder="1" applyAlignment="1"/>
    <xf numFmtId="0" fontId="27" fillId="24" borderId="10" xfId="0" applyFont="1" applyFill="1" applyBorder="1" applyAlignment="1" applyProtection="1">
      <alignment horizontal="left" vertical="center"/>
      <protection hidden="1"/>
    </xf>
    <xf numFmtId="0" fontId="6" fillId="0" borderId="0" xfId="0" applyFont="1" applyFill="1" applyBorder="1">
      <alignment vertical="center"/>
    </xf>
    <xf numFmtId="0" fontId="155" fillId="26" borderId="10" xfId="0" applyNumberFormat="1" applyFont="1" applyFill="1" applyBorder="1" applyAlignment="1" applyProtection="1">
      <alignment vertical="center"/>
      <protection hidden="1"/>
    </xf>
    <xf numFmtId="190" fontId="41" fillId="26" borderId="50" xfId="35" applyNumberFormat="1" applyFont="1" applyFill="1" applyBorder="1" applyAlignment="1" applyProtection="1">
      <alignment horizontal="center" vertical="center"/>
      <protection hidden="1"/>
    </xf>
    <xf numFmtId="190" fontId="41" fillId="26" borderId="52" xfId="0" applyNumberFormat="1" applyFont="1" applyFill="1" applyBorder="1" applyAlignment="1" applyProtection="1">
      <alignment horizontal="center"/>
      <protection hidden="1"/>
    </xf>
    <xf numFmtId="190" fontId="41" fillId="26" borderId="10" xfId="0" applyNumberFormat="1" applyFont="1" applyFill="1" applyBorder="1" applyAlignment="1" applyProtection="1">
      <alignment horizontal="center"/>
      <protection hidden="1"/>
    </xf>
    <xf numFmtId="0" fontId="155" fillId="0" borderId="0" xfId="0" applyNumberFormat="1" applyFont="1" applyFill="1" applyBorder="1">
      <alignment vertical="center"/>
    </xf>
    <xf numFmtId="190" fontId="41" fillId="24" borderId="52" xfId="0" applyNumberFormat="1" applyFont="1" applyFill="1" applyBorder="1" applyAlignment="1" applyProtection="1">
      <alignment horizontal="center"/>
      <protection hidden="1"/>
    </xf>
    <xf numFmtId="190" fontId="41" fillId="24" borderId="10" xfId="0" applyNumberFormat="1" applyFont="1" applyFill="1" applyBorder="1" applyAlignment="1" applyProtection="1">
      <alignment horizontal="center"/>
      <protection hidden="1"/>
    </xf>
    <xf numFmtId="190" fontId="27" fillId="24" borderId="52"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protection hidden="1"/>
    </xf>
    <xf numFmtId="190" fontId="41" fillId="24" borderId="52" xfId="35" applyNumberFormat="1" applyFont="1" applyFill="1" applyBorder="1" applyAlignment="1" applyProtection="1">
      <alignment horizontal="center" vertical="center"/>
      <protection hidden="1"/>
    </xf>
    <xf numFmtId="187" fontId="27" fillId="24" borderId="10" xfId="35" applyNumberFormat="1" applyFont="1" applyFill="1" applyBorder="1" applyAlignment="1" applyProtection="1">
      <protection hidden="1"/>
    </xf>
    <xf numFmtId="0" fontId="41" fillId="0" borderId="0" xfId="0" applyFont="1" applyFill="1" applyBorder="1" applyProtection="1">
      <alignment vertical="center"/>
      <protection hidden="1"/>
    </xf>
    <xf numFmtId="49" fontId="27" fillId="24" borderId="10" xfId="0" applyNumberFormat="1" applyFont="1" applyFill="1" applyBorder="1" applyAlignment="1" applyProtection="1">
      <alignment horizontal="left" vertical="center"/>
      <protection hidden="1"/>
    </xf>
    <xf numFmtId="0" fontId="27" fillId="24" borderId="51" xfId="0" applyNumberFormat="1" applyFont="1" applyFill="1" applyBorder="1" applyAlignment="1" applyProtection="1">
      <alignment horizontal="left" vertical="center" shrinkToFit="1"/>
      <protection hidden="1"/>
    </xf>
    <xf numFmtId="0" fontId="27" fillId="24" borderId="50" xfId="0" applyNumberFormat="1" applyFont="1" applyFill="1" applyBorder="1" applyAlignment="1" applyProtection="1">
      <alignment horizontal="left" vertical="center" shrinkToFit="1"/>
      <protection hidden="1"/>
    </xf>
    <xf numFmtId="186" fontId="67" fillId="0" borderId="0" xfId="35" applyNumberFormat="1" applyFont="1" applyFill="1" applyBorder="1" applyAlignment="1"/>
    <xf numFmtId="177" fontId="164" fillId="0" borderId="0" xfId="35" applyNumberFormat="1" applyFont="1" applyFill="1" applyBorder="1" applyAlignment="1" applyProtection="1">
      <alignment horizontal="left"/>
      <protection hidden="1"/>
    </xf>
    <xf numFmtId="0" fontId="166" fillId="0" borderId="0" xfId="0" applyNumberFormat="1" applyFont="1" applyFill="1" applyBorder="1" applyAlignment="1" applyProtection="1">
      <alignment horizontal="left" vertical="center"/>
      <protection hidden="1"/>
    </xf>
    <xf numFmtId="177" fontId="67" fillId="0" borderId="0" xfId="35" applyNumberFormat="1" applyFont="1" applyFill="1" applyBorder="1" applyAlignment="1" applyProtection="1">
      <protection hidden="1"/>
    </xf>
    <xf numFmtId="0" fontId="6" fillId="38" borderId="50" xfId="0" applyFont="1" applyFill="1" applyBorder="1" applyAlignment="1" applyProtection="1">
      <alignment horizontal="centerContinuous" vertical="center"/>
      <protection hidden="1"/>
    </xf>
    <xf numFmtId="177" fontId="67" fillId="38" borderId="10" xfId="35" applyNumberFormat="1" applyFont="1" applyFill="1" applyBorder="1" applyAlignment="1" applyProtection="1">
      <alignment horizontal="centerContinuous" vertical="center"/>
      <protection hidden="1"/>
    </xf>
    <xf numFmtId="0" fontId="67" fillId="38" borderId="51" xfId="0" applyFont="1" applyFill="1" applyBorder="1" applyAlignment="1" applyProtection="1">
      <alignment horizontal="centerContinuous" vertical="center"/>
      <protection hidden="1"/>
    </xf>
    <xf numFmtId="0" fontId="6" fillId="38" borderId="24" xfId="0" applyFont="1" applyFill="1" applyBorder="1" applyAlignment="1" applyProtection="1">
      <alignment horizontal="left" vertical="center"/>
      <protection hidden="1"/>
    </xf>
    <xf numFmtId="186" fontId="67" fillId="38" borderId="52" xfId="35" applyNumberFormat="1" applyFont="1" applyFill="1" applyBorder="1" applyAlignment="1" applyProtection="1">
      <protection hidden="1"/>
    </xf>
    <xf numFmtId="186" fontId="29" fillId="38" borderId="52" xfId="35" applyNumberFormat="1" applyFont="1" applyFill="1" applyBorder="1" applyAlignment="1" applyProtection="1">
      <protection hidden="1"/>
    </xf>
    <xf numFmtId="186" fontId="155" fillId="26" borderId="10" xfId="35" applyNumberFormat="1" applyFont="1" applyFill="1" applyBorder="1" applyAlignment="1" applyProtection="1">
      <alignment horizontal="right"/>
      <protection hidden="1"/>
    </xf>
    <xf numFmtId="186" fontId="155" fillId="24" borderId="10" xfId="35" applyNumberFormat="1" applyFont="1" applyFill="1" applyBorder="1" applyAlignment="1" applyProtection="1">
      <alignment horizontal="right"/>
      <protection hidden="1"/>
    </xf>
    <xf numFmtId="186" fontId="67" fillId="24" borderId="10" xfId="0" applyNumberFormat="1" applyFont="1" applyFill="1" applyBorder="1" applyProtection="1">
      <alignment vertical="center"/>
      <protection hidden="1"/>
    </xf>
    <xf numFmtId="186" fontId="41" fillId="24" borderId="10" xfId="0" applyNumberFormat="1" applyFont="1" applyFill="1" applyBorder="1" applyAlignment="1" applyProtection="1">
      <alignment vertical="center"/>
      <protection hidden="1"/>
    </xf>
    <xf numFmtId="187" fontId="41" fillId="24" borderId="10" xfId="0" applyNumberFormat="1" applyFont="1" applyFill="1" applyBorder="1" applyAlignment="1" applyProtection="1">
      <alignment vertical="center"/>
      <protection hidden="1"/>
    </xf>
    <xf numFmtId="2" fontId="41" fillId="24" borderId="10" xfId="35" applyNumberFormat="1" applyFont="1" applyFill="1" applyBorder="1" applyAlignment="1" applyProtection="1">
      <alignment horizontal="center"/>
      <protection hidden="1"/>
    </xf>
    <xf numFmtId="2" fontId="41" fillId="24" borderId="50" xfId="35" applyNumberFormat="1" applyFont="1" applyFill="1" applyBorder="1" applyAlignment="1" applyProtection="1">
      <alignment horizontal="center" vertical="center"/>
      <protection hidden="1"/>
    </xf>
    <xf numFmtId="186" fontId="67" fillId="24" borderId="10" xfId="35" applyNumberFormat="1" applyFont="1" applyFill="1" applyBorder="1" applyAlignment="1" applyProtection="1">
      <alignment horizontal="right"/>
      <protection hidden="1"/>
    </xf>
    <xf numFmtId="177" fontId="27" fillId="24" borderId="50" xfId="0" applyNumberFormat="1" applyFont="1" applyFill="1" applyBorder="1" applyAlignment="1" applyProtection="1">
      <alignment horizontal="center" vertical="center"/>
      <protection hidden="1"/>
    </xf>
    <xf numFmtId="2" fontId="27" fillId="24" borderId="10" xfId="0" applyNumberFormat="1" applyFont="1" applyFill="1" applyBorder="1" applyAlignment="1" applyProtection="1">
      <alignment horizontal="center"/>
      <protection hidden="1"/>
    </xf>
    <xf numFmtId="186" fontId="27" fillId="24" borderId="10" xfId="35" applyNumberFormat="1" applyFont="1" applyFill="1" applyBorder="1" applyAlignment="1" applyProtection="1">
      <alignment horizontal="right"/>
      <protection hidden="1"/>
    </xf>
    <xf numFmtId="40" fontId="27" fillId="0" borderId="0" xfId="35" applyNumberFormat="1" applyFont="1" applyFill="1" applyBorder="1" applyAlignment="1" applyProtection="1">
      <alignment vertical="center"/>
      <protection hidden="1"/>
    </xf>
    <xf numFmtId="0" fontId="27" fillId="24" borderId="10" xfId="0" applyNumberFormat="1" applyFont="1" applyFill="1" applyBorder="1" applyAlignment="1" applyProtection="1">
      <alignment horizontal="center" vertical="center"/>
      <protection hidden="1"/>
    </xf>
    <xf numFmtId="0" fontId="27" fillId="0" borderId="0" xfId="35" applyNumberFormat="1" applyFont="1" applyFill="1" applyBorder="1" applyAlignment="1">
      <alignment vertical="center"/>
    </xf>
    <xf numFmtId="2" fontId="27" fillId="24" borderId="10" xfId="0" applyNumberFormat="1" applyFont="1" applyFill="1" applyBorder="1" applyAlignment="1" applyProtection="1">
      <alignment horizontal="left" vertical="center"/>
      <protection hidden="1"/>
    </xf>
    <xf numFmtId="186" fontId="27" fillId="24" borderId="10" xfId="0" applyNumberFormat="1" applyFont="1" applyFill="1" applyBorder="1" applyProtection="1">
      <alignment vertical="center"/>
      <protection hidden="1"/>
    </xf>
    <xf numFmtId="0" fontId="27" fillId="24" borderId="10" xfId="0" applyFont="1" applyFill="1" applyBorder="1" applyAlignment="1" applyProtection="1">
      <alignment horizontal="right" vertical="center"/>
      <protection hidden="1"/>
    </xf>
    <xf numFmtId="186" fontId="67" fillId="31" borderId="10" xfId="0" applyNumberFormat="1" applyFont="1" applyFill="1" applyBorder="1" applyProtection="1">
      <alignment vertical="center"/>
      <protection hidden="1"/>
    </xf>
    <xf numFmtId="187" fontId="27" fillId="24" borderId="10" xfId="0" applyNumberFormat="1" applyFont="1" applyFill="1" applyBorder="1">
      <alignment vertical="center"/>
    </xf>
    <xf numFmtId="187" fontId="41" fillId="24" borderId="10" xfId="0" applyNumberFormat="1" applyFont="1" applyFill="1" applyBorder="1">
      <alignment vertical="center"/>
    </xf>
    <xf numFmtId="186" fontId="155" fillId="31" borderId="10" xfId="35" applyNumberFormat="1" applyFont="1" applyFill="1" applyBorder="1" applyAlignment="1" applyProtection="1">
      <alignment horizontal="right"/>
      <protection hidden="1"/>
    </xf>
    <xf numFmtId="40" fontId="29" fillId="38" borderId="10" xfId="35" applyNumberFormat="1" applyFont="1" applyFill="1" applyBorder="1" applyAlignment="1" applyProtection="1">
      <alignment horizontal="center" vertical="top"/>
      <protection hidden="1"/>
    </xf>
    <xf numFmtId="40" fontId="29" fillId="38" borderId="50" xfId="35" applyNumberFormat="1" applyFont="1" applyFill="1" applyBorder="1" applyAlignment="1" applyProtection="1">
      <alignment horizontal="center" vertical="top"/>
      <protection hidden="1"/>
    </xf>
    <xf numFmtId="2" fontId="29" fillId="38" borderId="52" xfId="0" applyNumberFormat="1" applyFont="1" applyFill="1" applyBorder="1" applyAlignment="1" applyProtection="1">
      <alignment horizontal="center" vertical="top"/>
      <protection hidden="1"/>
    </xf>
    <xf numFmtId="2" fontId="29" fillId="38" borderId="10" xfId="0" applyNumberFormat="1" applyFont="1" applyFill="1" applyBorder="1" applyAlignment="1" applyProtection="1">
      <alignment horizontal="center" vertical="top"/>
      <protection hidden="1"/>
    </xf>
    <xf numFmtId="186" fontId="155" fillId="26" borderId="10" xfId="35" applyNumberFormat="1" applyFont="1" applyFill="1" applyBorder="1" applyAlignment="1" applyProtection="1">
      <alignment horizontal="right" vertical="center"/>
      <protection hidden="1"/>
    </xf>
    <xf numFmtId="49" fontId="155" fillId="24" borderId="10" xfId="0" quotePrefix="1" applyNumberFormat="1" applyFont="1" applyFill="1" applyBorder="1" applyAlignment="1" applyProtection="1">
      <alignment horizontal="left" vertical="center"/>
      <protection hidden="1"/>
    </xf>
    <xf numFmtId="0" fontId="41" fillId="24" borderId="52" xfId="0" applyNumberFormat="1" applyFont="1" applyFill="1" applyBorder="1" applyAlignment="1" applyProtection="1">
      <alignment horizontal="left" vertical="center"/>
      <protection hidden="1"/>
    </xf>
    <xf numFmtId="0" fontId="27" fillId="24" borderId="52" xfId="0" applyNumberFormat="1" applyFont="1" applyFill="1" applyBorder="1" applyAlignment="1" applyProtection="1">
      <alignment horizontal="left" vertical="center"/>
      <protection hidden="1"/>
    </xf>
    <xf numFmtId="0" fontId="37" fillId="24" borderId="52" xfId="0" applyNumberFormat="1" applyFont="1" applyFill="1" applyBorder="1" applyAlignment="1" applyProtection="1">
      <alignment horizontal="left" vertical="center"/>
      <protection hidden="1"/>
    </xf>
    <xf numFmtId="2" fontId="155" fillId="24" borderId="52" xfId="35" applyNumberFormat="1" applyFont="1" applyFill="1" applyBorder="1" applyAlignment="1" applyProtection="1">
      <alignment horizontal="center" vertical="center"/>
      <protection hidden="1"/>
    </xf>
    <xf numFmtId="0" fontId="27" fillId="24" borderId="10" xfId="0" applyNumberFormat="1" applyFont="1" applyFill="1" applyBorder="1" applyAlignment="1" applyProtection="1">
      <alignment horizontal="left" vertical="center" shrinkToFit="1"/>
      <protection hidden="1"/>
    </xf>
    <xf numFmtId="49" fontId="67" fillId="0" borderId="0" xfId="35" applyNumberFormat="1" applyFont="1" applyFill="1" applyBorder="1" applyAlignment="1">
      <alignment horizontal="left"/>
    </xf>
    <xf numFmtId="49" fontId="164" fillId="0" borderId="0" xfId="0" applyNumberFormat="1" applyFont="1" applyFill="1" applyBorder="1" applyAlignment="1" applyProtection="1">
      <alignment horizontal="left" vertical="center"/>
      <protection hidden="1"/>
    </xf>
    <xf numFmtId="0" fontId="6" fillId="38" borderId="10" xfId="0" applyFont="1" applyFill="1" applyBorder="1" applyAlignment="1" applyProtection="1">
      <alignment horizontal="left" vertical="center"/>
      <protection hidden="1"/>
    </xf>
    <xf numFmtId="0" fontId="27" fillId="24" borderId="55" xfId="0" applyNumberFormat="1" applyFont="1" applyFill="1" applyBorder="1" applyAlignment="1" applyProtection="1">
      <alignment horizontal="left" vertical="center"/>
      <protection hidden="1"/>
    </xf>
    <xf numFmtId="0" fontId="27" fillId="24" borderId="52" xfId="0" applyFont="1" applyFill="1" applyBorder="1" applyAlignment="1" applyProtection="1">
      <alignment vertical="center"/>
      <protection hidden="1"/>
    </xf>
    <xf numFmtId="187" fontId="41" fillId="24" borderId="10" xfId="35" applyNumberFormat="1" applyFont="1" applyFill="1" applyBorder="1" applyAlignment="1" applyProtection="1">
      <protection hidden="1"/>
    </xf>
    <xf numFmtId="49" fontId="41" fillId="24" borderId="10" xfId="0" applyNumberFormat="1" applyFont="1" applyFill="1" applyBorder="1" applyAlignment="1" applyProtection="1">
      <alignment horizontal="left" vertical="center"/>
      <protection hidden="1"/>
    </xf>
    <xf numFmtId="0" fontId="27" fillId="24" borderId="52" xfId="0" applyNumberFormat="1" applyFont="1" applyFill="1" applyBorder="1" applyAlignment="1" applyProtection="1">
      <alignment horizontal="left" vertical="center" shrinkToFit="1"/>
      <protection hidden="1"/>
    </xf>
    <xf numFmtId="0" fontId="0" fillId="0" borderId="0" xfId="0" applyAlignment="1">
      <alignment horizontal="left" vertical="center"/>
    </xf>
    <xf numFmtId="0" fontId="6" fillId="0" borderId="0" xfId="0" applyFont="1">
      <alignment vertical="center"/>
    </xf>
    <xf numFmtId="38" fontId="164" fillId="0" borderId="0" xfId="35" applyFont="1" applyFill="1" applyBorder="1" applyAlignment="1" applyProtection="1">
      <protection hidden="1"/>
    </xf>
    <xf numFmtId="0" fontId="27" fillId="38" borderId="60" xfId="0" applyFont="1" applyFill="1" applyBorder="1" applyAlignment="1" applyProtection="1">
      <alignment vertical="center"/>
      <protection hidden="1"/>
    </xf>
    <xf numFmtId="40" fontId="67" fillId="38" borderId="10" xfId="35" applyNumberFormat="1" applyFont="1" applyFill="1" applyBorder="1" applyAlignment="1" applyProtection="1">
      <alignment horizontal="center" vertical="top"/>
      <protection hidden="1"/>
    </xf>
    <xf numFmtId="40" fontId="67" fillId="38" borderId="50" xfId="35" applyNumberFormat="1" applyFont="1" applyFill="1" applyBorder="1" applyAlignment="1" applyProtection="1">
      <alignment horizontal="center" vertical="top"/>
      <protection hidden="1"/>
    </xf>
    <xf numFmtId="0" fontId="60" fillId="38" borderId="60" xfId="0" applyFont="1" applyFill="1" applyBorder="1" applyAlignment="1" applyProtection="1">
      <alignment vertical="center"/>
      <protection hidden="1"/>
    </xf>
    <xf numFmtId="187" fontId="41" fillId="26" borderId="10" xfId="0" applyNumberFormat="1" applyFont="1" applyFill="1" applyBorder="1" applyAlignment="1" applyProtection="1">
      <alignment vertical="center"/>
      <protection hidden="1"/>
    </xf>
    <xf numFmtId="190" fontId="155" fillId="26" borderId="10" xfId="35" applyNumberFormat="1" applyFont="1" applyFill="1" applyBorder="1" applyAlignment="1" applyProtection="1">
      <alignment horizontal="center" vertical="center"/>
      <protection hidden="1"/>
    </xf>
    <xf numFmtId="190" fontId="155" fillId="26" borderId="52" xfId="35" applyNumberFormat="1" applyFont="1" applyFill="1" applyBorder="1" applyAlignment="1" applyProtection="1">
      <alignment horizontal="center" vertical="center"/>
      <protection hidden="1"/>
    </xf>
    <xf numFmtId="190" fontId="155" fillId="24" borderId="10" xfId="35" applyNumberFormat="1" applyFont="1" applyFill="1" applyBorder="1" applyAlignment="1" applyProtection="1">
      <alignment horizontal="center"/>
      <protection hidden="1"/>
    </xf>
    <xf numFmtId="190" fontId="155" fillId="24" borderId="50" xfId="35" applyNumberFormat="1" applyFont="1" applyFill="1" applyBorder="1" applyAlignment="1" applyProtection="1">
      <alignment horizontal="center" vertical="center"/>
      <protection hidden="1"/>
    </xf>
    <xf numFmtId="190" fontId="155" fillId="24" borderId="52" xfId="35" applyNumberFormat="1" applyFont="1" applyFill="1" applyBorder="1" applyAlignment="1" applyProtection="1">
      <alignment horizontal="center"/>
      <protection hidden="1"/>
    </xf>
    <xf numFmtId="190" fontId="67" fillId="24" borderId="10" xfId="35" applyNumberFormat="1" applyFont="1" applyFill="1" applyBorder="1" applyAlignment="1" applyProtection="1">
      <alignment horizontal="center" vertical="center"/>
      <protection hidden="1"/>
    </xf>
    <xf numFmtId="190" fontId="67" fillId="24" borderId="52" xfId="35" applyNumberFormat="1" applyFont="1" applyFill="1" applyBorder="1" applyAlignment="1" applyProtection="1">
      <alignment horizontal="center" vertical="center"/>
      <protection hidden="1"/>
    </xf>
    <xf numFmtId="190" fontId="67" fillId="24" borderId="50" xfId="35" applyNumberFormat="1" applyFont="1" applyFill="1" applyBorder="1" applyAlignment="1" applyProtection="1">
      <alignment horizontal="center" vertical="center"/>
      <protection hidden="1"/>
    </xf>
    <xf numFmtId="190" fontId="155" fillId="24" borderId="50" xfId="0" applyNumberFormat="1" applyFont="1" applyFill="1" applyBorder="1" applyAlignment="1" applyProtection="1">
      <alignment horizontal="center" vertical="center"/>
      <protection hidden="1"/>
    </xf>
    <xf numFmtId="190" fontId="67" fillId="24" borderId="50" xfId="0" applyNumberFormat="1" applyFont="1" applyFill="1" applyBorder="1" applyAlignment="1" applyProtection="1">
      <alignment horizontal="center" vertical="center"/>
      <protection hidden="1"/>
    </xf>
    <xf numFmtId="190" fontId="67" fillId="24" borderId="10" xfId="0" applyNumberFormat="1" applyFont="1" applyFill="1" applyBorder="1" applyAlignment="1" applyProtection="1">
      <alignment horizontal="center"/>
      <protection hidden="1"/>
    </xf>
    <xf numFmtId="190" fontId="155" fillId="24" borderId="10" xfId="35" applyNumberFormat="1" applyFont="1" applyFill="1" applyBorder="1" applyAlignment="1" applyProtection="1">
      <alignment horizontal="center" vertical="center"/>
      <protection hidden="1"/>
    </xf>
    <xf numFmtId="190" fontId="155" fillId="24" borderId="52" xfId="35" applyNumberFormat="1" applyFont="1" applyFill="1" applyBorder="1" applyAlignment="1" applyProtection="1">
      <alignment horizontal="center" vertical="center"/>
      <protection hidden="1"/>
    </xf>
    <xf numFmtId="0" fontId="6" fillId="40" borderId="0" xfId="0" applyFont="1" applyFill="1">
      <alignment vertical="center"/>
    </xf>
    <xf numFmtId="190" fontId="155" fillId="24" borderId="50" xfId="35" applyNumberFormat="1" applyFont="1" applyFill="1" applyBorder="1" applyAlignment="1" applyProtection="1">
      <alignment horizontal="center"/>
      <protection hidden="1"/>
    </xf>
    <xf numFmtId="190" fontId="67" fillId="31" borderId="10" xfId="35" applyNumberFormat="1" applyFont="1" applyFill="1" applyBorder="1" applyAlignment="1" applyProtection="1">
      <alignment horizontal="center" vertical="center"/>
      <protection hidden="1"/>
    </xf>
    <xf numFmtId="190" fontId="67" fillId="31" borderId="50" xfId="35" applyNumberFormat="1" applyFont="1" applyFill="1" applyBorder="1" applyAlignment="1" applyProtection="1">
      <alignment horizontal="center" vertical="center"/>
      <protection hidden="1"/>
    </xf>
    <xf numFmtId="190" fontId="67" fillId="31" borderId="52" xfId="35" applyNumberFormat="1" applyFont="1" applyFill="1" applyBorder="1" applyAlignment="1" applyProtection="1">
      <alignment horizontal="center" vertical="center"/>
      <protection hidden="1"/>
    </xf>
    <xf numFmtId="190" fontId="67" fillId="24" borderId="10" xfId="35" applyNumberFormat="1" applyFont="1" applyFill="1" applyBorder="1" applyAlignment="1" applyProtection="1">
      <alignment horizontal="center"/>
      <protection hidden="1"/>
    </xf>
    <xf numFmtId="190" fontId="67" fillId="24" borderId="52" xfId="35" applyNumberFormat="1" applyFont="1" applyFill="1" applyBorder="1" applyAlignment="1" applyProtection="1">
      <alignment horizontal="center"/>
      <protection hidden="1"/>
    </xf>
    <xf numFmtId="2" fontId="67" fillId="24" borderId="10" xfId="0" applyNumberFormat="1" applyFont="1" applyFill="1" applyBorder="1" applyAlignment="1" applyProtection="1">
      <alignment horizontal="left" vertical="center" shrinkToFit="1"/>
      <protection hidden="1"/>
    </xf>
    <xf numFmtId="190" fontId="155" fillId="31" borderId="10" xfId="35" applyNumberFormat="1" applyFont="1" applyFill="1" applyBorder="1" applyAlignment="1" applyProtection="1">
      <alignment horizontal="center"/>
      <protection hidden="1"/>
    </xf>
    <xf numFmtId="190" fontId="155" fillId="31" borderId="50" xfId="35" applyNumberFormat="1" applyFont="1" applyFill="1" applyBorder="1" applyAlignment="1" applyProtection="1">
      <alignment horizontal="center"/>
      <protection hidden="1"/>
    </xf>
    <xf numFmtId="190" fontId="155" fillId="31" borderId="52" xfId="35" applyNumberFormat="1" applyFont="1" applyFill="1" applyBorder="1" applyAlignment="1" applyProtection="1">
      <alignment horizontal="center"/>
      <protection hidden="1"/>
    </xf>
    <xf numFmtId="190" fontId="29" fillId="38" borderId="10" xfId="0" applyNumberFormat="1" applyFont="1" applyFill="1" applyBorder="1" applyAlignment="1" applyProtection="1">
      <alignment horizontal="center" vertical="top"/>
      <protection hidden="1"/>
    </xf>
    <xf numFmtId="187" fontId="155" fillId="24" borderId="22" xfId="35" applyNumberFormat="1" applyFont="1" applyFill="1" applyBorder="1" applyAlignment="1" applyProtection="1">
      <protection hidden="1"/>
    </xf>
    <xf numFmtId="0" fontId="41" fillId="24" borderId="10" xfId="0" applyNumberFormat="1" applyFont="1" applyFill="1" applyBorder="1" applyAlignment="1" applyProtection="1">
      <alignment horizontal="left" vertical="center" shrinkToFit="1"/>
      <protection hidden="1"/>
    </xf>
    <xf numFmtId="190" fontId="155" fillId="26" borderId="50" xfId="35" applyNumberFormat="1" applyFont="1" applyFill="1" applyBorder="1" applyAlignment="1" applyProtection="1">
      <alignment horizontal="center" vertical="center"/>
      <protection hidden="1"/>
    </xf>
    <xf numFmtId="190" fontId="155" fillId="26" borderId="52" xfId="0" applyNumberFormat="1" applyFont="1" applyFill="1" applyBorder="1" applyAlignment="1" applyProtection="1">
      <alignment horizontal="center"/>
      <protection hidden="1"/>
    </xf>
    <xf numFmtId="190" fontId="155" fillId="26" borderId="10" xfId="0" applyNumberFormat="1" applyFont="1" applyFill="1" applyBorder="1" applyAlignment="1" applyProtection="1">
      <alignment horizontal="center"/>
      <protection hidden="1"/>
    </xf>
    <xf numFmtId="190" fontId="155" fillId="24" borderId="52" xfId="0" applyNumberFormat="1" applyFont="1" applyFill="1" applyBorder="1" applyAlignment="1" applyProtection="1">
      <alignment horizontal="center"/>
      <protection hidden="1"/>
    </xf>
    <xf numFmtId="190" fontId="155" fillId="24" borderId="10" xfId="0" applyNumberFormat="1" applyFont="1" applyFill="1" applyBorder="1" applyAlignment="1" applyProtection="1">
      <alignment horizontal="center"/>
      <protection hidden="1"/>
    </xf>
    <xf numFmtId="190" fontId="67" fillId="24" borderId="52" xfId="0" applyNumberFormat="1" applyFont="1" applyFill="1" applyBorder="1" applyAlignment="1" applyProtection="1">
      <alignment horizontal="center"/>
      <protection hidden="1"/>
    </xf>
    <xf numFmtId="0" fontId="41" fillId="24" borderId="10" xfId="0" applyFont="1" applyFill="1" applyBorder="1" applyAlignment="1" applyProtection="1">
      <alignment horizontal="left" vertical="center" shrinkToFit="1"/>
      <protection hidden="1"/>
    </xf>
    <xf numFmtId="0" fontId="67" fillId="24" borderId="1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44" fillId="0" borderId="0" xfId="0" applyFont="1" applyFill="1" applyProtection="1">
      <alignment vertical="center"/>
      <protection hidden="1"/>
    </xf>
    <xf numFmtId="0" fontId="170" fillId="31" borderId="90" xfId="0" applyFont="1" applyFill="1" applyBorder="1" applyAlignment="1" applyProtection="1">
      <alignment horizontal="center"/>
      <protection hidden="1"/>
    </xf>
    <xf numFmtId="0" fontId="171" fillId="31" borderId="0" xfId="0" applyNumberFormat="1" applyFont="1" applyFill="1" applyBorder="1" applyAlignment="1" applyProtection="1">
      <alignment horizontal="center" vertical="center"/>
      <protection hidden="1"/>
    </xf>
    <xf numFmtId="0" fontId="172" fillId="31" borderId="0" xfId="0" applyNumberFormat="1" applyFont="1" applyFill="1" applyBorder="1" applyAlignment="1" applyProtection="1">
      <alignment horizontal="left" vertical="center"/>
      <protection hidden="1"/>
    </xf>
    <xf numFmtId="0" fontId="172" fillId="31" borderId="0" xfId="0" applyFont="1" applyFill="1" applyBorder="1" applyAlignment="1" applyProtection="1">
      <alignment horizontal="center" vertical="center"/>
      <protection hidden="1"/>
    </xf>
    <xf numFmtId="0" fontId="170" fillId="31" borderId="90" xfId="0" quotePrefix="1" applyNumberFormat="1" applyFont="1" applyFill="1" applyBorder="1" applyAlignment="1" applyProtection="1">
      <alignment horizontal="left" vertical="center"/>
      <protection hidden="1"/>
    </xf>
    <xf numFmtId="0" fontId="173" fillId="31" borderId="0" xfId="0" applyFont="1" applyFill="1" applyBorder="1" applyAlignment="1" applyProtection="1">
      <alignment horizontal="left"/>
      <protection hidden="1"/>
    </xf>
    <xf numFmtId="0" fontId="174" fillId="31" borderId="0" xfId="0" applyFont="1" applyFill="1" applyBorder="1" applyAlignment="1" applyProtection="1">
      <alignment vertical="center"/>
      <protection hidden="1"/>
    </xf>
    <xf numFmtId="0" fontId="21" fillId="31" borderId="0" xfId="0" applyFont="1" applyFill="1" applyBorder="1" applyAlignment="1" applyProtection="1">
      <alignment vertical="center"/>
      <protection hidden="1"/>
    </xf>
    <xf numFmtId="0" fontId="170" fillId="31" borderId="104" xfId="0" applyFont="1" applyFill="1" applyBorder="1" applyAlignment="1" applyProtection="1">
      <alignment horizontal="center"/>
      <protection hidden="1"/>
    </xf>
    <xf numFmtId="0" fontId="171" fillId="31" borderId="54" xfId="0" applyNumberFormat="1" applyFont="1" applyFill="1" applyBorder="1" applyAlignment="1" applyProtection="1">
      <alignment horizontal="center" vertical="center"/>
      <protection hidden="1"/>
    </xf>
    <xf numFmtId="0" fontId="172" fillId="31" borderId="54" xfId="0" applyNumberFormat="1" applyFont="1" applyFill="1" applyBorder="1" applyAlignment="1" applyProtection="1">
      <alignment horizontal="left" vertical="center"/>
      <protection hidden="1"/>
    </xf>
    <xf numFmtId="0" fontId="172" fillId="31" borderId="54" xfId="0" applyFont="1" applyFill="1" applyBorder="1" applyAlignment="1" applyProtection="1">
      <alignment horizontal="center" vertical="center"/>
      <protection hidden="1"/>
    </xf>
    <xf numFmtId="0" fontId="174" fillId="31" borderId="23" xfId="0" applyFont="1" applyFill="1" applyBorder="1" applyAlignment="1" applyProtection="1">
      <alignment horizontal="center" vertical="center"/>
    </xf>
    <xf numFmtId="0" fontId="174" fillId="31" borderId="54" xfId="0" applyFont="1" applyFill="1" applyBorder="1" applyAlignment="1" applyProtection="1">
      <alignment horizontal="center" vertical="center"/>
    </xf>
    <xf numFmtId="0" fontId="170" fillId="0" borderId="90" xfId="0" quotePrefix="1" applyNumberFormat="1" applyFont="1" applyFill="1" applyBorder="1" applyAlignment="1" applyProtection="1">
      <alignment horizontal="left" vertical="center"/>
      <protection hidden="1"/>
    </xf>
    <xf numFmtId="0" fontId="173" fillId="0" borderId="0" xfId="0" applyFont="1" applyFill="1" applyBorder="1" applyAlignment="1" applyProtection="1">
      <alignment horizontal="left"/>
      <protection hidden="1"/>
    </xf>
    <xf numFmtId="0" fontId="174"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179" fontId="175" fillId="0" borderId="61" xfId="0" applyNumberFormat="1" applyFont="1" applyFill="1" applyBorder="1" applyAlignment="1" applyProtection="1">
      <alignment horizontal="left"/>
    </xf>
    <xf numFmtId="179" fontId="175" fillId="0" borderId="0" xfId="0" applyNumberFormat="1" applyFont="1" applyFill="1" applyBorder="1" applyAlignment="1" applyProtection="1">
      <alignment horizontal="left"/>
    </xf>
    <xf numFmtId="38" fontId="11" fillId="36" borderId="10" xfId="0" applyNumberFormat="1" applyFont="1" applyFill="1" applyBorder="1" applyProtection="1">
      <alignment vertical="center"/>
      <protection hidden="1"/>
    </xf>
    <xf numFmtId="0" fontId="100" fillId="36" borderId="10" xfId="35" applyNumberFormat="1" applyFont="1" applyFill="1" applyBorder="1" applyProtection="1">
      <alignment vertical="center"/>
      <protection hidden="1"/>
    </xf>
    <xf numFmtId="0" fontId="28" fillId="0" borderId="88" xfId="0" applyFont="1" applyFill="1" applyBorder="1" applyAlignment="1" applyProtection="1">
      <alignment horizontal="right" vertical="center"/>
      <protection hidden="1"/>
    </xf>
    <xf numFmtId="0" fontId="28" fillId="0" borderId="205" xfId="0" applyFont="1" applyFill="1" applyBorder="1" applyAlignment="1" applyProtection="1">
      <alignment horizontal="right" vertical="center"/>
      <protection hidden="1"/>
    </xf>
    <xf numFmtId="0" fontId="100" fillId="0" borderId="206" xfId="0" applyFont="1" applyFill="1" applyBorder="1" applyProtection="1">
      <alignment vertical="center"/>
      <protection hidden="1"/>
    </xf>
    <xf numFmtId="0" fontId="28" fillId="0" borderId="88" xfId="0" applyFont="1" applyFill="1" applyBorder="1" applyAlignment="1" applyProtection="1">
      <alignment vertical="center"/>
      <protection hidden="1"/>
    </xf>
    <xf numFmtId="0" fontId="6" fillId="0" borderId="0" xfId="35" applyNumberFormat="1" applyFont="1" applyFill="1" applyBorder="1" applyAlignment="1" applyProtection="1">
      <protection hidden="1"/>
    </xf>
    <xf numFmtId="185" fontId="75" fillId="0" borderId="10" xfId="0" applyNumberFormat="1" applyFont="1" applyFill="1" applyBorder="1" applyProtection="1">
      <alignment vertical="center"/>
      <protection hidden="1"/>
    </xf>
    <xf numFmtId="0" fontId="11" fillId="0" borderId="0" xfId="0" applyFont="1" applyFill="1" applyProtection="1">
      <alignment vertical="center"/>
      <protection hidden="1"/>
    </xf>
    <xf numFmtId="178" fontId="27" fillId="24" borderId="50" xfId="0" applyNumberFormat="1" applyFont="1" applyFill="1" applyBorder="1" applyAlignment="1" applyProtection="1">
      <alignment horizontal="center" vertical="center"/>
      <protection hidden="1"/>
    </xf>
    <xf numFmtId="0" fontId="6" fillId="0" borderId="0" xfId="35" applyNumberFormat="1" applyFont="1" applyFill="1" applyBorder="1" applyAlignment="1" applyProtection="1">
      <alignment wrapText="1"/>
      <protection hidden="1"/>
    </xf>
    <xf numFmtId="0" fontId="50" fillId="0" borderId="205" xfId="0" applyFont="1" applyFill="1" applyBorder="1" applyAlignment="1" applyProtection="1">
      <alignment horizontal="right" vertical="center"/>
      <protection hidden="1"/>
    </xf>
    <xf numFmtId="0" fontId="11" fillId="0" borderId="23" xfId="0" applyFont="1" applyFill="1" applyBorder="1" applyProtection="1">
      <alignment vertical="center"/>
      <protection hidden="1"/>
    </xf>
    <xf numFmtId="0" fontId="100" fillId="0" borderId="23" xfId="0" applyFont="1" applyFill="1" applyBorder="1" applyProtection="1">
      <alignment vertical="center"/>
      <protection hidden="1"/>
    </xf>
    <xf numFmtId="0" fontId="100" fillId="36" borderId="163" xfId="0" applyFont="1" applyFill="1" applyBorder="1" applyProtection="1">
      <alignment vertical="center"/>
      <protection hidden="1"/>
    </xf>
    <xf numFmtId="9" fontId="100" fillId="0" borderId="163" xfId="0" applyNumberFormat="1" applyFont="1" applyFill="1" applyBorder="1" applyProtection="1">
      <alignment vertical="center"/>
      <protection hidden="1"/>
    </xf>
    <xf numFmtId="0" fontId="100" fillId="0" borderId="78" xfId="0" applyFont="1" applyFill="1" applyBorder="1" applyProtection="1">
      <alignment vertical="center"/>
      <protection hidden="1"/>
    </xf>
    <xf numFmtId="0" fontId="100" fillId="36" borderId="121" xfId="0" applyFont="1" applyFill="1" applyBorder="1" applyProtection="1">
      <alignment vertical="center"/>
      <protection hidden="1"/>
    </xf>
    <xf numFmtId="9" fontId="100" fillId="0" borderId="121" xfId="0" applyNumberFormat="1" applyFont="1" applyFill="1" applyBorder="1" applyProtection="1">
      <alignment vertical="center"/>
      <protection hidden="1"/>
    </xf>
    <xf numFmtId="0" fontId="100" fillId="0" borderId="198" xfId="0" applyFont="1" applyFill="1" applyBorder="1" applyProtection="1">
      <alignment vertical="center"/>
      <protection hidden="1"/>
    </xf>
    <xf numFmtId="0" fontId="6" fillId="0" borderId="109" xfId="0" applyFont="1" applyFill="1" applyBorder="1" applyAlignment="1" applyProtection="1">
      <alignment horizontal="center" vertical="center"/>
      <protection hidden="1"/>
    </xf>
    <xf numFmtId="0" fontId="75" fillId="0" borderId="118" xfId="0" applyFont="1" applyFill="1" applyBorder="1" applyProtection="1">
      <alignment vertical="center"/>
      <protection hidden="1"/>
    </xf>
    <xf numFmtId="0" fontId="75" fillId="0" borderId="145" xfId="0" applyFont="1" applyFill="1" applyBorder="1" applyProtection="1">
      <alignment vertical="center"/>
      <protection hidden="1"/>
    </xf>
    <xf numFmtId="0" fontId="75" fillId="0" borderId="0" xfId="0" applyFont="1" applyFill="1" applyBorder="1" applyAlignment="1" applyProtection="1">
      <alignment vertical="center" wrapText="1"/>
      <protection hidden="1"/>
    </xf>
    <xf numFmtId="38" fontId="100" fillId="36" borderId="163" xfId="0" applyNumberFormat="1" applyFont="1" applyFill="1" applyBorder="1" applyProtection="1">
      <alignment vertical="center"/>
      <protection hidden="1"/>
    </xf>
    <xf numFmtId="38" fontId="100" fillId="36" borderId="121" xfId="0" applyNumberFormat="1" applyFont="1" applyFill="1" applyBorder="1" applyProtection="1">
      <alignment vertical="center"/>
      <protection hidden="1"/>
    </xf>
    <xf numFmtId="0" fontId="27" fillId="24" borderId="51" xfId="0" applyFont="1" applyFill="1" applyBorder="1" applyAlignment="1">
      <alignment horizontal="center" vertical="center" wrapText="1"/>
    </xf>
    <xf numFmtId="178" fontId="27" fillId="24" borderId="200" xfId="0" quotePrefix="1" applyNumberFormat="1" applyFont="1" applyFill="1" applyBorder="1" applyAlignment="1">
      <alignment horizontal="center" vertical="center"/>
    </xf>
    <xf numFmtId="177" fontId="27" fillId="24" borderId="200" xfId="0" applyNumberFormat="1" applyFont="1" applyFill="1" applyBorder="1" applyAlignment="1">
      <alignment horizontal="center" vertical="center"/>
    </xf>
    <xf numFmtId="178" fontId="27" fillId="24" borderId="56" xfId="0" applyNumberFormat="1" applyFont="1" applyFill="1" applyBorder="1" applyAlignment="1">
      <alignment horizontal="center" vertical="center" wrapText="1"/>
    </xf>
    <xf numFmtId="178" fontId="27" fillId="24" borderId="56" xfId="0" applyNumberFormat="1" applyFont="1" applyFill="1" applyBorder="1" applyAlignment="1">
      <alignment horizontal="center" vertical="center"/>
    </xf>
    <xf numFmtId="0" fontId="27" fillId="24" borderId="56" xfId="0" applyFont="1" applyFill="1" applyBorder="1" applyAlignment="1" applyProtection="1">
      <alignment vertical="center" wrapText="1"/>
      <protection locked="0"/>
    </xf>
    <xf numFmtId="178" fontId="27" fillId="24" borderId="61" xfId="0" applyNumberFormat="1" applyFont="1" applyFill="1" applyBorder="1" applyAlignment="1">
      <alignment horizontal="right" vertical="center" wrapText="1"/>
    </xf>
    <xf numFmtId="178" fontId="27" fillId="24" borderId="200" xfId="0" applyNumberFormat="1" applyFont="1" applyFill="1" applyBorder="1" applyAlignment="1">
      <alignment horizontal="right" vertical="center" wrapText="1"/>
    </xf>
    <xf numFmtId="0" fontId="27" fillId="24" borderId="200" xfId="0" applyFont="1" applyFill="1" applyBorder="1" applyAlignment="1" applyProtection="1">
      <alignment vertical="center" wrapText="1"/>
      <protection locked="0"/>
    </xf>
    <xf numFmtId="178" fontId="27" fillId="24" borderId="22" xfId="0" applyNumberFormat="1" applyFont="1" applyFill="1" applyBorder="1" applyAlignment="1">
      <alignment horizontal="center" vertical="center"/>
    </xf>
    <xf numFmtId="178" fontId="27" fillId="24" borderId="22" xfId="0" quotePrefix="1" applyNumberFormat="1" applyFont="1" applyFill="1" applyBorder="1" applyAlignment="1">
      <alignment horizontal="center" vertical="center"/>
    </xf>
    <xf numFmtId="0" fontId="27" fillId="24" borderId="22" xfId="0" applyFont="1" applyFill="1" applyBorder="1" applyAlignment="1" applyProtection="1">
      <alignment vertical="center" wrapText="1"/>
    </xf>
    <xf numFmtId="178" fontId="27" fillId="24" borderId="61" xfId="0" quotePrefix="1" applyNumberFormat="1" applyFont="1" applyFill="1" applyBorder="1" applyAlignment="1">
      <alignment horizontal="center" vertical="center"/>
    </xf>
    <xf numFmtId="0" fontId="27" fillId="24" borderId="56" xfId="0" applyFont="1" applyFill="1" applyBorder="1" applyAlignment="1">
      <alignment horizontal="left" vertical="center" wrapText="1"/>
    </xf>
    <xf numFmtId="178" fontId="27" fillId="24" borderId="56" xfId="0" quotePrefix="1" applyNumberFormat="1" applyFont="1" applyFill="1" applyBorder="1" applyAlignment="1">
      <alignment horizontal="center" vertical="center"/>
    </xf>
    <xf numFmtId="178" fontId="27" fillId="24" borderId="22" xfId="0" applyNumberFormat="1" applyFont="1" applyFill="1" applyBorder="1" applyAlignment="1">
      <alignment horizontal="left" vertical="center" wrapText="1"/>
    </xf>
    <xf numFmtId="177" fontId="27" fillId="27" borderId="200" xfId="0" applyNumberFormat="1" applyFont="1" applyFill="1" applyBorder="1" applyAlignment="1" applyProtection="1">
      <alignment horizontal="center" vertical="center"/>
      <protection locked="0"/>
    </xf>
    <xf numFmtId="177" fontId="27" fillId="27" borderId="56" xfId="0" applyNumberFormat="1" applyFont="1" applyFill="1" applyBorder="1" applyAlignment="1" applyProtection="1">
      <alignment horizontal="center" vertical="center"/>
      <protection locked="0"/>
    </xf>
    <xf numFmtId="177" fontId="27" fillId="27" borderId="61" xfId="0" applyNumberFormat="1" applyFont="1" applyFill="1" applyBorder="1" applyAlignment="1" applyProtection="1">
      <alignment horizontal="center" vertical="center"/>
      <protection locked="0"/>
    </xf>
    <xf numFmtId="178" fontId="27" fillId="27" borderId="22" xfId="0" applyNumberFormat="1" applyFont="1" applyFill="1" applyBorder="1" applyAlignment="1" applyProtection="1">
      <alignment horizontal="center" vertical="center"/>
      <protection locked="0"/>
    </xf>
    <xf numFmtId="0" fontId="27" fillId="27" borderId="150" xfId="0" applyFont="1" applyFill="1" applyBorder="1" applyAlignment="1" applyProtection="1">
      <alignment vertical="center" wrapText="1"/>
      <protection locked="0"/>
    </xf>
    <xf numFmtId="38" fontId="27" fillId="24" borderId="56" xfId="35" applyFont="1" applyFill="1" applyBorder="1" applyAlignment="1">
      <alignment horizontal="center" vertical="center" wrapText="1" shrinkToFit="1"/>
    </xf>
    <xf numFmtId="0" fontId="27" fillId="24" borderId="201" xfId="0" applyFont="1" applyFill="1" applyBorder="1" applyAlignment="1" applyProtection="1">
      <alignment vertical="center" wrapText="1"/>
      <protection locked="0"/>
    </xf>
    <xf numFmtId="186" fontId="27" fillId="24" borderId="56" xfId="0" applyNumberFormat="1" applyFont="1" applyFill="1" applyBorder="1" applyAlignment="1">
      <alignment horizontal="center" vertical="center" wrapText="1" shrinkToFit="1"/>
    </xf>
    <xf numFmtId="0" fontId="27" fillId="24" borderId="200" xfId="0" applyFont="1" applyFill="1" applyBorder="1" applyAlignment="1">
      <alignment horizontal="left" vertical="center"/>
    </xf>
    <xf numFmtId="38" fontId="27" fillId="24" borderId="200" xfId="35" applyFont="1" applyFill="1" applyBorder="1" applyAlignment="1">
      <alignment horizontal="center" vertical="center" wrapText="1" shrinkToFit="1"/>
    </xf>
    <xf numFmtId="40" fontId="27" fillId="24" borderId="201" xfId="0" applyNumberFormat="1" applyFont="1" applyFill="1" applyBorder="1" applyAlignment="1">
      <alignment horizontal="center" vertical="center" wrapText="1"/>
    </xf>
    <xf numFmtId="38" fontId="27" fillId="24" borderId="201" xfId="35" applyFont="1" applyFill="1" applyBorder="1" applyAlignment="1">
      <alignment horizontal="center" vertical="center" wrapText="1" shrinkToFit="1"/>
    </xf>
    <xf numFmtId="40" fontId="27" fillId="24" borderId="150" xfId="0" applyNumberFormat="1" applyFont="1" applyFill="1" applyBorder="1" applyAlignment="1">
      <alignment horizontal="center" vertical="center" wrapText="1"/>
    </xf>
    <xf numFmtId="177" fontId="27" fillId="24" borderId="150" xfId="0" applyNumberFormat="1" applyFont="1" applyFill="1" applyBorder="1" applyAlignment="1">
      <alignment horizontal="center" vertical="center" wrapText="1" shrinkToFit="1"/>
    </xf>
    <xf numFmtId="0" fontId="27" fillId="24" borderId="150" xfId="0" applyFont="1" applyFill="1" applyBorder="1" applyAlignment="1" applyProtection="1">
      <alignment vertical="center" wrapText="1"/>
      <protection locked="0"/>
    </xf>
    <xf numFmtId="190" fontId="29" fillId="38" borderId="52" xfId="35" applyNumberFormat="1" applyFont="1" applyFill="1" applyBorder="1" applyAlignment="1" applyProtection="1">
      <alignment horizontal="center" vertical="top"/>
      <protection hidden="1"/>
    </xf>
    <xf numFmtId="2" fontId="27" fillId="24" borderId="52" xfId="0" applyNumberFormat="1" applyFont="1" applyFill="1" applyBorder="1" applyAlignment="1" applyProtection="1">
      <alignment horizontal="center"/>
      <protection hidden="1"/>
    </xf>
    <xf numFmtId="40" fontId="29" fillId="38" borderId="52" xfId="35" applyNumberFormat="1" applyFont="1" applyFill="1" applyBorder="1" applyAlignment="1" applyProtection="1">
      <alignment horizontal="center" vertical="top"/>
      <protection hidden="1"/>
    </xf>
    <xf numFmtId="0" fontId="27" fillId="24" borderId="0" xfId="0" applyFont="1" applyFill="1" applyBorder="1" applyProtection="1">
      <alignment vertical="center"/>
      <protection hidden="1"/>
    </xf>
    <xf numFmtId="0" fontId="27" fillId="24" borderId="25" xfId="0" applyFont="1" applyFill="1" applyBorder="1" applyProtection="1">
      <alignment vertical="center"/>
      <protection hidden="1"/>
    </xf>
    <xf numFmtId="0" fontId="27" fillId="24" borderId="207" xfId="0" applyFont="1" applyFill="1" applyBorder="1" applyProtection="1">
      <alignment vertical="center"/>
      <protection hidden="1"/>
    </xf>
    <xf numFmtId="0" fontId="27" fillId="24" borderId="208" xfId="0" applyFont="1" applyFill="1" applyBorder="1" applyProtection="1">
      <alignment vertical="center"/>
      <protection hidden="1"/>
    </xf>
    <xf numFmtId="0" fontId="176" fillId="35" borderId="75" xfId="0" applyFont="1" applyFill="1" applyBorder="1" applyAlignment="1" applyProtection="1">
      <alignment vertical="center"/>
    </xf>
    <xf numFmtId="0" fontId="31" fillId="35" borderId="81" xfId="45" applyFont="1" applyFill="1" applyBorder="1" applyAlignment="1" applyProtection="1">
      <alignment vertical="center"/>
      <protection hidden="1"/>
    </xf>
    <xf numFmtId="0" fontId="31" fillId="35" borderId="81" xfId="45" applyFont="1" applyFill="1" applyBorder="1" applyAlignment="1" applyProtection="1">
      <alignment horizontal="left" vertical="center"/>
      <protection hidden="1"/>
    </xf>
    <xf numFmtId="0" fontId="31" fillId="35" borderId="110" xfId="45" applyFont="1" applyFill="1" applyBorder="1" applyAlignment="1" applyProtection="1">
      <alignment vertical="center"/>
      <protection hidden="1"/>
    </xf>
    <xf numFmtId="0" fontId="70" fillId="0" borderId="0" xfId="0" applyFont="1" applyProtection="1">
      <alignment vertical="center"/>
    </xf>
    <xf numFmtId="0" fontId="6" fillId="24" borderId="90" xfId="45" applyFont="1" applyFill="1" applyBorder="1" applyAlignment="1" applyProtection="1"/>
    <xf numFmtId="0" fontId="6" fillId="24" borderId="0" xfId="45" applyNumberFormat="1" applyFont="1" applyFill="1" applyBorder="1" applyAlignment="1" applyProtection="1">
      <alignment vertical="center"/>
      <protection hidden="1"/>
    </xf>
    <xf numFmtId="0" fontId="6" fillId="24" borderId="0" xfId="45" applyFont="1" applyFill="1" applyBorder="1" applyAlignment="1" applyProtection="1">
      <alignment horizontal="left" vertical="center"/>
      <protection hidden="1"/>
    </xf>
    <xf numFmtId="0" fontId="6" fillId="24" borderId="0" xfId="45" applyFont="1" applyFill="1" applyBorder="1" applyAlignment="1" applyProtection="1">
      <alignment vertical="center"/>
      <protection hidden="1"/>
    </xf>
    <xf numFmtId="0" fontId="6" fillId="24" borderId="88" xfId="0" applyFont="1" applyFill="1" applyBorder="1" applyProtection="1">
      <alignment vertical="center"/>
    </xf>
    <xf numFmtId="0" fontId="6" fillId="24" borderId="53" xfId="0" applyFont="1" applyFill="1" applyBorder="1" applyProtection="1">
      <alignment vertical="center"/>
    </xf>
    <xf numFmtId="0" fontId="6" fillId="24" borderId="54" xfId="0" applyFont="1" applyFill="1" applyBorder="1" applyProtection="1">
      <alignment vertical="center"/>
    </xf>
    <xf numFmtId="0" fontId="0" fillId="24" borderId="55" xfId="0" applyFill="1" applyBorder="1" applyProtection="1">
      <alignment vertical="center"/>
    </xf>
    <xf numFmtId="0" fontId="0" fillId="0" borderId="10" xfId="0" applyBorder="1" applyProtection="1">
      <alignment vertical="center"/>
      <protection locked="0"/>
    </xf>
    <xf numFmtId="0" fontId="6" fillId="24" borderId="90" xfId="45" applyFont="1" applyFill="1" applyBorder="1" applyAlignment="1" applyProtection="1">
      <alignment vertical="center"/>
    </xf>
    <xf numFmtId="0" fontId="1" fillId="26" borderId="23" xfId="0" applyFont="1" applyFill="1" applyBorder="1" applyAlignment="1">
      <alignment horizontal="center" vertical="center" wrapText="1"/>
    </xf>
    <xf numFmtId="0" fontId="6" fillId="24" borderId="0" xfId="0" applyFont="1" applyFill="1" applyBorder="1">
      <alignment vertical="center"/>
    </xf>
    <xf numFmtId="0" fontId="6" fillId="24" borderId="88" xfId="0" applyFont="1" applyFill="1" applyBorder="1">
      <alignment vertical="center"/>
    </xf>
    <xf numFmtId="0" fontId="6" fillId="24" borderId="20" xfId="0" applyFont="1" applyFill="1" applyBorder="1">
      <alignment vertical="center"/>
    </xf>
    <xf numFmtId="0" fontId="0" fillId="24" borderId="153" xfId="0" applyFill="1" applyBorder="1">
      <alignment vertical="center"/>
    </xf>
    <xf numFmtId="205" fontId="6" fillId="24" borderId="50" xfId="45" applyNumberFormat="1" applyFont="1" applyFill="1" applyBorder="1" applyAlignment="1" applyProtection="1">
      <alignment vertical="center" shrinkToFit="1"/>
      <protection hidden="1"/>
    </xf>
    <xf numFmtId="0" fontId="6" fillId="24" borderId="10" xfId="35" applyNumberFormat="1" applyFont="1" applyFill="1" applyBorder="1" applyAlignment="1" applyProtection="1">
      <alignment horizontal="right" vertical="center" shrinkToFit="1"/>
    </xf>
    <xf numFmtId="0" fontId="6" fillId="24" borderId="10" xfId="45" applyFont="1" applyFill="1" applyBorder="1" applyAlignment="1" applyProtection="1">
      <alignment vertical="center"/>
      <protection hidden="1"/>
    </xf>
    <xf numFmtId="204" fontId="6" fillId="24" borderId="10" xfId="45" applyNumberFormat="1" applyFont="1" applyFill="1" applyBorder="1" applyAlignment="1" applyProtection="1">
      <alignment vertical="center"/>
      <protection hidden="1"/>
    </xf>
    <xf numFmtId="0" fontId="6" fillId="24" borderId="153" xfId="0" applyFont="1" applyFill="1" applyBorder="1">
      <alignment vertical="center"/>
    </xf>
    <xf numFmtId="0" fontId="6" fillId="24" borderId="0" xfId="0" applyFont="1" applyFill="1" applyBorder="1" applyAlignment="1">
      <alignment vertical="center"/>
    </xf>
    <xf numFmtId="0" fontId="1" fillId="26" borderId="10" xfId="0" applyFont="1" applyFill="1" applyBorder="1" applyAlignment="1">
      <alignment horizontal="center" vertical="center" wrapText="1"/>
    </xf>
    <xf numFmtId="0" fontId="6" fillId="24" borderId="50" xfId="45" applyFont="1" applyFill="1" applyBorder="1" applyAlignment="1" applyProtection="1">
      <alignment vertical="center"/>
      <protection locked="0"/>
    </xf>
    <xf numFmtId="0" fontId="6" fillId="24" borderId="10" xfId="45" applyFont="1" applyFill="1" applyBorder="1" applyAlignment="1" applyProtection="1">
      <alignment vertical="center"/>
      <protection locked="0"/>
    </xf>
    <xf numFmtId="0" fontId="6" fillId="24" borderId="90" xfId="45" applyFont="1" applyFill="1" applyBorder="1" applyAlignment="1" applyProtection="1">
      <alignment horizontal="right" vertical="top"/>
    </xf>
    <xf numFmtId="0" fontId="6" fillId="24" borderId="10" xfId="45" applyFont="1" applyFill="1" applyBorder="1" applyAlignment="1" applyProtection="1">
      <alignment vertical="center"/>
    </xf>
    <xf numFmtId="0" fontId="6" fillId="24" borderId="90" xfId="0" applyFont="1" applyFill="1" applyBorder="1">
      <alignment vertical="center"/>
    </xf>
    <xf numFmtId="0" fontId="6" fillId="24" borderId="10" xfId="45" applyFont="1" applyFill="1" applyBorder="1" applyAlignment="1" applyProtection="1">
      <alignment horizontal="center" vertical="center"/>
      <protection hidden="1"/>
    </xf>
    <xf numFmtId="0" fontId="6" fillId="24" borderId="105" xfId="0" applyFont="1" applyFill="1" applyBorder="1">
      <alignment vertical="center"/>
    </xf>
    <xf numFmtId="0" fontId="6" fillId="24" borderId="156" xfId="0" applyFont="1" applyFill="1" applyBorder="1">
      <alignment vertical="center"/>
    </xf>
    <xf numFmtId="0" fontId="6" fillId="24" borderId="112" xfId="0" applyFont="1" applyFill="1" applyBorder="1">
      <alignment vertical="center"/>
    </xf>
    <xf numFmtId="0" fontId="6" fillId="24" borderId="24" xfId="0" applyFont="1" applyFill="1" applyBorder="1">
      <alignment vertical="center"/>
    </xf>
    <xf numFmtId="0" fontId="6" fillId="24" borderId="59" xfId="0" applyFont="1" applyFill="1" applyBorder="1">
      <alignment vertical="center"/>
    </xf>
    <xf numFmtId="0" fontId="6" fillId="24" borderId="60" xfId="0" applyFont="1" applyFill="1" applyBorder="1">
      <alignment vertical="center"/>
    </xf>
    <xf numFmtId="0" fontId="0" fillId="0" borderId="0" xfId="0" applyAlignment="1">
      <alignment horizontal="right" vertical="center"/>
    </xf>
    <xf numFmtId="0" fontId="27" fillId="0" borderId="59" xfId="0" applyFont="1" applyFill="1" applyBorder="1" applyAlignment="1" applyProtection="1">
      <alignment horizontal="center" vertical="center"/>
    </xf>
    <xf numFmtId="0" fontId="32" fillId="42" borderId="59" xfId="0" applyFont="1" applyFill="1" applyBorder="1" applyAlignment="1" applyProtection="1">
      <alignment horizontal="left" vertical="center"/>
    </xf>
    <xf numFmtId="0" fontId="0" fillId="0" borderId="59" xfId="0" applyBorder="1" applyProtection="1">
      <alignment vertical="center"/>
    </xf>
    <xf numFmtId="0" fontId="32" fillId="42" borderId="0" xfId="0" applyFont="1" applyFill="1" applyBorder="1" applyAlignment="1" applyProtection="1">
      <alignment horizontal="left" vertical="center"/>
    </xf>
    <xf numFmtId="0" fontId="0" fillId="0" borderId="0" xfId="0" applyBorder="1" applyProtection="1">
      <alignment vertical="center"/>
    </xf>
    <xf numFmtId="0" fontId="82" fillId="42" borderId="0" xfId="0" applyFont="1" applyFill="1" applyAlignment="1" applyProtection="1">
      <alignment horizontal="left" vertical="center"/>
    </xf>
    <xf numFmtId="0" fontId="27" fillId="27" borderId="133" xfId="0" applyFont="1" applyFill="1" applyBorder="1" applyAlignment="1" applyProtection="1">
      <alignment horizontal="right" vertical="center"/>
    </xf>
    <xf numFmtId="0" fontId="26" fillId="42" borderId="0" xfId="0" applyFont="1" applyFill="1" applyAlignment="1" applyProtection="1">
      <alignment horizontal="left" vertical="center"/>
    </xf>
    <xf numFmtId="0" fontId="25" fillId="42" borderId="0" xfId="0" applyFont="1" applyFill="1" applyAlignment="1" applyProtection="1">
      <alignment horizontal="left" vertical="center"/>
    </xf>
    <xf numFmtId="0" fontId="41" fillId="0" borderId="0" xfId="0" applyFont="1" applyAlignment="1" applyProtection="1">
      <alignment horizontal="right" vertical="center"/>
    </xf>
    <xf numFmtId="38" fontId="6" fillId="27" borderId="133" xfId="35" applyFill="1" applyBorder="1" applyProtection="1">
      <alignment vertical="center"/>
      <protection locked="0"/>
    </xf>
    <xf numFmtId="0" fontId="27" fillId="0" borderId="0" xfId="0" applyFont="1" applyProtection="1">
      <alignment vertical="center"/>
    </xf>
    <xf numFmtId="0" fontId="41" fillId="42" borderId="0" xfId="0" applyFont="1" applyFill="1" applyAlignment="1" applyProtection="1">
      <alignment horizontal="left" vertical="center"/>
    </xf>
    <xf numFmtId="0" fontId="0" fillId="0" borderId="209" xfId="0" applyBorder="1" applyAlignment="1" applyProtection="1">
      <alignment horizontal="center" vertical="center"/>
    </xf>
    <xf numFmtId="0" fontId="28" fillId="0" borderId="210" xfId="0" applyFont="1" applyBorder="1" applyAlignment="1" applyProtection="1">
      <alignment horizontal="centerContinuous" vertical="center"/>
    </xf>
    <xf numFmtId="0" fontId="0" fillId="0" borderId="210" xfId="0" applyBorder="1" applyAlignment="1" applyProtection="1">
      <alignment horizontal="centerContinuous" vertical="center"/>
    </xf>
    <xf numFmtId="0" fontId="28" fillId="0" borderId="64" xfId="0" applyFont="1" applyBorder="1" applyAlignment="1" applyProtection="1">
      <alignment horizontal="center" vertical="center" shrinkToFit="1"/>
    </xf>
    <xf numFmtId="0" fontId="28" fillId="0" borderId="0" xfId="0" applyFont="1" applyProtection="1">
      <alignment vertical="center"/>
    </xf>
    <xf numFmtId="9" fontId="6" fillId="24" borderId="211" xfId="28" applyFill="1" applyBorder="1" applyProtection="1">
      <alignment vertical="center"/>
    </xf>
    <xf numFmtId="38" fontId="6" fillId="27" borderId="66" xfId="35" applyFont="1" applyFill="1" applyBorder="1" applyProtection="1">
      <alignment vertical="center"/>
      <protection locked="0"/>
    </xf>
    <xf numFmtId="0" fontId="0" fillId="27" borderId="67" xfId="0" applyFill="1" applyBorder="1" applyProtection="1">
      <alignment vertical="center"/>
      <protection locked="0"/>
    </xf>
    <xf numFmtId="9" fontId="6" fillId="24" borderId="212" xfId="28" applyFill="1" applyBorder="1" applyProtection="1">
      <alignment vertical="center"/>
    </xf>
    <xf numFmtId="38" fontId="6" fillId="27" borderId="68" xfId="35" applyFont="1" applyFill="1" applyBorder="1" applyProtection="1">
      <alignment vertical="center"/>
      <protection locked="0"/>
    </xf>
    <xf numFmtId="0" fontId="28" fillId="42" borderId="0" xfId="0" applyFont="1" applyFill="1" applyBorder="1" applyAlignment="1" applyProtection="1">
      <alignment horizontal="center" vertical="center"/>
    </xf>
    <xf numFmtId="0" fontId="0" fillId="27" borderId="197" xfId="0" applyFill="1" applyBorder="1" applyProtection="1">
      <alignment vertical="center"/>
      <protection locked="0"/>
    </xf>
    <xf numFmtId="9" fontId="6" fillId="24" borderId="214" xfId="28" applyFill="1" applyBorder="1" applyProtection="1">
      <alignment vertical="center"/>
    </xf>
    <xf numFmtId="38" fontId="6" fillId="27" borderId="198" xfId="35" applyFont="1" applyFill="1" applyBorder="1" applyProtection="1">
      <alignment vertical="center"/>
      <protection locked="0"/>
    </xf>
    <xf numFmtId="38" fontId="6" fillId="24" borderId="133" xfId="35" applyFill="1" applyBorder="1" applyProtection="1">
      <alignment vertical="center"/>
    </xf>
    <xf numFmtId="0" fontId="41" fillId="0" borderId="0" xfId="0" applyFont="1" applyProtection="1">
      <alignment vertical="center"/>
    </xf>
    <xf numFmtId="0" fontId="177" fillId="43" borderId="133" xfId="0" applyFont="1" applyFill="1" applyBorder="1" applyAlignment="1" applyProtection="1">
      <alignment vertical="center"/>
      <protection locked="0"/>
    </xf>
    <xf numFmtId="0" fontId="6" fillId="0" borderId="0" xfId="0" applyFont="1" applyProtection="1">
      <alignment vertical="center"/>
    </xf>
    <xf numFmtId="0" fontId="28" fillId="0" borderId="0" xfId="0" applyFont="1" applyFill="1" applyBorder="1" applyProtection="1">
      <alignment vertical="center"/>
    </xf>
    <xf numFmtId="0" fontId="32" fillId="0" borderId="0" xfId="0" applyFont="1" applyBorder="1" applyProtection="1">
      <alignment vertical="center"/>
    </xf>
    <xf numFmtId="0" fontId="25" fillId="0" borderId="0" xfId="0" applyFont="1" applyBorder="1" applyProtection="1">
      <alignment vertical="center"/>
    </xf>
    <xf numFmtId="0" fontId="41" fillId="0" borderId="0" xfId="0" applyFont="1" applyAlignment="1" applyProtection="1"/>
    <xf numFmtId="0" fontId="28" fillId="24" borderId="22" xfId="0" applyFont="1" applyFill="1" applyBorder="1" applyProtection="1">
      <alignment vertical="center"/>
    </xf>
    <xf numFmtId="0" fontId="28" fillId="26" borderId="22" xfId="0" applyFont="1" applyFill="1" applyBorder="1" applyProtection="1">
      <alignment vertical="center"/>
    </xf>
    <xf numFmtId="0" fontId="28" fillId="0" borderId="61" xfId="0" applyFont="1" applyBorder="1" applyProtection="1">
      <alignment vertical="center"/>
    </xf>
    <xf numFmtId="0" fontId="25" fillId="0" borderId="10" xfId="0" applyFont="1" applyFill="1" applyBorder="1" applyProtection="1">
      <alignment vertical="center"/>
    </xf>
    <xf numFmtId="0" fontId="28" fillId="24" borderId="53" xfId="0" applyFont="1" applyFill="1" applyBorder="1" applyProtection="1">
      <alignment vertical="center"/>
    </xf>
    <xf numFmtId="38" fontId="28" fillId="24" borderId="23" xfId="35" applyFont="1" applyFill="1" applyBorder="1" applyProtection="1">
      <alignment vertical="center"/>
    </xf>
    <xf numFmtId="0" fontId="28" fillId="0" borderId="50" xfId="0" applyFont="1" applyBorder="1" applyProtection="1">
      <alignment vertical="center"/>
    </xf>
    <xf numFmtId="38" fontId="28" fillId="0" borderId="10" xfId="35" applyFont="1" applyBorder="1" applyProtection="1">
      <alignment vertical="center"/>
    </xf>
    <xf numFmtId="0" fontId="28" fillId="24" borderId="20" xfId="0" applyFont="1" applyFill="1" applyBorder="1" applyProtection="1">
      <alignment vertical="center"/>
    </xf>
    <xf numFmtId="38" fontId="28" fillId="24" borderId="61" xfId="35" applyFont="1" applyFill="1" applyBorder="1" applyProtection="1">
      <alignment vertical="center"/>
    </xf>
    <xf numFmtId="0" fontId="28" fillId="26" borderId="50" xfId="0" applyFont="1" applyFill="1" applyBorder="1" applyProtection="1">
      <alignment vertical="center"/>
    </xf>
    <xf numFmtId="0" fontId="28" fillId="24" borderId="24" xfId="0" applyFont="1" applyFill="1" applyBorder="1" applyProtection="1">
      <alignment vertical="center"/>
    </xf>
    <xf numFmtId="38" fontId="28" fillId="24" borderId="22" xfId="35" applyFont="1" applyFill="1" applyBorder="1" applyProtection="1">
      <alignment vertical="center"/>
    </xf>
    <xf numFmtId="0" fontId="28" fillId="24" borderId="50" xfId="0" applyFont="1" applyFill="1" applyBorder="1" applyProtection="1">
      <alignment vertical="center"/>
    </xf>
    <xf numFmtId="38" fontId="28" fillId="24" borderId="10" xfId="35" applyFont="1" applyFill="1" applyBorder="1" applyProtection="1">
      <alignment vertical="center"/>
    </xf>
    <xf numFmtId="0" fontId="28" fillId="0" borderId="50" xfId="0" applyFont="1" applyFill="1" applyBorder="1" applyProtection="1">
      <alignment vertical="center"/>
    </xf>
    <xf numFmtId="0" fontId="28" fillId="24" borderId="10" xfId="0" applyFont="1" applyFill="1" applyBorder="1" applyProtection="1">
      <alignment vertical="center"/>
    </xf>
    <xf numFmtId="0" fontId="28" fillId="0" borderId="10" xfId="0" applyFont="1" applyBorder="1" applyProtection="1">
      <alignment vertical="center"/>
    </xf>
    <xf numFmtId="0" fontId="28" fillId="0" borderId="22" xfId="0" applyFont="1" applyBorder="1" applyProtection="1">
      <alignment vertical="center"/>
    </xf>
    <xf numFmtId="38" fontId="25" fillId="24" borderId="10" xfId="35" applyFont="1" applyFill="1" applyBorder="1" applyProtection="1">
      <alignment vertical="center"/>
    </xf>
    <xf numFmtId="0" fontId="25" fillId="0" borderId="10" xfId="0" applyFont="1" applyBorder="1" applyProtection="1">
      <alignment vertical="center"/>
    </xf>
    <xf numFmtId="176" fontId="28" fillId="0" borderId="10" xfId="0" applyNumberFormat="1" applyFont="1" applyBorder="1" applyProtection="1">
      <alignment vertical="center"/>
    </xf>
    <xf numFmtId="203" fontId="64" fillId="0" borderId="0" xfId="0" applyNumberFormat="1" applyFont="1" applyFill="1" applyBorder="1" applyAlignment="1" applyProtection="1">
      <alignment horizontal="left" vertical="center"/>
    </xf>
    <xf numFmtId="38" fontId="27" fillId="24" borderId="10" xfId="35" applyFont="1" applyFill="1" applyBorder="1" applyProtection="1">
      <alignment vertical="center"/>
    </xf>
    <xf numFmtId="0" fontId="25" fillId="0" borderId="0" xfId="0" applyFont="1" applyFill="1" applyBorder="1" applyAlignment="1" applyProtection="1">
      <alignment horizontal="right" vertical="center"/>
    </xf>
    <xf numFmtId="0" fontId="41" fillId="0" borderId="0" xfId="0" applyFont="1" applyFill="1" applyBorder="1" applyAlignment="1" applyProtection="1">
      <alignment horizontal="right" vertical="center"/>
    </xf>
    <xf numFmtId="0" fontId="32" fillId="24" borderId="133" xfId="0" applyNumberFormat="1" applyFont="1" applyFill="1" applyBorder="1" applyProtection="1">
      <alignment vertical="center"/>
    </xf>
    <xf numFmtId="0" fontId="28" fillId="0" borderId="0" xfId="0" applyFont="1" applyAlignment="1" applyProtection="1">
      <alignment horizontal="left" vertical="center"/>
    </xf>
    <xf numFmtId="0" fontId="25" fillId="42" borderId="0" xfId="0" applyFont="1" applyFill="1" applyAlignment="1" applyProtection="1">
      <alignment vertical="center"/>
    </xf>
    <xf numFmtId="0" fontId="28" fillId="0" borderId="10" xfId="0" applyNumberFormat="1" applyFont="1" applyFill="1" applyBorder="1" applyAlignment="1" applyProtection="1">
      <alignment vertical="center"/>
    </xf>
    <xf numFmtId="0" fontId="28" fillId="26" borderId="10" xfId="0" applyFont="1" applyFill="1" applyBorder="1" applyProtection="1">
      <alignment vertical="center"/>
    </xf>
    <xf numFmtId="38" fontId="55" fillId="0" borderId="10" xfId="35" applyFont="1" applyBorder="1" applyProtection="1">
      <alignment vertical="center"/>
    </xf>
    <xf numFmtId="0" fontId="27" fillId="24" borderId="0" xfId="0" applyFont="1" applyFill="1" applyBorder="1" applyAlignment="1" applyProtection="1">
      <alignment horizontal="right" vertical="center"/>
      <protection hidden="1"/>
    </xf>
    <xf numFmtId="0" fontId="0" fillId="0" borderId="0" xfId="0" applyBorder="1">
      <alignment vertical="center"/>
    </xf>
    <xf numFmtId="0" fontId="27" fillId="24" borderId="10" xfId="0" applyFont="1" applyFill="1" applyBorder="1" applyAlignment="1">
      <alignment horizontal="left" vertical="center" shrinkToFit="1"/>
    </xf>
    <xf numFmtId="9" fontId="0" fillId="0" borderId="0" xfId="0" applyNumberFormat="1">
      <alignment vertical="center"/>
    </xf>
    <xf numFmtId="38" fontId="6" fillId="0" borderId="0" xfId="35">
      <alignment vertical="center"/>
    </xf>
    <xf numFmtId="177" fontId="27" fillId="24" borderId="133" xfId="44" applyNumberFormat="1" applyFont="1" applyFill="1" applyBorder="1" applyAlignment="1" applyProtection="1">
      <alignment horizontal="right" vertical="center"/>
    </xf>
    <xf numFmtId="0" fontId="41" fillId="24" borderId="0" xfId="44" applyFont="1" applyFill="1" applyBorder="1" applyAlignment="1" applyProtection="1">
      <alignment horizontal="right" vertical="center"/>
    </xf>
    <xf numFmtId="198" fontId="27" fillId="0" borderId="0" xfId="44" applyNumberFormat="1" applyFont="1" applyBorder="1" applyAlignment="1"/>
    <xf numFmtId="176" fontId="41" fillId="24" borderId="133" xfId="0" applyNumberFormat="1" applyFont="1" applyFill="1" applyBorder="1" applyAlignment="1" applyProtection="1">
      <alignment vertical="center"/>
    </xf>
    <xf numFmtId="0" fontId="28" fillId="33" borderId="10" xfId="0" applyFont="1" applyFill="1" applyBorder="1" applyAlignment="1" applyProtection="1">
      <alignment vertical="center"/>
      <protection hidden="1"/>
    </xf>
    <xf numFmtId="0" fontId="0" fillId="33" borderId="0" xfId="0" applyFill="1" applyAlignment="1" applyProtection="1">
      <alignment vertical="center"/>
    </xf>
    <xf numFmtId="177" fontId="27" fillId="24" borderId="0" xfId="44" applyNumberFormat="1" applyFont="1" applyFill="1" applyBorder="1" applyAlignment="1" applyProtection="1">
      <alignment horizontal="right" vertical="center"/>
    </xf>
    <xf numFmtId="0" fontId="179" fillId="0" borderId="0" xfId="0" applyFont="1" applyFill="1" applyBorder="1" applyAlignment="1" applyProtection="1">
      <alignment horizontal="left" vertical="center"/>
      <protection hidden="1"/>
    </xf>
    <xf numFmtId="0" fontId="28" fillId="24" borderId="59" xfId="0" applyFont="1" applyFill="1" applyBorder="1" applyAlignment="1" applyProtection="1">
      <alignment horizontal="right"/>
      <protection hidden="1"/>
    </xf>
    <xf numFmtId="2" fontId="6" fillId="0" borderId="0" xfId="0" applyNumberFormat="1" applyFont="1" applyFill="1" applyBorder="1" applyAlignment="1" applyProtection="1">
      <alignment horizontal="left" shrinkToFit="1"/>
      <protection hidden="1"/>
    </xf>
    <xf numFmtId="1" fontId="77" fillId="0" borderId="0" xfId="0" applyNumberFormat="1" applyFont="1" applyFill="1" applyBorder="1" applyAlignment="1" applyProtection="1">
      <alignment horizontal="center"/>
      <protection hidden="1"/>
    </xf>
    <xf numFmtId="0" fontId="6" fillId="38" borderId="53" xfId="0" applyFont="1" applyFill="1" applyBorder="1" applyAlignment="1" applyProtection="1">
      <alignment horizontal="center" vertical="center"/>
      <protection hidden="1"/>
    </xf>
    <xf numFmtId="0" fontId="27" fillId="0" borderId="0" xfId="0" applyFont="1" applyFill="1" applyAlignment="1">
      <alignment horizontal="left"/>
    </xf>
    <xf numFmtId="0" fontId="27" fillId="0" borderId="0" xfId="0" applyFont="1" applyFill="1" applyAlignment="1">
      <alignment shrinkToFit="1"/>
    </xf>
    <xf numFmtId="186" fontId="27" fillId="0" borderId="0" xfId="35" applyNumberFormat="1" applyFont="1" applyFill="1" applyBorder="1" applyAlignment="1"/>
    <xf numFmtId="177" fontId="27" fillId="0" borderId="0" xfId="35" applyNumberFormat="1" applyFont="1" applyFill="1" applyBorder="1" applyAlignment="1"/>
    <xf numFmtId="49" fontId="27" fillId="0" borderId="0" xfId="35" applyNumberFormat="1" applyFont="1" applyFill="1" applyBorder="1" applyAlignment="1">
      <alignment horizontal="center"/>
    </xf>
    <xf numFmtId="2" fontId="27" fillId="0" borderId="0" xfId="0" applyNumberFormat="1" applyFont="1" applyFill="1" applyBorder="1" applyAlignment="1">
      <alignment horizontal="left" shrinkToFit="1"/>
    </xf>
    <xf numFmtId="2" fontId="27" fillId="0" borderId="0" xfId="0" applyNumberFormat="1" applyFont="1" applyFill="1" applyBorder="1" applyAlignment="1">
      <alignment horizontal="center"/>
    </xf>
    <xf numFmtId="0" fontId="6" fillId="0" borderId="0" xfId="0" applyNumberFormat="1" applyFont="1">
      <alignment vertical="center"/>
    </xf>
    <xf numFmtId="0" fontId="6" fillId="0" borderId="0" xfId="0" applyFont="1" applyAlignment="1">
      <alignment horizontal="left" vertical="center" shrinkToFit="1"/>
    </xf>
    <xf numFmtId="177" fontId="77" fillId="0" borderId="0" xfId="35" applyNumberFormat="1" applyFont="1" applyFill="1" applyBorder="1" applyAlignment="1" applyProtection="1">
      <protection hidden="1"/>
    </xf>
    <xf numFmtId="0" fontId="27" fillId="0" borderId="0" xfId="0" applyFont="1" applyFill="1" applyAlignment="1" applyProtection="1">
      <alignment shrinkToFit="1"/>
      <protection hidden="1"/>
    </xf>
    <xf numFmtId="0" fontId="83" fillId="0" borderId="0" xfId="0" applyNumberFormat="1" applyFont="1" applyFill="1" applyBorder="1" applyAlignment="1" applyProtection="1">
      <alignment horizontal="left" vertical="center"/>
      <protection hidden="1"/>
    </xf>
    <xf numFmtId="177" fontId="83" fillId="0" borderId="0" xfId="35" applyNumberFormat="1" applyFont="1" applyFill="1" applyBorder="1" applyAlignment="1" applyProtection="1">
      <protection hidden="1"/>
    </xf>
    <xf numFmtId="177" fontId="27" fillId="0" borderId="0" xfId="35" applyNumberFormat="1" applyFont="1" applyFill="1" applyBorder="1" applyAlignment="1" applyProtection="1">
      <protection hidden="1"/>
    </xf>
    <xf numFmtId="2" fontId="77" fillId="0" borderId="0" xfId="0" applyNumberFormat="1" applyFont="1" applyFill="1" applyBorder="1" applyAlignment="1" applyProtection="1">
      <alignment horizontal="left"/>
      <protection hidden="1"/>
    </xf>
    <xf numFmtId="49" fontId="77" fillId="0" borderId="0" xfId="0" applyNumberFormat="1" applyFont="1" applyFill="1" applyBorder="1" applyProtection="1">
      <alignment vertical="center"/>
      <protection hidden="1"/>
    </xf>
    <xf numFmtId="0" fontId="83" fillId="0" borderId="0" xfId="0" applyFont="1" applyAlignment="1">
      <alignment vertical="center" shrinkToFit="1"/>
    </xf>
    <xf numFmtId="2" fontId="83" fillId="0" borderId="0" xfId="0" applyNumberFormat="1" applyFont="1" applyFill="1" applyBorder="1" applyAlignment="1" applyProtection="1">
      <alignment horizontal="center"/>
      <protection hidden="1"/>
    </xf>
    <xf numFmtId="0" fontId="83" fillId="0" borderId="0" xfId="0" applyNumberFormat="1" applyFont="1">
      <alignment vertical="center"/>
    </xf>
    <xf numFmtId="0" fontId="83" fillId="0" borderId="0" xfId="0" applyFont="1" applyAlignment="1">
      <alignment horizontal="left" vertical="center" shrinkToFit="1"/>
    </xf>
    <xf numFmtId="0" fontId="77" fillId="0" borderId="0" xfId="0" applyNumberFormat="1" applyFont="1" applyFill="1" applyBorder="1" applyProtection="1">
      <alignment vertical="center"/>
      <protection hidden="1"/>
    </xf>
    <xf numFmtId="2" fontId="83" fillId="0" borderId="0" xfId="0" applyNumberFormat="1" applyFont="1" applyFill="1" applyBorder="1" applyAlignment="1" applyProtection="1">
      <alignment horizontal="left" shrinkToFit="1"/>
      <protection hidden="1"/>
    </xf>
    <xf numFmtId="0" fontId="6" fillId="38" borderId="55" xfId="0" applyFont="1" applyFill="1" applyBorder="1" applyAlignment="1" applyProtection="1">
      <alignment horizontal="center" vertical="center" shrinkToFit="1"/>
      <protection hidden="1"/>
    </xf>
    <xf numFmtId="0" fontId="6" fillId="38" borderId="52" xfId="0" applyFont="1" applyFill="1" applyBorder="1" applyAlignment="1" applyProtection="1">
      <alignment horizontal="centerContinuous" vertical="center"/>
      <protection hidden="1"/>
    </xf>
    <xf numFmtId="0" fontId="27" fillId="38" borderId="50" xfId="0" applyFont="1" applyFill="1" applyBorder="1" applyAlignment="1" applyProtection="1">
      <alignment horizontal="centerContinuous" vertical="center"/>
      <protection hidden="1"/>
    </xf>
    <xf numFmtId="0" fontId="27" fillId="38" borderId="52" xfId="0" applyFont="1" applyFill="1" applyBorder="1" applyAlignment="1" applyProtection="1">
      <alignment horizontal="centerContinuous" vertical="center"/>
      <protection hidden="1"/>
    </xf>
    <xf numFmtId="177" fontId="27" fillId="38" borderId="10" xfId="35" applyNumberFormat="1" applyFont="1" applyFill="1" applyBorder="1" applyAlignment="1" applyProtection="1">
      <alignment horizontal="centerContinuous" vertical="center"/>
      <protection hidden="1"/>
    </xf>
    <xf numFmtId="0" fontId="27" fillId="38" borderId="51" xfId="0" applyFont="1" applyFill="1" applyBorder="1" applyAlignment="1" applyProtection="1">
      <alignment horizontal="centerContinuous" vertical="center"/>
      <protection hidden="1"/>
    </xf>
    <xf numFmtId="0" fontId="6" fillId="38" borderId="10" xfId="0" applyFont="1" applyFill="1" applyBorder="1" applyAlignment="1" applyProtection="1">
      <alignment horizontal="center" vertical="center" shrinkToFit="1"/>
      <protection hidden="1"/>
    </xf>
    <xf numFmtId="2" fontId="27" fillId="38" borderId="10" xfId="0" applyNumberFormat="1" applyFont="1" applyFill="1" applyBorder="1" applyAlignment="1" applyProtection="1">
      <alignment horizontal="center"/>
      <protection hidden="1"/>
    </xf>
    <xf numFmtId="0" fontId="6" fillId="38" borderId="10"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left" vertical="center" shrinkToFit="1"/>
      <protection hidden="1"/>
    </xf>
    <xf numFmtId="0" fontId="6" fillId="38" borderId="24" xfId="0" applyFont="1" applyFill="1" applyBorder="1" applyAlignment="1" applyProtection="1">
      <alignment horizontal="center" vertical="center" shrinkToFit="1"/>
      <protection hidden="1"/>
    </xf>
    <xf numFmtId="0" fontId="6" fillId="38" borderId="60" xfId="0" applyFont="1" applyFill="1" applyBorder="1" applyAlignment="1" applyProtection="1">
      <alignment horizontal="center" vertical="center" shrinkToFit="1"/>
      <protection hidden="1"/>
    </xf>
    <xf numFmtId="177" fontId="27" fillId="38" borderId="10" xfId="35" applyNumberFormat="1" applyFont="1" applyFill="1" applyBorder="1" applyAlignment="1" applyProtection="1">
      <alignment horizontal="center" shrinkToFit="1"/>
      <protection hidden="1"/>
    </xf>
    <xf numFmtId="2" fontId="27" fillId="38" borderId="10" xfId="0" applyNumberFormat="1" applyFont="1" applyFill="1" applyBorder="1" applyAlignment="1" applyProtection="1">
      <alignment horizontal="center" vertical="top" shrinkToFit="1"/>
      <protection hidden="1"/>
    </xf>
    <xf numFmtId="2" fontId="27" fillId="38" borderId="50" xfId="0" applyNumberFormat="1" applyFont="1" applyFill="1" applyBorder="1" applyAlignment="1" applyProtection="1">
      <alignment horizontal="center" vertical="top" shrinkToFit="1"/>
      <protection hidden="1"/>
    </xf>
    <xf numFmtId="2" fontId="27" fillId="38" borderId="52" xfId="0" applyNumberFormat="1" applyFont="1" applyFill="1" applyBorder="1" applyAlignment="1" applyProtection="1">
      <alignment horizontal="center" vertical="top" shrinkToFit="1"/>
      <protection hidden="1"/>
    </xf>
    <xf numFmtId="0" fontId="6" fillId="38" borderId="10" xfId="0" applyNumberFormat="1" applyFont="1" applyFill="1" applyBorder="1" applyAlignment="1" applyProtection="1">
      <alignment horizontal="center" vertical="center" shrinkToFit="1"/>
      <protection hidden="1"/>
    </xf>
    <xf numFmtId="0" fontId="6" fillId="0" borderId="0" xfId="0" applyFont="1" applyFill="1" applyAlignment="1">
      <alignment vertical="center" shrinkToFit="1"/>
    </xf>
    <xf numFmtId="0" fontId="27" fillId="38" borderId="60" xfId="0" applyFont="1" applyFill="1" applyBorder="1" applyAlignment="1" applyProtection="1">
      <alignment horizontal="center" vertical="center" shrinkToFit="1"/>
      <protection hidden="1"/>
    </xf>
    <xf numFmtId="186" fontId="27" fillId="38" borderId="52" xfId="35" applyNumberFormat="1" applyFont="1" applyFill="1" applyBorder="1" applyAlignment="1" applyProtection="1">
      <protection hidden="1"/>
    </xf>
    <xf numFmtId="177" fontId="27" fillId="38" borderId="10" xfId="35" applyNumberFormat="1" applyFont="1" applyFill="1" applyBorder="1" applyAlignment="1" applyProtection="1">
      <alignment horizontal="center"/>
      <protection hidden="1"/>
    </xf>
    <xf numFmtId="40" fontId="27" fillId="38" borderId="10" xfId="35" applyNumberFormat="1" applyFont="1" applyFill="1" applyBorder="1" applyAlignment="1" applyProtection="1">
      <alignment horizontal="center" vertical="top"/>
      <protection hidden="1"/>
    </xf>
    <xf numFmtId="40" fontId="27" fillId="38" borderId="50" xfId="35" applyNumberFormat="1" applyFont="1" applyFill="1" applyBorder="1" applyAlignment="1" applyProtection="1">
      <alignment horizontal="center" vertical="top"/>
      <protection hidden="1"/>
    </xf>
    <xf numFmtId="0" fontId="32" fillId="38" borderId="10" xfId="0" applyFont="1" applyFill="1" applyBorder="1" applyAlignment="1" applyProtection="1">
      <alignment horizontal="center" vertical="center"/>
      <protection hidden="1"/>
    </xf>
    <xf numFmtId="0" fontId="70" fillId="38" borderId="60" xfId="0" applyFont="1" applyFill="1" applyBorder="1" applyAlignment="1" applyProtection="1">
      <alignment horizontal="left" vertical="center" shrinkToFit="1"/>
      <protection hidden="1"/>
    </xf>
    <xf numFmtId="186" fontId="41" fillId="38" borderId="52" xfId="35" applyNumberFormat="1" applyFont="1" applyFill="1" applyBorder="1" applyAlignment="1" applyProtection="1">
      <protection hidden="1"/>
    </xf>
    <xf numFmtId="177" fontId="41" fillId="38" borderId="10" xfId="35" applyNumberFormat="1" applyFont="1" applyFill="1" applyBorder="1" applyAlignment="1" applyProtection="1">
      <alignment horizontal="center"/>
      <protection hidden="1"/>
    </xf>
    <xf numFmtId="0" fontId="32" fillId="38" borderId="10" xfId="0" applyNumberFormat="1" applyFont="1" applyFill="1" applyBorder="1" applyAlignment="1" applyProtection="1">
      <alignment horizontal="center" vertical="center"/>
      <protection hidden="1"/>
    </xf>
    <xf numFmtId="0" fontId="32" fillId="38" borderId="10" xfId="0" applyFont="1" applyFill="1" applyBorder="1" applyAlignment="1" applyProtection="1">
      <alignment horizontal="left" vertical="center" shrinkToFit="1"/>
      <protection hidden="1"/>
    </xf>
    <xf numFmtId="40" fontId="41" fillId="38" borderId="10" xfId="35" applyNumberFormat="1" applyFont="1" applyFill="1" applyBorder="1" applyAlignment="1" applyProtection="1">
      <alignment horizontal="center" vertical="top"/>
      <protection hidden="1"/>
    </xf>
    <xf numFmtId="40" fontId="41" fillId="38" borderId="50" xfId="35" applyNumberFormat="1" applyFont="1" applyFill="1" applyBorder="1" applyAlignment="1" applyProtection="1">
      <alignment horizontal="center" vertical="top"/>
      <protection hidden="1"/>
    </xf>
    <xf numFmtId="2" fontId="41" fillId="38" borderId="52" xfId="0" applyNumberFormat="1" applyFont="1" applyFill="1" applyBorder="1" applyAlignment="1" applyProtection="1">
      <alignment horizontal="center" vertical="top"/>
      <protection hidden="1"/>
    </xf>
    <xf numFmtId="2" fontId="41" fillId="38" borderId="10" xfId="0" applyNumberFormat="1" applyFont="1" applyFill="1" applyBorder="1" applyAlignment="1" applyProtection="1">
      <alignment horizontal="center" vertical="top"/>
      <protection hidden="1"/>
    </xf>
    <xf numFmtId="0" fontId="41" fillId="26" borderId="10" xfId="0" applyNumberFormat="1" applyFont="1" applyFill="1" applyBorder="1" applyAlignment="1" applyProtection="1">
      <alignment vertical="center" shrinkToFit="1"/>
      <protection hidden="1"/>
    </xf>
    <xf numFmtId="186" fontId="41" fillId="26" borderId="10" xfId="35" applyNumberFormat="1" applyFont="1" applyFill="1" applyBorder="1" applyAlignment="1" applyProtection="1">
      <alignment horizontal="right"/>
      <protection hidden="1"/>
    </xf>
    <xf numFmtId="187" fontId="41" fillId="26" borderId="10" xfId="35" applyNumberFormat="1" applyFont="1" applyFill="1" applyBorder="1" applyAlignment="1" applyProtection="1">
      <protection hidden="1"/>
    </xf>
    <xf numFmtId="0" fontId="41" fillId="26" borderId="10" xfId="0" applyNumberFormat="1" applyFont="1" applyFill="1" applyBorder="1" applyAlignment="1" applyProtection="1">
      <alignment horizontal="left" vertical="center" shrinkToFit="1"/>
      <protection hidden="1"/>
    </xf>
    <xf numFmtId="49" fontId="41" fillId="26" borderId="10" xfId="0" applyNumberFormat="1" applyFont="1" applyFill="1" applyBorder="1" applyAlignment="1" applyProtection="1">
      <alignment horizontal="left" vertical="center"/>
      <protection hidden="1"/>
    </xf>
    <xf numFmtId="2" fontId="41" fillId="26" borderId="10" xfId="35" applyNumberFormat="1" applyFont="1" applyFill="1" applyBorder="1" applyAlignment="1" applyProtection="1">
      <alignment horizontal="center" vertical="center"/>
      <protection hidden="1"/>
    </xf>
    <xf numFmtId="2" fontId="41" fillId="26" borderId="52" xfId="35" applyNumberFormat="1" applyFont="1" applyFill="1" applyBorder="1" applyAlignment="1" applyProtection="1">
      <alignment horizontal="center" vertical="center"/>
      <protection hidden="1"/>
    </xf>
    <xf numFmtId="186" fontId="41" fillId="24" borderId="10" xfId="35" applyNumberFormat="1" applyFont="1" applyFill="1" applyBorder="1" applyAlignment="1" applyProtection="1">
      <alignment horizontal="right"/>
      <protection hidden="1"/>
    </xf>
    <xf numFmtId="2" fontId="41" fillId="24" borderId="52" xfId="35" applyNumberFormat="1" applyFont="1" applyFill="1" applyBorder="1" applyAlignment="1" applyProtection="1">
      <alignment horizontal="center"/>
      <protection hidden="1"/>
    </xf>
    <xf numFmtId="0" fontId="27" fillId="24" borderId="10" xfId="0" applyFont="1" applyFill="1" applyBorder="1" applyAlignment="1" applyProtection="1">
      <alignment horizontal="left" vertical="center" shrinkToFit="1"/>
      <protection hidden="1"/>
    </xf>
    <xf numFmtId="186" fontId="27" fillId="31" borderId="10" xfId="0" applyNumberFormat="1" applyFont="1" applyFill="1" applyBorder="1" applyProtection="1">
      <alignment vertical="center"/>
      <protection hidden="1"/>
    </xf>
    <xf numFmtId="187" fontId="27" fillId="31" borderId="10" xfId="35" applyNumberFormat="1" applyFont="1" applyFill="1" applyBorder="1" applyAlignment="1" applyProtection="1">
      <protection hidden="1"/>
    </xf>
    <xf numFmtId="0" fontId="27" fillId="31" borderId="10" xfId="0" applyNumberFormat="1" applyFont="1" applyFill="1" applyBorder="1" applyAlignment="1" applyProtection="1">
      <alignment horizontal="left" vertical="center"/>
      <protection hidden="1"/>
    </xf>
    <xf numFmtId="0" fontId="27" fillId="31" borderId="10" xfId="0" applyNumberFormat="1" applyFont="1" applyFill="1" applyBorder="1" applyAlignment="1" applyProtection="1">
      <alignment horizontal="left" vertical="center" shrinkToFit="1"/>
      <protection hidden="1"/>
    </xf>
    <xf numFmtId="49" fontId="27" fillId="31" borderId="10"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left" vertical="center" shrinkToFit="1"/>
      <protection hidden="1"/>
    </xf>
    <xf numFmtId="190" fontId="27" fillId="31" borderId="50" xfId="0" applyNumberFormat="1" applyFont="1" applyFill="1" applyBorder="1" applyAlignment="1" applyProtection="1">
      <alignment horizontal="center" vertical="center"/>
      <protection hidden="1"/>
    </xf>
    <xf numFmtId="2" fontId="27" fillId="31" borderId="10" xfId="35" applyNumberFormat="1" applyFont="1" applyFill="1" applyBorder="1" applyAlignment="1" applyProtection="1">
      <alignment horizontal="center" vertical="center"/>
      <protection hidden="1"/>
    </xf>
    <xf numFmtId="2" fontId="27" fillId="31" borderId="52" xfId="35" applyNumberFormat="1" applyFont="1" applyFill="1" applyBorder="1" applyAlignment="1" applyProtection="1">
      <alignment horizontal="center" vertical="center"/>
      <protection hidden="1"/>
    </xf>
    <xf numFmtId="177" fontId="27" fillId="31" borderId="10" xfId="35" applyNumberFormat="1" applyFont="1" applyFill="1" applyBorder="1" applyAlignment="1" applyProtection="1">
      <alignment horizontal="center" vertical="center"/>
      <protection hidden="1"/>
    </xf>
    <xf numFmtId="177" fontId="27" fillId="31" borderId="50" xfId="35" applyNumberFormat="1" applyFont="1" applyFill="1" applyBorder="1" applyAlignment="1" applyProtection="1">
      <alignment horizontal="center" vertical="center"/>
      <protection hidden="1"/>
    </xf>
    <xf numFmtId="177" fontId="27" fillId="31" borderId="52" xfId="35" applyNumberFormat="1" applyFont="1" applyFill="1" applyBorder="1" applyAlignment="1" applyProtection="1">
      <alignment horizontal="center" vertical="center"/>
      <protection hidden="1"/>
    </xf>
    <xf numFmtId="177" fontId="41" fillId="24" borderId="52" xfId="35" applyNumberFormat="1" applyFont="1" applyFill="1" applyBorder="1" applyAlignment="1" applyProtection="1">
      <alignment horizontal="center"/>
      <protection hidden="1"/>
    </xf>
    <xf numFmtId="177" fontId="67" fillId="31" borderId="10" xfId="35" applyNumberFormat="1" applyFont="1" applyFill="1" applyBorder="1" applyAlignment="1" applyProtection="1">
      <alignment horizontal="center" vertical="center"/>
      <protection hidden="1"/>
    </xf>
    <xf numFmtId="2" fontId="41" fillId="24" borderId="10" xfId="35" applyNumberFormat="1" applyFont="1" applyFill="1" applyBorder="1" applyAlignment="1" applyProtection="1">
      <alignment horizontal="center" vertical="center"/>
      <protection hidden="1"/>
    </xf>
    <xf numFmtId="2" fontId="41" fillId="24" borderId="52" xfId="35" applyNumberFormat="1" applyFont="1" applyFill="1" applyBorder="1" applyAlignment="1" applyProtection="1">
      <alignment horizontal="center" vertical="center"/>
      <protection hidden="1"/>
    </xf>
    <xf numFmtId="178" fontId="41" fillId="24" borderId="50" xfId="0" applyNumberFormat="1" applyFont="1" applyFill="1" applyBorder="1" applyAlignment="1" applyProtection="1">
      <alignment horizontal="center" vertical="center"/>
      <protection hidden="1"/>
    </xf>
    <xf numFmtId="0" fontId="6" fillId="45" borderId="0" xfId="0" applyFont="1" applyFill="1">
      <alignment vertical="center"/>
    </xf>
    <xf numFmtId="2" fontId="41" fillId="24" borderId="50" xfId="35" applyNumberFormat="1" applyFont="1" applyFill="1" applyBorder="1" applyAlignment="1" applyProtection="1">
      <alignment horizontal="center"/>
      <protection hidden="1"/>
    </xf>
    <xf numFmtId="0" fontId="27" fillId="31" borderId="54" xfId="0" applyNumberFormat="1" applyFont="1" applyFill="1" applyBorder="1" applyAlignment="1" applyProtection="1">
      <alignment horizontal="left" vertical="center"/>
      <protection hidden="1"/>
    </xf>
    <xf numFmtId="0" fontId="27" fillId="31" borderId="51" xfId="0" applyFont="1" applyFill="1" applyBorder="1" applyAlignment="1" applyProtection="1">
      <alignment vertical="center"/>
      <protection hidden="1"/>
    </xf>
    <xf numFmtId="2" fontId="27" fillId="24" borderId="10" xfId="0" applyNumberFormat="1" applyFont="1" applyFill="1" applyBorder="1" applyAlignment="1" applyProtection="1">
      <alignment horizontal="left" vertical="center" shrinkToFit="1"/>
      <protection hidden="1"/>
    </xf>
    <xf numFmtId="2" fontId="27" fillId="24" borderId="10" xfId="35" applyNumberFormat="1" applyFont="1" applyFill="1" applyBorder="1" applyAlignment="1" applyProtection="1">
      <alignment horizontal="center"/>
      <protection hidden="1"/>
    </xf>
    <xf numFmtId="2" fontId="27" fillId="24" borderId="52" xfId="35" applyNumberFormat="1" applyFont="1" applyFill="1" applyBorder="1" applyAlignment="1" applyProtection="1">
      <alignment horizontal="center"/>
      <protection hidden="1"/>
    </xf>
    <xf numFmtId="0" fontId="32" fillId="26" borderId="10" xfId="0" applyNumberFormat="1" applyFont="1" applyFill="1" applyBorder="1" applyAlignment="1" applyProtection="1">
      <alignment horizontal="center" vertical="center"/>
      <protection hidden="1"/>
    </xf>
    <xf numFmtId="0" fontId="32" fillId="38" borderId="10" xfId="0" applyNumberFormat="1" applyFont="1" applyFill="1" applyBorder="1" applyAlignment="1" applyProtection="1">
      <alignment horizontal="center" vertical="center" shrinkToFit="1"/>
      <protection hidden="1"/>
    </xf>
    <xf numFmtId="186" fontId="41" fillId="26" borderId="10" xfId="35" applyNumberFormat="1" applyFont="1" applyFill="1" applyBorder="1" applyAlignment="1" applyProtection="1">
      <alignment horizontal="right" vertical="center"/>
      <protection hidden="1"/>
    </xf>
    <xf numFmtId="0" fontId="27" fillId="24" borderId="10" xfId="0" quotePrefix="1" applyNumberFormat="1" applyFont="1" applyFill="1" applyBorder="1" applyAlignment="1" applyProtection="1">
      <alignment horizontal="left" vertical="center"/>
      <protection hidden="1"/>
    </xf>
    <xf numFmtId="49" fontId="27" fillId="24" borderId="10" xfId="0" quotePrefix="1" applyNumberFormat="1" applyFont="1" applyFill="1" applyBorder="1" applyAlignment="1" applyProtection="1">
      <alignment horizontal="left" vertical="center"/>
      <protection hidden="1"/>
    </xf>
    <xf numFmtId="49" fontId="41" fillId="26" borderId="10" xfId="0" applyNumberFormat="1" applyFont="1" applyFill="1" applyBorder="1" applyAlignment="1" applyProtection="1">
      <alignment vertical="center"/>
      <protection hidden="1"/>
    </xf>
    <xf numFmtId="2" fontId="41" fillId="26" borderId="50" xfId="35" applyNumberFormat="1" applyFont="1" applyFill="1" applyBorder="1" applyAlignment="1" applyProtection="1">
      <alignment horizontal="center" vertical="center"/>
      <protection hidden="1"/>
    </xf>
    <xf numFmtId="2" fontId="41" fillId="26" borderId="52" xfId="0" applyNumberFormat="1" applyFont="1" applyFill="1" applyBorder="1" applyAlignment="1" applyProtection="1">
      <alignment horizontal="center"/>
      <protection hidden="1"/>
    </xf>
    <xf numFmtId="2" fontId="41" fillId="26" borderId="10" xfId="0" applyNumberFormat="1" applyFont="1" applyFill="1" applyBorder="1" applyAlignment="1" applyProtection="1">
      <alignment horizontal="center"/>
      <protection hidden="1"/>
    </xf>
    <xf numFmtId="2" fontId="41" fillId="24" borderId="52" xfId="0" applyNumberFormat="1" applyFont="1" applyFill="1" applyBorder="1" applyAlignment="1" applyProtection="1">
      <alignment horizontal="center"/>
      <protection hidden="1"/>
    </xf>
    <xf numFmtId="2" fontId="41" fillId="24" borderId="10" xfId="0" applyNumberFormat="1" applyFont="1" applyFill="1" applyBorder="1" applyAlignment="1" applyProtection="1">
      <alignment horizontal="center"/>
      <protection hidden="1"/>
    </xf>
    <xf numFmtId="206" fontId="41" fillId="24" borderId="52" xfId="0" applyNumberFormat="1" applyFont="1" applyFill="1" applyBorder="1" applyAlignment="1" applyProtection="1">
      <alignment horizontal="center"/>
      <protection hidden="1"/>
    </xf>
    <xf numFmtId="49" fontId="41" fillId="24" borderId="10" xfId="0" applyNumberFormat="1" applyFont="1" applyFill="1" applyBorder="1" applyAlignment="1" applyProtection="1">
      <alignment vertical="center"/>
      <protection hidden="1"/>
    </xf>
    <xf numFmtId="49" fontId="27" fillId="24" borderId="10" xfId="0" applyNumberFormat="1" applyFont="1" applyFill="1" applyBorder="1" applyAlignment="1" applyProtection="1">
      <alignment vertical="center"/>
      <protection hidden="1"/>
    </xf>
    <xf numFmtId="0" fontId="76" fillId="0" borderId="215" xfId="0" applyFont="1" applyFill="1" applyBorder="1" applyProtection="1">
      <alignment vertical="center"/>
      <protection hidden="1"/>
    </xf>
    <xf numFmtId="190" fontId="67" fillId="31" borderId="50" xfId="0" applyNumberFormat="1" applyFont="1" applyFill="1" applyBorder="1" applyAlignment="1" applyProtection="1">
      <alignment horizontal="center" vertical="center"/>
      <protection hidden="1"/>
    </xf>
    <xf numFmtId="0" fontId="75" fillId="0" borderId="90" xfId="0" applyFont="1" applyFill="1" applyBorder="1" applyAlignment="1">
      <alignment vertical="center"/>
    </xf>
    <xf numFmtId="0" fontId="75" fillId="0" borderId="90" xfId="0" applyFont="1" applyFill="1" applyBorder="1" applyAlignment="1" applyProtection="1">
      <alignment vertical="center"/>
      <protection hidden="1"/>
    </xf>
    <xf numFmtId="0" fontId="100" fillId="0" borderId="90" xfId="0" applyFont="1" applyFill="1" applyBorder="1" applyAlignment="1">
      <alignment vertical="center"/>
    </xf>
    <xf numFmtId="0" fontId="28" fillId="24" borderId="54" xfId="0" applyNumberFormat="1" applyFont="1" applyFill="1" applyBorder="1" applyAlignment="1" applyProtection="1">
      <alignment horizontal="left" vertical="center"/>
      <protection hidden="1"/>
    </xf>
    <xf numFmtId="0" fontId="27" fillId="31" borderId="10" xfId="0" applyFont="1" applyFill="1" applyBorder="1" applyAlignment="1" applyProtection="1">
      <alignment horizontal="center" vertical="center"/>
      <protection hidden="1"/>
    </xf>
    <xf numFmtId="182" fontId="47" fillId="0" borderId="105" xfId="0" applyNumberFormat="1" applyFont="1" applyFill="1" applyBorder="1" applyAlignment="1" applyProtection="1">
      <alignment horizontal="center" vertical="center"/>
      <protection hidden="1"/>
    </xf>
    <xf numFmtId="182" fontId="47" fillId="0" borderId="112" xfId="0" applyNumberFormat="1" applyFont="1" applyFill="1" applyBorder="1" applyAlignment="1" applyProtection="1">
      <alignment horizontal="center" vertical="center"/>
      <protection hidden="1"/>
    </xf>
    <xf numFmtId="182" fontId="47" fillId="34" borderId="111" xfId="0" applyNumberFormat="1" applyFont="1" applyFill="1" applyBorder="1" applyAlignment="1" applyProtection="1">
      <alignment horizontal="center" vertical="center"/>
      <protection hidden="1"/>
    </xf>
    <xf numFmtId="182" fontId="47" fillId="34" borderId="115" xfId="0" applyNumberFormat="1" applyFont="1" applyFill="1" applyBorder="1" applyAlignment="1" applyProtection="1">
      <alignment horizontal="center" vertical="center"/>
      <protection hidden="1"/>
    </xf>
    <xf numFmtId="182" fontId="35" fillId="24" borderId="216" xfId="0" applyNumberFormat="1" applyFont="1" applyFill="1" applyBorder="1" applyAlignment="1" applyProtection="1">
      <alignment horizontal="center" vertical="center"/>
      <protection hidden="1"/>
    </xf>
    <xf numFmtId="0" fontId="27" fillId="45" borderId="0" xfId="0" applyFont="1" applyFill="1">
      <alignment vertical="center"/>
    </xf>
    <xf numFmtId="0" fontId="6" fillId="24" borderId="0" xfId="0" applyFont="1" applyFill="1" applyBorder="1" applyAlignment="1" applyProtection="1">
      <alignment vertical="center"/>
      <protection hidden="1"/>
    </xf>
    <xf numFmtId="0" fontId="27" fillId="24" borderId="153" xfId="0" applyFont="1" applyFill="1" applyBorder="1" applyAlignment="1" applyProtection="1">
      <alignment vertical="center"/>
      <protection hidden="1"/>
    </xf>
    <xf numFmtId="0" fontId="27" fillId="24" borderId="11" xfId="0" applyFont="1" applyFill="1" applyBorder="1" applyAlignment="1" applyProtection="1">
      <alignment vertical="center"/>
      <protection hidden="1"/>
    </xf>
    <xf numFmtId="178" fontId="28" fillId="24" borderId="18" xfId="0" applyNumberFormat="1" applyFont="1" applyFill="1" applyBorder="1" applyAlignment="1" applyProtection="1">
      <alignment horizontal="left" vertical="center"/>
    </xf>
    <xf numFmtId="0" fontId="28" fillId="24" borderId="0" xfId="0" applyFont="1" applyFill="1" applyBorder="1" applyAlignment="1" applyProtection="1">
      <alignment horizontal="right" vertical="center"/>
      <protection hidden="1"/>
    </xf>
    <xf numFmtId="0" fontId="27" fillId="24" borderId="17" xfId="0" applyFont="1" applyFill="1" applyBorder="1" applyAlignment="1" applyProtection="1">
      <alignment horizontal="right" vertical="center"/>
      <protection hidden="1"/>
    </xf>
    <xf numFmtId="0" fontId="27" fillId="24" borderId="0" xfId="0" applyFont="1" applyFill="1" applyBorder="1" applyAlignment="1" applyProtection="1">
      <alignment horizontal="center" vertical="center"/>
      <protection hidden="1"/>
    </xf>
    <xf numFmtId="0" fontId="40" fillId="25" borderId="0" xfId="0" applyFont="1" applyFill="1" applyBorder="1" applyAlignment="1" applyProtection="1">
      <alignment vertical="center"/>
      <protection hidden="1"/>
    </xf>
    <xf numFmtId="0" fontId="27" fillId="0" borderId="0" xfId="44" applyFont="1" applyBorder="1" applyAlignment="1">
      <alignment horizontal="right"/>
    </xf>
    <xf numFmtId="198" fontId="27" fillId="0" borderId="50" xfId="44" applyNumberFormat="1" applyFont="1" applyBorder="1" applyAlignment="1"/>
    <xf numFmtId="0" fontId="28" fillId="0" borderId="20" xfId="44" applyFont="1" applyBorder="1" applyAlignment="1"/>
    <xf numFmtId="0" fontId="27" fillId="0" borderId="53" xfId="0" applyFont="1" applyBorder="1" applyAlignment="1">
      <alignment vertical="top"/>
    </xf>
    <xf numFmtId="0" fontId="27" fillId="0" borderId="54" xfId="0" applyFont="1" applyBorder="1" applyAlignment="1">
      <alignment vertical="top"/>
    </xf>
    <xf numFmtId="0" fontId="27" fillId="0" borderId="55" xfId="0" applyFont="1" applyBorder="1" applyAlignment="1">
      <alignment vertical="top"/>
    </xf>
    <xf numFmtId="0" fontId="27" fillId="0" borderId="50" xfId="0" applyFont="1" applyBorder="1" applyAlignment="1">
      <alignment vertical="top"/>
    </xf>
    <xf numFmtId="0" fontId="27" fillId="0" borderId="51" xfId="0" applyFont="1" applyBorder="1" applyAlignment="1">
      <alignment vertical="top" wrapText="1"/>
    </xf>
    <xf numFmtId="0" fontId="27" fillId="0" borderId="52" xfId="0" applyFont="1" applyBorder="1" applyAlignment="1">
      <alignment vertical="top" wrapText="1"/>
    </xf>
    <xf numFmtId="0" fontId="27" fillId="0" borderId="51" xfId="0" applyFont="1" applyBorder="1" applyAlignment="1">
      <alignment vertical="top"/>
    </xf>
    <xf numFmtId="0" fontId="27" fillId="0" borderId="52" xfId="0" applyFont="1" applyBorder="1">
      <alignment vertical="center"/>
    </xf>
    <xf numFmtId="0" fontId="27" fillId="0" borderId="23" xfId="0" applyFont="1" applyBorder="1">
      <alignment vertical="center"/>
    </xf>
    <xf numFmtId="0" fontId="27" fillId="0" borderId="20" xfId="0" applyFont="1" applyBorder="1" applyAlignment="1">
      <alignment vertical="top"/>
    </xf>
    <xf numFmtId="0" fontId="27" fillId="0" borderId="0" xfId="0" applyFont="1" applyBorder="1" applyAlignment="1">
      <alignment vertical="top"/>
    </xf>
    <xf numFmtId="0" fontId="27" fillId="0" borderId="153" xfId="0" applyFont="1" applyBorder="1" applyAlignment="1">
      <alignment vertical="top"/>
    </xf>
    <xf numFmtId="0" fontId="27" fillId="0" borderId="50" xfId="0" applyFont="1" applyBorder="1" applyAlignment="1">
      <alignment vertical="top" wrapText="1"/>
    </xf>
    <xf numFmtId="198" fontId="27" fillId="0" borderId="50" xfId="0" applyNumberFormat="1" applyFont="1" applyBorder="1" applyAlignment="1">
      <alignment vertical="top"/>
    </xf>
    <xf numFmtId="198" fontId="27" fillId="0" borderId="51" xfId="0" applyNumberFormat="1" applyFont="1" applyBorder="1" applyAlignment="1">
      <alignment vertical="top"/>
    </xf>
    <xf numFmtId="198" fontId="27" fillId="0" borderId="52" xfId="0" applyNumberFormat="1" applyFont="1" applyBorder="1">
      <alignment vertical="center"/>
    </xf>
    <xf numFmtId="0" fontId="27" fillId="0" borderId="61" xfId="0" applyFont="1" applyBorder="1">
      <alignment vertical="center"/>
    </xf>
    <xf numFmtId="0" fontId="27" fillId="0" borderId="24" xfId="0" applyFont="1" applyBorder="1" applyAlignment="1">
      <alignment vertical="top"/>
    </xf>
    <xf numFmtId="0" fontId="27" fillId="0" borderId="59" xfId="0" applyFont="1" applyBorder="1" applyAlignment="1">
      <alignment vertical="top"/>
    </xf>
    <xf numFmtId="0" fontId="27" fillId="0" borderId="60" xfId="0" applyFont="1" applyBorder="1" applyAlignment="1">
      <alignment vertical="top"/>
    </xf>
    <xf numFmtId="0" fontId="27" fillId="0" borderId="10" xfId="0" applyFont="1" applyBorder="1" applyAlignment="1">
      <alignment vertical="top"/>
    </xf>
    <xf numFmtId="0" fontId="27" fillId="0" borderId="10" xfId="0" applyFont="1" applyBorder="1" applyAlignment="1">
      <alignment vertical="top" wrapText="1"/>
    </xf>
    <xf numFmtId="0" fontId="27" fillId="0" borderId="10" xfId="0" applyFont="1" applyFill="1" applyBorder="1" applyAlignment="1">
      <alignment vertical="top"/>
    </xf>
    <xf numFmtId="0" fontId="27" fillId="0" borderId="22" xfId="0" applyFont="1" applyFill="1" applyBorder="1" applyAlignment="1">
      <alignment vertical="top"/>
    </xf>
    <xf numFmtId="0" fontId="27" fillId="0" borderId="23" xfId="0" applyFont="1" applyBorder="1" applyAlignment="1">
      <alignment vertical="top"/>
    </xf>
    <xf numFmtId="0" fontId="27" fillId="0" borderId="52" xfId="0" applyFont="1" applyBorder="1" applyAlignment="1">
      <alignment vertical="top"/>
    </xf>
    <xf numFmtId="38" fontId="27" fillId="0" borderId="10" xfId="35" applyFont="1" applyBorder="1" applyAlignment="1">
      <alignment vertical="top"/>
    </xf>
    <xf numFmtId="9" fontId="27" fillId="0" borderId="10" xfId="0" applyNumberFormat="1" applyFont="1" applyBorder="1" applyAlignment="1">
      <alignment vertical="top"/>
    </xf>
    <xf numFmtId="0" fontId="27" fillId="0" borderId="10" xfId="0" applyFont="1" applyBorder="1" applyAlignment="1">
      <alignment horizontal="center"/>
    </xf>
    <xf numFmtId="198" fontId="27" fillId="0" borderId="10" xfId="0" applyNumberFormat="1" applyFont="1" applyBorder="1">
      <alignment vertical="center"/>
    </xf>
    <xf numFmtId="0" fontId="27" fillId="0" borderId="22" xfId="0" applyFont="1" applyBorder="1" applyAlignment="1">
      <alignment vertical="top"/>
    </xf>
    <xf numFmtId="0" fontId="27" fillId="0" borderId="61" xfId="0" applyFont="1" applyBorder="1" applyAlignment="1">
      <alignment vertical="top"/>
    </xf>
    <xf numFmtId="0" fontId="27" fillId="0" borderId="24" xfId="0" applyFont="1" applyFill="1" applyBorder="1" applyAlignment="1">
      <alignment vertical="top"/>
    </xf>
    <xf numFmtId="0" fontId="27" fillId="0" borderId="60" xfId="0" applyFont="1" applyFill="1" applyBorder="1" applyAlignment="1">
      <alignment vertical="top"/>
    </xf>
    <xf numFmtId="38" fontId="27" fillId="0" borderId="10" xfId="35" applyFont="1" applyBorder="1" applyAlignment="1">
      <alignment horizontal="center"/>
    </xf>
    <xf numFmtId="0" fontId="27" fillId="0" borderId="22" xfId="0" applyFont="1" applyBorder="1">
      <alignment vertical="center"/>
    </xf>
    <xf numFmtId="0" fontId="27" fillId="0" borderId="50" xfId="0" applyFont="1" applyFill="1" applyBorder="1" applyAlignment="1">
      <alignment vertical="top"/>
    </xf>
    <xf numFmtId="0" fontId="27" fillId="0" borderId="52" xfId="0" applyFont="1" applyFill="1" applyBorder="1" applyAlignment="1">
      <alignment vertical="top"/>
    </xf>
    <xf numFmtId="0" fontId="27" fillId="0" borderId="50" xfId="0" applyFont="1" applyBorder="1">
      <alignment vertical="center"/>
    </xf>
    <xf numFmtId="0" fontId="27" fillId="0" borderId="51" xfId="0" applyFont="1" applyFill="1" applyBorder="1" applyAlignment="1">
      <alignment vertical="top"/>
    </xf>
    <xf numFmtId="0" fontId="27" fillId="0" borderId="0" xfId="0" applyFont="1" applyFill="1" applyBorder="1" applyAlignment="1">
      <alignment vertical="top"/>
    </xf>
    <xf numFmtId="0" fontId="27" fillId="0" borderId="51" xfId="0" applyFont="1" applyBorder="1">
      <alignment vertical="center"/>
    </xf>
    <xf numFmtId="0" fontId="27" fillId="0" borderId="51" xfId="0" applyFont="1" applyBorder="1" applyAlignment="1">
      <alignment horizontal="center" vertical="center"/>
    </xf>
    <xf numFmtId="0" fontId="0" fillId="47" borderId="59" xfId="0" quotePrefix="1" applyFill="1" applyBorder="1">
      <alignment vertical="center"/>
    </xf>
    <xf numFmtId="0" fontId="0" fillId="47" borderId="0" xfId="0" applyFill="1">
      <alignment vertical="center"/>
    </xf>
    <xf numFmtId="0" fontId="27" fillId="47" borderId="10" xfId="0" applyFont="1" applyFill="1" applyBorder="1">
      <alignment vertical="center"/>
    </xf>
    <xf numFmtId="38" fontId="27" fillId="0" borderId="10" xfId="35" applyFont="1" applyBorder="1">
      <alignment vertical="center"/>
    </xf>
    <xf numFmtId="207" fontId="27" fillId="47" borderId="10" xfId="0" applyNumberFormat="1" applyFont="1" applyFill="1" applyBorder="1">
      <alignment vertical="center"/>
    </xf>
    <xf numFmtId="207" fontId="27" fillId="47" borderId="10" xfId="35" applyNumberFormat="1" applyFont="1" applyFill="1" applyBorder="1">
      <alignment vertical="center"/>
    </xf>
    <xf numFmtId="0" fontId="27" fillId="0" borderId="53" xfId="0" applyFont="1" applyBorder="1">
      <alignment vertical="center"/>
    </xf>
    <xf numFmtId="0" fontId="27" fillId="0" borderId="20" xfId="0" applyFont="1" applyBorder="1">
      <alignment vertical="center"/>
    </xf>
    <xf numFmtId="0" fontId="27" fillId="0" borderId="24" xfId="0" applyFont="1" applyBorder="1">
      <alignment vertical="center"/>
    </xf>
    <xf numFmtId="0" fontId="27" fillId="0" borderId="55" xfId="0" applyFont="1" applyBorder="1">
      <alignment vertical="center"/>
    </xf>
    <xf numFmtId="0" fontId="27" fillId="0" borderId="153" xfId="0" applyFont="1" applyBorder="1">
      <alignment vertical="center"/>
    </xf>
    <xf numFmtId="38" fontId="27" fillId="0" borderId="0" xfId="0" applyNumberFormat="1" applyFont="1">
      <alignment vertical="center"/>
    </xf>
    <xf numFmtId="0" fontId="27" fillId="47" borderId="0" xfId="0" applyFont="1" applyFill="1">
      <alignment vertical="center"/>
    </xf>
    <xf numFmtId="38" fontId="27" fillId="47" borderId="10" xfId="35" applyFont="1" applyFill="1" applyBorder="1">
      <alignment vertical="center"/>
    </xf>
    <xf numFmtId="0" fontId="1" fillId="24" borderId="10" xfId="0" applyFont="1" applyFill="1" applyBorder="1" applyAlignment="1">
      <alignment horizontal="center" vertical="center" wrapText="1"/>
    </xf>
    <xf numFmtId="0" fontId="6" fillId="24" borderId="0" xfId="45" applyFont="1" applyFill="1" applyBorder="1" applyAlignment="1" applyProtection="1">
      <alignment vertical="center"/>
      <protection locked="0"/>
    </xf>
    <xf numFmtId="0" fontId="0" fillId="0" borderId="23" xfId="0" applyBorder="1" applyAlignment="1">
      <alignment vertical="top"/>
    </xf>
    <xf numFmtId="0" fontId="0" fillId="0" borderId="50" xfId="0" applyBorder="1" applyAlignment="1">
      <alignment vertical="top"/>
    </xf>
    <xf numFmtId="178" fontId="0" fillId="0" borderId="10" xfId="0" applyNumberFormat="1" applyBorder="1" applyAlignment="1">
      <alignment vertical="top"/>
    </xf>
    <xf numFmtId="0" fontId="0" fillId="0" borderId="22" xfId="0" applyBorder="1" applyAlignment="1">
      <alignment vertical="top"/>
    </xf>
    <xf numFmtId="0" fontId="0" fillId="0" borderId="61" xfId="0" applyBorder="1" applyAlignment="1">
      <alignment vertical="top"/>
    </xf>
    <xf numFmtId="0" fontId="0" fillId="0" borderId="51" xfId="0" applyBorder="1" applyAlignment="1">
      <alignment vertical="top"/>
    </xf>
    <xf numFmtId="0" fontId="0" fillId="0" borderId="53" xfId="0" applyBorder="1" applyAlignment="1">
      <alignment vertical="top"/>
    </xf>
    <xf numFmtId="0" fontId="0" fillId="0" borderId="20" xfId="0" applyBorder="1" applyAlignment="1">
      <alignment vertical="top"/>
    </xf>
    <xf numFmtId="0" fontId="0" fillId="0" borderId="59" xfId="0" applyBorder="1" applyAlignment="1">
      <alignment vertical="top"/>
    </xf>
    <xf numFmtId="0" fontId="0" fillId="0" borderId="61" xfId="0" applyBorder="1">
      <alignment vertical="center"/>
    </xf>
    <xf numFmtId="0" fontId="0" fillId="0" borderId="24" xfId="0" applyFill="1" applyBorder="1" applyAlignment="1">
      <alignment vertical="top"/>
    </xf>
    <xf numFmtId="0" fontId="0" fillId="0" borderId="22" xfId="0" applyBorder="1">
      <alignment vertical="center"/>
    </xf>
    <xf numFmtId="0" fontId="0" fillId="0" borderId="50" xfId="0" applyFill="1" applyBorder="1" applyAlignment="1">
      <alignment vertical="top"/>
    </xf>
    <xf numFmtId="0" fontId="6" fillId="24" borderId="82" xfId="0" applyFont="1" applyFill="1" applyBorder="1" applyAlignment="1" applyProtection="1"/>
    <xf numFmtId="0" fontId="70" fillId="24" borderId="79" xfId="0" applyFont="1" applyFill="1" applyBorder="1" applyAlignment="1" applyProtection="1"/>
    <xf numFmtId="0" fontId="27" fillId="24" borderId="79" xfId="0" applyFont="1" applyFill="1" applyBorder="1" applyProtection="1">
      <alignment vertical="center"/>
    </xf>
    <xf numFmtId="0" fontId="0" fillId="24" borderId="79" xfId="0" applyFill="1" applyBorder="1" applyProtection="1">
      <alignment vertical="center"/>
    </xf>
    <xf numFmtId="0" fontId="27" fillId="24" borderId="79" xfId="0" applyFont="1" applyFill="1" applyBorder="1" applyAlignment="1" applyProtection="1">
      <alignment horizontal="right" vertical="center"/>
    </xf>
    <xf numFmtId="0" fontId="27" fillId="24" borderId="79" xfId="0" applyFont="1" applyFill="1" applyBorder="1" applyAlignment="1" applyProtection="1">
      <alignment vertical="center"/>
    </xf>
    <xf numFmtId="0" fontId="6" fillId="24" borderId="79" xfId="0" applyFont="1" applyFill="1" applyBorder="1" applyAlignment="1" applyProtection="1">
      <alignment horizontal="right"/>
    </xf>
    <xf numFmtId="0" fontId="0" fillId="24" borderId="110" xfId="0" applyFill="1" applyBorder="1" applyProtection="1">
      <alignment vertical="center"/>
    </xf>
    <xf numFmtId="0" fontId="27" fillId="24" borderId="90" xfId="0" applyFont="1" applyFill="1" applyBorder="1" applyProtection="1">
      <alignment vertical="center"/>
    </xf>
    <xf numFmtId="0" fontId="27" fillId="24" borderId="0" xfId="0" applyFont="1" applyFill="1" applyBorder="1" applyProtection="1">
      <alignment vertical="center"/>
    </xf>
    <xf numFmtId="0" fontId="27" fillId="24" borderId="88" xfId="0" applyFont="1" applyFill="1" applyBorder="1" applyProtection="1">
      <alignment vertical="center"/>
    </xf>
    <xf numFmtId="0" fontId="0" fillId="0" borderId="0" xfId="0" quotePrefix="1">
      <alignment vertical="center"/>
    </xf>
    <xf numFmtId="0" fontId="41" fillId="24" borderId="0" xfId="0" applyFont="1" applyFill="1" applyBorder="1" applyProtection="1">
      <alignment vertical="center"/>
    </xf>
    <xf numFmtId="0" fontId="41" fillId="24" borderId="0" xfId="44" quotePrefix="1" applyFont="1" applyFill="1" applyBorder="1" applyAlignment="1" applyProtection="1">
      <alignment vertical="center"/>
    </xf>
    <xf numFmtId="0" fontId="41" fillId="24" borderId="0" xfId="0" applyFont="1" applyFill="1" applyBorder="1" applyAlignment="1" applyProtection="1">
      <alignment horizontal="center" vertical="center"/>
    </xf>
    <xf numFmtId="186" fontId="27" fillId="43" borderId="133" xfId="0" applyNumberFormat="1" applyFont="1" applyFill="1" applyBorder="1" applyProtection="1">
      <alignment vertical="center"/>
      <protection locked="0"/>
    </xf>
    <xf numFmtId="0" fontId="27" fillId="24" borderId="0" xfId="0" applyFont="1" applyFill="1" applyBorder="1" applyAlignment="1" applyProtection="1">
      <alignment horizontal="right" vertical="center"/>
    </xf>
    <xf numFmtId="38" fontId="27" fillId="27" borderId="133" xfId="35" applyFont="1" applyFill="1" applyBorder="1" applyAlignment="1" applyProtection="1">
      <alignment horizontal="center" vertical="center"/>
      <protection locked="0"/>
    </xf>
    <xf numFmtId="0" fontId="27" fillId="24" borderId="10" xfId="0" applyFont="1" applyFill="1" applyBorder="1" applyProtection="1">
      <alignment vertical="center"/>
    </xf>
    <xf numFmtId="192" fontId="27" fillId="24" borderId="10" xfId="0" applyNumberFormat="1" applyFont="1" applyFill="1" applyBorder="1" applyAlignment="1" applyProtection="1">
      <alignment horizontal="center" vertical="center"/>
    </xf>
    <xf numFmtId="177" fontId="27" fillId="24" borderId="0" xfId="0" applyNumberFormat="1" applyFont="1" applyFill="1" applyBorder="1" applyProtection="1">
      <alignment vertical="center"/>
    </xf>
    <xf numFmtId="193" fontId="27" fillId="24" borderId="0" xfId="0" applyNumberFormat="1" applyFont="1" applyFill="1" applyBorder="1" applyAlignment="1" applyProtection="1">
      <alignment horizontal="center" vertical="center"/>
    </xf>
    <xf numFmtId="193" fontId="27" fillId="24" borderId="133" xfId="0" applyNumberFormat="1" applyFont="1" applyFill="1" applyBorder="1" applyAlignment="1" applyProtection="1">
      <alignment horizontal="center" vertical="center"/>
    </xf>
    <xf numFmtId="177" fontId="27" fillId="24" borderId="10" xfId="0" applyNumberFormat="1" applyFont="1" applyFill="1" applyBorder="1" applyProtection="1">
      <alignment vertical="center"/>
    </xf>
    <xf numFmtId="208" fontId="27" fillId="24" borderId="133" xfId="0" applyNumberFormat="1" applyFont="1" applyFill="1" applyBorder="1" applyAlignment="1" applyProtection="1">
      <alignment horizontal="center" vertical="center"/>
    </xf>
    <xf numFmtId="0" fontId="27" fillId="48" borderId="0" xfId="0" applyFont="1" applyFill="1" applyBorder="1" applyProtection="1">
      <alignment vertical="center"/>
    </xf>
    <xf numFmtId="186" fontId="0" fillId="0" borderId="0" xfId="0" applyNumberFormat="1">
      <alignment vertical="center"/>
    </xf>
    <xf numFmtId="0" fontId="0" fillId="0" borderId="23" xfId="0" applyBorder="1">
      <alignment vertical="center"/>
    </xf>
    <xf numFmtId="0" fontId="27" fillId="24" borderId="88" xfId="0" applyFont="1" applyFill="1" applyBorder="1" applyAlignment="1" applyProtection="1">
      <alignment horizontal="right" vertical="center"/>
    </xf>
    <xf numFmtId="0" fontId="41" fillId="24" borderId="0" xfId="0" applyFont="1" applyFill="1" applyBorder="1" applyAlignment="1" applyProtection="1">
      <alignment horizontal="right" vertical="center"/>
    </xf>
    <xf numFmtId="177" fontId="27" fillId="24" borderId="52" xfId="0" applyNumberFormat="1" applyFont="1" applyFill="1" applyBorder="1" applyProtection="1">
      <alignment vertical="center"/>
    </xf>
    <xf numFmtId="209" fontId="0" fillId="0" borderId="0" xfId="0" applyNumberFormat="1">
      <alignment vertical="center"/>
    </xf>
    <xf numFmtId="0" fontId="41" fillId="48" borderId="0" xfId="0" applyFont="1" applyFill="1" applyBorder="1" applyProtection="1">
      <alignment vertical="center"/>
    </xf>
    <xf numFmtId="177" fontId="41" fillId="24" borderId="10" xfId="0" applyNumberFormat="1" applyFont="1" applyFill="1" applyBorder="1" applyProtection="1">
      <alignment vertical="center"/>
    </xf>
    <xf numFmtId="210" fontId="27" fillId="27" borderId="133" xfId="35" applyNumberFormat="1" applyFont="1" applyFill="1" applyBorder="1" applyAlignment="1" applyProtection="1">
      <alignment horizontal="center" vertical="center"/>
      <protection locked="0"/>
    </xf>
    <xf numFmtId="38" fontId="27" fillId="27" borderId="116" xfId="35" applyFont="1" applyFill="1" applyBorder="1" applyAlignment="1" applyProtection="1">
      <alignment horizontal="right" vertical="center"/>
      <protection locked="0"/>
    </xf>
    <xf numFmtId="0" fontId="27" fillId="24" borderId="115" xfId="0" applyFont="1" applyFill="1" applyBorder="1" applyProtection="1">
      <alignment vertical="center"/>
    </xf>
    <xf numFmtId="38" fontId="27" fillId="27" borderId="84" xfId="35" applyFont="1" applyFill="1" applyBorder="1" applyAlignment="1" applyProtection="1">
      <alignment horizontal="right" vertical="center"/>
      <protection locked="0"/>
    </xf>
    <xf numFmtId="38" fontId="27" fillId="27" borderId="118" xfId="35" applyFont="1" applyFill="1" applyBorder="1" applyAlignment="1" applyProtection="1">
      <alignment horizontal="right" vertical="center"/>
      <protection locked="0"/>
    </xf>
    <xf numFmtId="38" fontId="27" fillId="27" borderId="145" xfId="35" applyFont="1" applyFill="1" applyBorder="1" applyAlignment="1" applyProtection="1">
      <alignment horizontal="right" vertical="center"/>
      <protection locked="0"/>
    </xf>
    <xf numFmtId="0" fontId="41" fillId="24" borderId="0" xfId="0" applyFont="1" applyFill="1" applyBorder="1" applyAlignment="1" applyProtection="1">
      <alignment vertical="center"/>
    </xf>
    <xf numFmtId="177" fontId="27" fillId="24" borderId="22" xfId="0" applyNumberFormat="1" applyFont="1" applyFill="1" applyBorder="1" applyProtection="1">
      <alignment vertical="center"/>
    </xf>
    <xf numFmtId="0" fontId="41" fillId="24" borderId="0" xfId="0" applyFont="1" applyFill="1" applyBorder="1" applyAlignment="1" applyProtection="1">
      <alignment horizontal="left" vertical="center"/>
    </xf>
    <xf numFmtId="185" fontId="27" fillId="27" borderId="116" xfId="35" applyNumberFormat="1" applyFont="1" applyFill="1" applyBorder="1" applyAlignment="1" applyProtection="1">
      <alignment horizontal="right" vertical="center"/>
      <protection locked="0"/>
    </xf>
    <xf numFmtId="38" fontId="27" fillId="24" borderId="50" xfId="35" applyFont="1" applyFill="1" applyBorder="1" applyProtection="1">
      <alignment vertical="center"/>
    </xf>
    <xf numFmtId="38" fontId="27" fillId="24" borderId="133" xfId="35" applyFont="1" applyFill="1" applyBorder="1" applyProtection="1">
      <alignment vertical="center"/>
    </xf>
    <xf numFmtId="185" fontId="27" fillId="27" borderId="118" xfId="35" applyNumberFormat="1" applyFont="1" applyFill="1" applyBorder="1" applyAlignment="1" applyProtection="1">
      <alignment horizontal="right" vertical="center"/>
      <protection locked="0"/>
    </xf>
    <xf numFmtId="185" fontId="27" fillId="27" borderId="145" xfId="35" applyNumberFormat="1" applyFont="1" applyFill="1" applyBorder="1" applyAlignment="1" applyProtection="1">
      <alignment horizontal="right" vertical="center"/>
      <protection locked="0"/>
    </xf>
    <xf numFmtId="185" fontId="27" fillId="24" borderId="0" xfId="0" applyNumberFormat="1" applyFont="1" applyFill="1" applyBorder="1" applyProtection="1">
      <alignment vertical="center"/>
    </xf>
    <xf numFmtId="0" fontId="27" fillId="24" borderId="105" xfId="0" applyFont="1" applyFill="1" applyBorder="1" applyProtection="1">
      <alignment vertical="center"/>
    </xf>
    <xf numFmtId="0" fontId="27" fillId="24" borderId="156" xfId="0" applyFont="1" applyFill="1" applyBorder="1" applyProtection="1">
      <alignment vertical="center"/>
    </xf>
    <xf numFmtId="0" fontId="41" fillId="24" borderId="156" xfId="0" applyFont="1" applyFill="1" applyBorder="1" applyProtection="1">
      <alignment vertical="center"/>
    </xf>
    <xf numFmtId="0" fontId="27" fillId="24" borderId="112" xfId="0" applyFont="1" applyFill="1" applyBorder="1" applyProtection="1">
      <alignment vertical="center"/>
    </xf>
    <xf numFmtId="0" fontId="27" fillId="24" borderId="75" xfId="0" applyFont="1" applyFill="1" applyBorder="1" applyProtection="1">
      <alignment vertical="center"/>
    </xf>
    <xf numFmtId="0" fontId="41" fillId="24" borderId="81" xfId="44" applyFont="1" applyFill="1" applyBorder="1" applyAlignment="1" applyProtection="1">
      <alignment vertical="center"/>
    </xf>
    <xf numFmtId="0" fontId="27" fillId="24" borderId="81" xfId="0" applyFont="1" applyFill="1" applyBorder="1" applyProtection="1">
      <alignment vertical="center"/>
    </xf>
    <xf numFmtId="0" fontId="27" fillId="24" borderId="81" xfId="44" applyFont="1" applyFill="1" applyBorder="1" applyAlignment="1" applyProtection="1">
      <alignment horizontal="right"/>
    </xf>
    <xf numFmtId="0" fontId="27" fillId="24" borderId="81" xfId="44" applyFont="1" applyFill="1" applyBorder="1" applyAlignment="1" applyProtection="1"/>
    <xf numFmtId="0" fontId="27" fillId="24" borderId="110" xfId="44" applyFont="1" applyFill="1" applyBorder="1" applyAlignment="1" applyProtection="1">
      <alignment horizontal="right"/>
    </xf>
    <xf numFmtId="0" fontId="27" fillId="24" borderId="90" xfId="44" applyFont="1" applyFill="1" applyBorder="1" applyAlignment="1" applyProtection="1">
      <alignment vertical="center"/>
    </xf>
    <xf numFmtId="0" fontId="27" fillId="24" borderId="88" xfId="44" applyFont="1" applyFill="1" applyBorder="1" applyAlignment="1" applyProtection="1">
      <alignment horizontal="left"/>
    </xf>
    <xf numFmtId="0" fontId="27" fillId="24" borderId="0" xfId="44" applyFont="1" applyFill="1" applyBorder="1" applyAlignment="1" applyProtection="1"/>
    <xf numFmtId="177" fontId="27" fillId="24" borderId="10" xfId="28" applyNumberFormat="1" applyFont="1" applyFill="1" applyBorder="1" applyProtection="1">
      <alignment vertical="center"/>
    </xf>
    <xf numFmtId="40" fontId="27" fillId="24" borderId="10" xfId="0" applyNumberFormat="1" applyFont="1" applyFill="1" applyBorder="1" applyProtection="1">
      <alignment vertical="center"/>
    </xf>
    <xf numFmtId="177" fontId="27" fillId="24" borderId="0" xfId="0" applyNumberFormat="1" applyFont="1" applyFill="1" applyBorder="1" applyAlignment="1" applyProtection="1">
      <alignment horizontal="left" vertical="center"/>
    </xf>
    <xf numFmtId="196" fontId="27" fillId="24" borderId="10" xfId="35" applyNumberFormat="1" applyFont="1" applyFill="1" applyBorder="1" applyAlignment="1" applyProtection="1"/>
    <xf numFmtId="40" fontId="27" fillId="24" borderId="10" xfId="35" applyNumberFormat="1" applyFont="1" applyFill="1" applyBorder="1" applyAlignment="1" applyProtection="1">
      <alignment horizontal="right" vertical="center"/>
    </xf>
    <xf numFmtId="40" fontId="27" fillId="24" borderId="68" xfId="35" applyNumberFormat="1" applyFont="1" applyFill="1" applyBorder="1" applyAlignment="1" applyProtection="1">
      <alignment horizontal="right" vertical="center"/>
    </xf>
    <xf numFmtId="0" fontId="0" fillId="45" borderId="0" xfId="0" applyFill="1">
      <alignment vertical="center"/>
    </xf>
    <xf numFmtId="0" fontId="27" fillId="24" borderId="23" xfId="0" applyFont="1" applyFill="1" applyBorder="1" applyAlignment="1">
      <alignment vertical="top"/>
    </xf>
    <xf numFmtId="0" fontId="27" fillId="24" borderId="50" xfId="0" applyFont="1" applyFill="1" applyBorder="1" applyAlignment="1">
      <alignment vertical="top"/>
    </xf>
    <xf numFmtId="0" fontId="27" fillId="24" borderId="52" xfId="0" applyFont="1" applyFill="1" applyBorder="1" applyAlignment="1">
      <alignment vertical="top"/>
    </xf>
    <xf numFmtId="212" fontId="27" fillId="24" borderId="10" xfId="0" applyNumberFormat="1" applyFont="1" applyFill="1" applyBorder="1">
      <alignment vertical="center"/>
    </xf>
    <xf numFmtId="0" fontId="27" fillId="24" borderId="22" xfId="0" applyFont="1" applyFill="1" applyBorder="1" applyAlignment="1">
      <alignment vertical="top"/>
    </xf>
    <xf numFmtId="0" fontId="27" fillId="24" borderId="61" xfId="0" applyFont="1" applyFill="1" applyBorder="1" applyAlignment="1">
      <alignment vertical="top"/>
    </xf>
    <xf numFmtId="0" fontId="27" fillId="24" borderId="53" xfId="0" applyFont="1" applyFill="1" applyBorder="1" applyAlignment="1">
      <alignment vertical="top"/>
    </xf>
    <xf numFmtId="0" fontId="27" fillId="24" borderId="10" xfId="0" applyFont="1" applyFill="1" applyBorder="1" applyAlignment="1">
      <alignment vertical="top"/>
    </xf>
    <xf numFmtId="0" fontId="27" fillId="24" borderId="24" xfId="0" applyFont="1" applyFill="1" applyBorder="1" applyAlignment="1">
      <alignment vertical="top"/>
    </xf>
    <xf numFmtId="0" fontId="27" fillId="24" borderId="51" xfId="0" applyFont="1" applyFill="1" applyBorder="1" applyAlignment="1">
      <alignment vertical="top"/>
    </xf>
    <xf numFmtId="0" fontId="27" fillId="24" borderId="55" xfId="0" applyFont="1" applyFill="1" applyBorder="1" applyAlignment="1">
      <alignment vertical="top"/>
    </xf>
    <xf numFmtId="0" fontId="27" fillId="24" borderId="0" xfId="0" applyFont="1" applyFill="1" applyBorder="1" applyAlignment="1">
      <alignment vertical="top"/>
    </xf>
    <xf numFmtId="38" fontId="27" fillId="24" borderId="0" xfId="35" applyFont="1" applyFill="1" applyBorder="1">
      <alignment vertical="center"/>
    </xf>
    <xf numFmtId="212" fontId="27" fillId="24" borderId="133" xfId="0" applyNumberFormat="1" applyFont="1" applyFill="1" applyBorder="1">
      <alignment vertical="center"/>
    </xf>
    <xf numFmtId="38" fontId="0" fillId="0" borderId="0" xfId="35" applyFont="1">
      <alignment vertical="center"/>
    </xf>
    <xf numFmtId="0" fontId="0" fillId="47" borderId="10" xfId="0" applyFill="1" applyBorder="1">
      <alignment vertical="center"/>
    </xf>
    <xf numFmtId="185" fontId="41" fillId="24" borderId="133" xfId="35" applyNumberFormat="1" applyFont="1" applyFill="1" applyBorder="1" applyAlignment="1" applyProtection="1">
      <alignment horizontal="center" vertical="center"/>
    </xf>
    <xf numFmtId="40" fontId="27" fillId="24" borderId="90" xfId="0" applyNumberFormat="1" applyFont="1" applyFill="1" applyBorder="1" applyProtection="1">
      <alignment vertical="center"/>
    </xf>
    <xf numFmtId="40" fontId="27" fillId="24" borderId="0" xfId="0" applyNumberFormat="1" applyFont="1" applyFill="1" applyBorder="1" applyProtection="1">
      <alignment vertical="center"/>
    </xf>
    <xf numFmtId="177" fontId="27" fillId="24" borderId="88" xfId="0" applyNumberFormat="1" applyFont="1" applyFill="1" applyBorder="1" applyAlignment="1" applyProtection="1">
      <alignment horizontal="right" vertical="center"/>
    </xf>
    <xf numFmtId="38" fontId="27" fillId="24" borderId="10" xfId="0" applyNumberFormat="1" applyFont="1" applyFill="1" applyBorder="1" applyProtection="1">
      <alignment vertical="center"/>
    </xf>
    <xf numFmtId="176" fontId="40" fillId="24" borderId="10" xfId="44" applyNumberFormat="1" applyFont="1" applyFill="1" applyBorder="1" applyAlignment="1" applyProtection="1">
      <alignment vertical="center"/>
    </xf>
    <xf numFmtId="176" fontId="27" fillId="24" borderId="10" xfId="44" applyNumberFormat="1" applyFont="1" applyFill="1" applyBorder="1" applyAlignment="1" applyProtection="1">
      <alignment horizontal="center" vertical="center"/>
    </xf>
    <xf numFmtId="176" fontId="27" fillId="24" borderId="10" xfId="28" applyNumberFormat="1" applyFont="1" applyFill="1" applyBorder="1" applyAlignment="1" applyProtection="1">
      <alignment horizontal="center" vertical="center"/>
    </xf>
    <xf numFmtId="0" fontId="40" fillId="24" borderId="0" xfId="44" applyFont="1" applyFill="1" applyBorder="1" applyAlignment="1" applyProtection="1">
      <alignment horizontal="left" vertical="center"/>
    </xf>
    <xf numFmtId="198" fontId="27" fillId="24" borderId="0" xfId="0" applyNumberFormat="1" applyFont="1" applyFill="1" applyBorder="1" applyProtection="1">
      <alignment vertical="center"/>
    </xf>
    <xf numFmtId="38" fontId="27" fillId="24" borderId="0" xfId="0" applyNumberFormat="1" applyFont="1" applyFill="1" applyBorder="1" applyProtection="1">
      <alignment vertical="center"/>
    </xf>
    <xf numFmtId="177" fontId="40" fillId="24" borderId="10" xfId="44" applyNumberFormat="1" applyFont="1" applyFill="1" applyBorder="1" applyAlignment="1" applyProtection="1">
      <alignment vertical="center"/>
    </xf>
    <xf numFmtId="186" fontId="40" fillId="24" borderId="10" xfId="44" applyNumberFormat="1" applyFont="1" applyFill="1" applyBorder="1" applyAlignment="1" applyProtection="1">
      <alignment vertical="center"/>
    </xf>
    <xf numFmtId="186" fontId="27" fillId="24" borderId="10" xfId="28" applyNumberFormat="1" applyFont="1" applyFill="1" applyBorder="1" applyAlignment="1" applyProtection="1">
      <alignment horizontal="center" vertical="center"/>
    </xf>
    <xf numFmtId="0" fontId="180" fillId="24" borderId="0" xfId="0" applyFont="1" applyFill="1" applyBorder="1" applyProtection="1">
      <alignment vertical="center"/>
    </xf>
    <xf numFmtId="0" fontId="27" fillId="24" borderId="0" xfId="44" applyFont="1" applyFill="1" applyBorder="1" applyAlignment="1" applyProtection="1">
      <alignment horizontal="right"/>
    </xf>
    <xf numFmtId="40" fontId="27" fillId="24" borderId="0" xfId="35" applyNumberFormat="1" applyFont="1" applyFill="1" applyBorder="1" applyAlignment="1" applyProtection="1">
      <alignment horizontal="right" vertical="center"/>
    </xf>
    <xf numFmtId="40" fontId="27" fillId="24" borderId="88" xfId="35" applyNumberFormat="1" applyFont="1" applyFill="1" applyBorder="1" applyAlignment="1" applyProtection="1">
      <alignment horizontal="right" vertical="center"/>
    </xf>
    <xf numFmtId="0" fontId="41" fillId="24" borderId="88" xfId="44" applyFont="1" applyFill="1" applyBorder="1" applyAlignment="1" applyProtection="1">
      <alignment horizontal="center" vertical="center"/>
    </xf>
    <xf numFmtId="0" fontId="28" fillId="24" borderId="0" xfId="44" applyFont="1" applyFill="1" applyBorder="1" applyAlignment="1" applyProtection="1">
      <alignment horizontal="right" vertical="center"/>
    </xf>
    <xf numFmtId="177" fontId="27" fillId="24" borderId="10" xfId="44" applyNumberFormat="1" applyFont="1" applyFill="1" applyBorder="1" applyAlignment="1" applyProtection="1">
      <alignment vertical="center"/>
    </xf>
    <xf numFmtId="177" fontId="27" fillId="24" borderId="50" xfId="44" applyNumberFormat="1" applyFont="1" applyFill="1" applyBorder="1" applyAlignment="1" applyProtection="1">
      <alignment vertical="center"/>
    </xf>
    <xf numFmtId="177" fontId="27" fillId="24" borderId="10" xfId="28" applyNumberFormat="1" applyFont="1" applyFill="1" applyBorder="1" applyAlignment="1" applyProtection="1">
      <alignment horizontal="center" vertical="center"/>
    </xf>
    <xf numFmtId="177" fontId="27" fillId="24" borderId="68" xfId="44" applyNumberFormat="1" applyFont="1" applyFill="1" applyBorder="1" applyAlignment="1" applyProtection="1">
      <alignment vertical="center"/>
    </xf>
    <xf numFmtId="0" fontId="28" fillId="24" borderId="0" xfId="44" applyFont="1" applyFill="1" applyBorder="1" applyAlignment="1" applyProtection="1">
      <alignment horizontal="left" vertical="center"/>
    </xf>
    <xf numFmtId="177" fontId="27" fillId="24" borderId="0" xfId="44" applyNumberFormat="1" applyFont="1" applyFill="1" applyBorder="1" applyAlignment="1" applyProtection="1">
      <alignment vertical="center"/>
    </xf>
    <xf numFmtId="176" fontId="27" fillId="24" borderId="0" xfId="44" applyNumberFormat="1" applyFont="1" applyFill="1" applyBorder="1" applyAlignment="1" applyProtection="1">
      <alignment horizontal="center" vertical="center"/>
    </xf>
    <xf numFmtId="177" fontId="27" fillId="24" borderId="0" xfId="28" applyNumberFormat="1" applyFont="1" applyFill="1" applyBorder="1" applyAlignment="1" applyProtection="1">
      <alignment horizontal="center" vertical="center"/>
    </xf>
    <xf numFmtId="177" fontId="27" fillId="24" borderId="88" xfId="44" applyNumberFormat="1" applyFont="1" applyFill="1" applyBorder="1" applyAlignment="1" applyProtection="1">
      <alignment vertical="center"/>
    </xf>
    <xf numFmtId="0" fontId="27" fillId="24" borderId="10" xfId="44" applyFont="1" applyFill="1" applyBorder="1" applyAlignment="1" applyProtection="1">
      <alignment vertical="center"/>
    </xf>
    <xf numFmtId="0" fontId="27" fillId="24" borderId="0" xfId="44" applyFont="1" applyFill="1" applyBorder="1" applyAlignment="1" applyProtection="1">
      <alignment horizontal="center" vertical="center"/>
    </xf>
    <xf numFmtId="179" fontId="27" fillId="24" borderId="0" xfId="44" applyNumberFormat="1" applyFont="1" applyFill="1" applyBorder="1" applyAlignment="1" applyProtection="1">
      <alignment horizontal="center" vertical="center"/>
    </xf>
    <xf numFmtId="0" fontId="27" fillId="24" borderId="88" xfId="44" applyFont="1" applyFill="1" applyBorder="1" applyAlignment="1" applyProtection="1">
      <alignment vertical="center"/>
    </xf>
    <xf numFmtId="0" fontId="41" fillId="24" borderId="90" xfId="0" applyFont="1" applyFill="1" applyBorder="1" applyProtection="1">
      <alignment vertical="center"/>
    </xf>
    <xf numFmtId="9" fontId="27" fillId="24" borderId="10" xfId="0" applyNumberFormat="1" applyFont="1" applyFill="1" applyBorder="1" applyProtection="1">
      <alignment vertical="center"/>
    </xf>
    <xf numFmtId="9" fontId="27" fillId="24" borderId="10" xfId="28" applyFont="1" applyFill="1" applyBorder="1" applyProtection="1">
      <alignment vertical="center"/>
    </xf>
    <xf numFmtId="178" fontId="27" fillId="24" borderId="133" xfId="44" applyNumberFormat="1" applyFont="1" applyFill="1" applyBorder="1" applyAlignment="1" applyProtection="1">
      <alignment horizontal="right" vertical="center"/>
    </xf>
    <xf numFmtId="178" fontId="27" fillId="24" borderId="0" xfId="44" applyNumberFormat="1" applyFont="1" applyFill="1" applyBorder="1" applyAlignment="1" applyProtection="1">
      <alignment horizontal="right" vertical="center"/>
    </xf>
    <xf numFmtId="178" fontId="27" fillId="24" borderId="88" xfId="44" applyNumberFormat="1" applyFont="1" applyFill="1" applyBorder="1" applyAlignment="1" applyProtection="1">
      <alignment horizontal="right" vertical="center"/>
    </xf>
    <xf numFmtId="176" fontId="27" fillId="24" borderId="52" xfId="44" applyNumberFormat="1" applyFont="1" applyFill="1" applyBorder="1" applyAlignment="1" applyProtection="1">
      <alignment horizontal="center" vertical="center"/>
    </xf>
    <xf numFmtId="195" fontId="27" fillId="24" borderId="10" xfId="0" applyNumberFormat="1" applyFont="1" applyFill="1" applyBorder="1" applyProtection="1">
      <alignment vertical="center"/>
    </xf>
    <xf numFmtId="0" fontId="27" fillId="24" borderId="68" xfId="0" applyFont="1" applyFill="1" applyBorder="1" applyProtection="1">
      <alignment vertical="center"/>
    </xf>
    <xf numFmtId="0" fontId="27" fillId="24" borderId="133" xfId="0" applyFont="1" applyFill="1" applyBorder="1" applyAlignment="1" applyProtection="1">
      <alignment horizontal="left" vertical="center"/>
    </xf>
    <xf numFmtId="0" fontId="27" fillId="24" borderId="88" xfId="0" applyFont="1" applyFill="1" applyBorder="1" applyAlignment="1" applyProtection="1">
      <alignment horizontal="left" vertical="center"/>
    </xf>
    <xf numFmtId="0" fontId="27" fillId="24" borderId="90" xfId="44" applyFont="1" applyFill="1" applyBorder="1" applyAlignment="1" applyProtection="1"/>
    <xf numFmtId="0" fontId="27" fillId="24" borderId="0" xfId="44" applyFont="1" applyFill="1" applyBorder="1" applyAlignment="1" applyProtection="1">
      <alignment horizontal="left"/>
    </xf>
    <xf numFmtId="38" fontId="27" fillId="24" borderId="10" xfId="35" applyFont="1" applyFill="1" applyBorder="1" applyAlignment="1" applyProtection="1"/>
    <xf numFmtId="0" fontId="27" fillId="24" borderId="50" xfId="0" applyFont="1" applyFill="1" applyBorder="1" applyProtection="1">
      <alignment vertical="center"/>
    </xf>
    <xf numFmtId="38" fontId="27" fillId="24" borderId="0" xfId="35" applyFont="1" applyFill="1" applyBorder="1" applyAlignment="1" applyProtection="1"/>
    <xf numFmtId="38" fontId="27" fillId="24" borderId="88" xfId="35" applyFont="1" applyFill="1" applyBorder="1" applyAlignment="1" applyProtection="1"/>
    <xf numFmtId="0" fontId="27" fillId="24" borderId="68" xfId="44" applyFont="1" applyFill="1" applyBorder="1" applyAlignment="1" applyProtection="1"/>
    <xf numFmtId="38" fontId="27" fillId="24" borderId="116" xfId="35" applyFont="1" applyFill="1" applyBorder="1" applyAlignment="1" applyProtection="1"/>
    <xf numFmtId="38" fontId="27" fillId="24" borderId="50" xfId="35" applyFont="1" applyFill="1" applyBorder="1" applyAlignment="1" applyProtection="1"/>
    <xf numFmtId="38" fontId="27" fillId="24" borderId="118" xfId="35" applyFont="1" applyFill="1" applyBorder="1" applyAlignment="1" applyProtection="1"/>
    <xf numFmtId="38" fontId="27" fillId="24" borderId="145" xfId="35" applyFont="1" applyFill="1" applyBorder="1" applyAlignment="1" applyProtection="1"/>
    <xf numFmtId="0" fontId="27" fillId="24" borderId="0" xfId="0" applyFont="1" applyFill="1" applyBorder="1" applyAlignment="1" applyProtection="1">
      <alignment horizontal="right"/>
    </xf>
    <xf numFmtId="38" fontId="27" fillId="24" borderId="10" xfId="35" applyFont="1" applyFill="1" applyBorder="1" applyAlignment="1" applyProtection="1">
      <alignment vertical="center"/>
    </xf>
    <xf numFmtId="177" fontId="27" fillId="24" borderId="10" xfId="44" applyNumberFormat="1" applyFont="1" applyFill="1" applyBorder="1" applyAlignment="1" applyProtection="1">
      <alignment horizontal="right" vertical="center"/>
    </xf>
    <xf numFmtId="40" fontId="27" fillId="24" borderId="68" xfId="35" applyNumberFormat="1" applyFont="1" applyFill="1" applyBorder="1" applyAlignment="1" applyProtection="1">
      <alignment vertical="center"/>
    </xf>
    <xf numFmtId="0" fontId="28" fillId="24" borderId="0" xfId="0" applyFont="1" applyFill="1" applyBorder="1" applyAlignment="1" applyProtection="1">
      <alignment horizontal="center" vertical="center"/>
    </xf>
    <xf numFmtId="179" fontId="27" fillId="24" borderId="0" xfId="44" applyNumberFormat="1" applyFont="1" applyFill="1" applyBorder="1" applyAlignment="1" applyProtection="1">
      <alignment horizontal="left" vertical="center"/>
    </xf>
    <xf numFmtId="178" fontId="6" fillId="24" borderId="136" xfId="44" applyNumberFormat="1" applyFont="1" applyFill="1" applyBorder="1" applyAlignment="1" applyProtection="1">
      <alignment horizontal="right" vertical="center"/>
    </xf>
    <xf numFmtId="209" fontId="41" fillId="24" borderId="10" xfId="35" applyNumberFormat="1" applyFont="1" applyFill="1" applyBorder="1" applyAlignment="1" applyProtection="1">
      <alignment horizontal="center" vertical="center"/>
      <protection hidden="1"/>
    </xf>
    <xf numFmtId="190" fontId="27" fillId="49" borderId="10" xfId="35" applyNumberFormat="1" applyFont="1" applyFill="1" applyBorder="1" applyAlignment="1" applyProtection="1">
      <alignment horizontal="center" vertical="center"/>
      <protection hidden="1"/>
    </xf>
    <xf numFmtId="2" fontId="27" fillId="49" borderId="10" xfId="35" applyNumberFormat="1" applyFont="1" applyFill="1" applyBorder="1" applyAlignment="1" applyProtection="1">
      <alignment horizontal="center" vertical="center"/>
      <protection hidden="1"/>
    </xf>
    <xf numFmtId="2" fontId="27" fillId="44" borderId="10" xfId="35" applyNumberFormat="1" applyFont="1" applyFill="1" applyBorder="1" applyAlignment="1" applyProtection="1">
      <alignment horizontal="center" vertical="center"/>
      <protection hidden="1"/>
    </xf>
    <xf numFmtId="2" fontId="27" fillId="33" borderId="10" xfId="35" applyNumberFormat="1" applyFont="1" applyFill="1" applyBorder="1" applyAlignment="1" applyProtection="1">
      <alignment horizontal="center" vertical="center"/>
      <protection hidden="1"/>
    </xf>
    <xf numFmtId="2" fontId="27" fillId="32" borderId="10" xfId="35" applyNumberFormat="1" applyFont="1" applyFill="1" applyBorder="1" applyAlignment="1" applyProtection="1">
      <alignment horizontal="center" vertical="center"/>
      <protection hidden="1"/>
    </xf>
    <xf numFmtId="49" fontId="41" fillId="24" borderId="10" xfId="0" quotePrefix="1" applyNumberFormat="1" applyFont="1" applyFill="1" applyBorder="1" applyAlignment="1" applyProtection="1">
      <alignment horizontal="left" vertical="center"/>
      <protection hidden="1"/>
    </xf>
    <xf numFmtId="181" fontId="27" fillId="24" borderId="10" xfId="0" applyNumberFormat="1" applyFont="1" applyFill="1" applyBorder="1" applyAlignment="1" applyProtection="1">
      <alignment horizontal="right" vertical="center"/>
    </xf>
    <xf numFmtId="0" fontId="181" fillId="0" borderId="0" xfId="0" applyFont="1" applyProtection="1">
      <alignment vertical="center"/>
    </xf>
    <xf numFmtId="0" fontId="181" fillId="42" borderId="0" xfId="0" applyFont="1" applyFill="1" applyAlignment="1" applyProtection="1">
      <alignment horizontal="left" vertical="center"/>
    </xf>
    <xf numFmtId="0" fontId="27" fillId="0" borderId="194" xfId="0" applyFont="1" applyBorder="1" applyAlignment="1">
      <alignment vertical="top"/>
    </xf>
    <xf numFmtId="0" fontId="27" fillId="0" borderId="163" xfId="0" applyFont="1" applyBorder="1" applyAlignment="1">
      <alignment vertical="top"/>
    </xf>
    <xf numFmtId="0" fontId="27" fillId="0" borderId="78" xfId="0" applyFont="1" applyBorder="1" applyAlignment="1">
      <alignment vertical="top"/>
    </xf>
    <xf numFmtId="9" fontId="27" fillId="27" borderId="197" xfId="28" applyFont="1" applyFill="1" applyBorder="1" applyAlignment="1" applyProtection="1">
      <alignment vertical="center"/>
      <protection locked="0"/>
    </xf>
    <xf numFmtId="9" fontId="27" fillId="50" borderId="121" xfId="28" applyFont="1" applyFill="1" applyBorder="1" applyAlignment="1" applyProtection="1">
      <alignment vertical="center"/>
      <protection locked="0"/>
    </xf>
    <xf numFmtId="9" fontId="27" fillId="27" borderId="198" xfId="28" applyFont="1" applyFill="1" applyBorder="1" applyAlignment="1" applyProtection="1">
      <alignment vertical="center"/>
      <protection locked="0"/>
    </xf>
    <xf numFmtId="0" fontId="0" fillId="51" borderId="65" xfId="0" applyFill="1" applyBorder="1" applyProtection="1">
      <alignment vertical="center"/>
    </xf>
    <xf numFmtId="38" fontId="30" fillId="51" borderId="24" xfId="35" applyFont="1" applyFill="1" applyBorder="1" applyAlignment="1" applyProtection="1">
      <alignment horizontal="right" vertical="center"/>
    </xf>
    <xf numFmtId="38" fontId="30" fillId="24" borderId="10" xfId="35" applyFont="1" applyFill="1" applyBorder="1" applyAlignment="1" applyProtection="1">
      <alignment horizontal="right" vertical="center"/>
    </xf>
    <xf numFmtId="0" fontId="28" fillId="42" borderId="0" xfId="0" applyFont="1" applyFill="1" applyAlignment="1" applyProtection="1">
      <alignment horizontal="left" vertical="center"/>
    </xf>
    <xf numFmtId="38" fontId="30" fillId="27" borderId="50" xfId="35" applyFont="1" applyFill="1" applyBorder="1" applyAlignment="1" applyProtection="1">
      <alignment horizontal="right" vertical="center"/>
      <protection locked="0"/>
    </xf>
    <xf numFmtId="0" fontId="0" fillId="27" borderId="228" xfId="0" applyFill="1" applyBorder="1" applyProtection="1">
      <alignment vertical="center"/>
      <protection locked="0"/>
    </xf>
    <xf numFmtId="38" fontId="30" fillId="27" borderId="53" xfId="35" applyFont="1" applyFill="1" applyBorder="1" applyAlignment="1" applyProtection="1">
      <alignment horizontal="right" vertical="center"/>
      <protection locked="0"/>
    </xf>
    <xf numFmtId="38" fontId="6" fillId="27" borderId="136" xfId="35" applyFont="1" applyFill="1" applyBorder="1" applyProtection="1">
      <alignment vertical="center"/>
      <protection locked="0"/>
    </xf>
    <xf numFmtId="38" fontId="82" fillId="27" borderId="213" xfId="35" applyFont="1" applyFill="1" applyBorder="1" applyAlignment="1" applyProtection="1">
      <alignment horizontal="left" vertical="center"/>
      <protection locked="0"/>
    </xf>
    <xf numFmtId="181" fontId="75" fillId="43" borderId="116" xfId="0" applyNumberFormat="1" applyFont="1" applyFill="1" applyBorder="1" applyProtection="1">
      <alignment vertical="center"/>
      <protection locked="0"/>
    </xf>
    <xf numFmtId="181" fontId="75" fillId="43" borderId="118" xfId="0" applyNumberFormat="1" applyFont="1" applyFill="1" applyBorder="1" applyProtection="1">
      <alignment vertical="center"/>
      <protection locked="0"/>
    </xf>
    <xf numFmtId="181" fontId="75" fillId="43" borderId="145" xfId="0" applyNumberFormat="1" applyFont="1" applyFill="1" applyBorder="1" applyProtection="1">
      <alignment vertical="center"/>
      <protection locked="0"/>
    </xf>
    <xf numFmtId="38" fontId="27" fillId="24" borderId="0" xfId="35" applyFont="1" applyFill="1" applyBorder="1" applyAlignment="1" applyProtection="1">
      <alignment vertical="center"/>
    </xf>
    <xf numFmtId="40" fontId="27" fillId="24" borderId="85" xfId="35" applyNumberFormat="1" applyFont="1" applyFill="1" applyBorder="1" applyAlignment="1" applyProtection="1">
      <alignment vertical="center"/>
    </xf>
    <xf numFmtId="176" fontId="40" fillId="24" borderId="23" xfId="44" applyNumberFormat="1" applyFont="1" applyFill="1" applyBorder="1" applyAlignment="1" applyProtection="1">
      <alignment vertical="center"/>
    </xf>
    <xf numFmtId="38" fontId="27" fillId="27" borderId="133" xfId="35" applyFont="1" applyFill="1" applyBorder="1" applyAlignment="1" applyProtection="1">
      <alignment horizontal="right" vertical="center"/>
      <protection locked="0"/>
    </xf>
    <xf numFmtId="9" fontId="32" fillId="24" borderId="0" xfId="28" applyFont="1" applyFill="1" applyBorder="1" applyAlignment="1" applyProtection="1">
      <alignment vertical="center"/>
      <protection hidden="1"/>
    </xf>
    <xf numFmtId="0" fontId="0" fillId="24" borderId="50" xfId="44" applyFont="1" applyFill="1" applyBorder="1" applyAlignment="1" applyProtection="1">
      <alignment horizontal="left" vertical="center"/>
    </xf>
    <xf numFmtId="0" fontId="0" fillId="24" borderId="24" xfId="44" applyFont="1" applyFill="1" applyBorder="1" applyAlignment="1" applyProtection="1">
      <alignment horizontal="left" vertical="center"/>
    </xf>
    <xf numFmtId="0" fontId="27" fillId="24" borderId="59" xfId="44" applyFont="1" applyFill="1" applyBorder="1" applyAlignment="1" applyProtection="1">
      <alignment vertical="center"/>
    </xf>
    <xf numFmtId="0" fontId="6" fillId="24" borderId="60" xfId="44" applyFont="1" applyFill="1" applyBorder="1" applyAlignment="1" applyProtection="1">
      <alignment vertical="center"/>
    </xf>
    <xf numFmtId="0" fontId="2" fillId="30" borderId="85" xfId="44" applyFont="1" applyFill="1" applyBorder="1" applyAlignment="1" applyProtection="1">
      <alignment vertical="center"/>
    </xf>
    <xf numFmtId="0" fontId="4" fillId="30" borderId="53" xfId="44" applyFont="1" applyFill="1" applyBorder="1" applyAlignment="1" applyProtection="1">
      <alignment vertical="center"/>
    </xf>
    <xf numFmtId="0" fontId="31" fillId="30" borderId="54" xfId="44" applyFont="1" applyFill="1" applyBorder="1" applyAlignment="1" applyProtection="1">
      <alignment horizontal="left" vertical="center"/>
    </xf>
    <xf numFmtId="0" fontId="31" fillId="30" borderId="54" xfId="44" applyFont="1" applyFill="1" applyBorder="1" applyAlignment="1" applyProtection="1">
      <alignment vertical="center"/>
    </xf>
    <xf numFmtId="0" fontId="2" fillId="30" borderId="55" xfId="44" applyFont="1" applyFill="1" applyBorder="1" applyAlignment="1" applyProtection="1">
      <alignment vertical="center"/>
    </xf>
    <xf numFmtId="178" fontId="4" fillId="30" borderId="23" xfId="44" applyNumberFormat="1" applyFont="1" applyFill="1" applyBorder="1" applyAlignment="1" applyProtection="1">
      <alignment horizontal="right" vertical="center"/>
    </xf>
    <xf numFmtId="178" fontId="4" fillId="30" borderId="136" xfId="44" applyNumberFormat="1" applyFont="1" applyFill="1" applyBorder="1" applyAlignment="1" applyProtection="1">
      <alignment horizontal="right" vertical="center"/>
    </xf>
    <xf numFmtId="0" fontId="27" fillId="24" borderId="61" xfId="0" applyFont="1" applyFill="1" applyBorder="1" applyAlignment="1">
      <alignment horizontal="center" vertical="center" wrapText="1"/>
    </xf>
    <xf numFmtId="177" fontId="27" fillId="24" borderId="0" xfId="28" applyNumberFormat="1" applyFont="1" applyFill="1" applyBorder="1" applyProtection="1">
      <alignment vertical="center"/>
    </xf>
    <xf numFmtId="181" fontId="27" fillId="24" borderId="0" xfId="0" applyNumberFormat="1" applyFont="1" applyFill="1" applyBorder="1" applyAlignment="1" applyProtection="1">
      <alignment horizontal="right" vertical="center"/>
    </xf>
    <xf numFmtId="196" fontId="27" fillId="24" borderId="0" xfId="35" applyNumberFormat="1" applyFont="1" applyFill="1" applyBorder="1" applyAlignment="1" applyProtection="1"/>
    <xf numFmtId="9" fontId="27" fillId="24" borderId="146" xfId="0" applyNumberFormat="1" applyFont="1" applyFill="1" applyBorder="1" applyAlignment="1" applyProtection="1">
      <alignment horizontal="center" vertical="center" wrapText="1"/>
    </xf>
    <xf numFmtId="41" fontId="27" fillId="24" borderId="10" xfId="0" applyNumberFormat="1" applyFont="1" applyFill="1" applyBorder="1" applyAlignment="1">
      <alignment vertical="center"/>
    </xf>
    <xf numFmtId="0" fontId="0" fillId="0" borderId="50" xfId="0" applyBorder="1">
      <alignment vertical="center"/>
    </xf>
    <xf numFmtId="0" fontId="0" fillId="0" borderId="52" xfId="0" applyBorder="1">
      <alignment vertical="center"/>
    </xf>
    <xf numFmtId="178" fontId="27" fillId="24" borderId="147" xfId="0" quotePrefix="1" applyNumberFormat="1" applyFont="1" applyFill="1" applyBorder="1" applyAlignment="1">
      <alignment horizontal="center" vertical="center"/>
    </xf>
    <xf numFmtId="178" fontId="27" fillId="24" borderId="200" xfId="0" applyNumberFormat="1" applyFont="1" applyFill="1" applyBorder="1" applyAlignment="1">
      <alignment horizontal="center" vertical="center"/>
    </xf>
    <xf numFmtId="178" fontId="27" fillId="24" borderId="147" xfId="0" applyNumberFormat="1" applyFont="1" applyFill="1" applyBorder="1" applyAlignment="1">
      <alignment horizontal="center" vertical="center"/>
    </xf>
    <xf numFmtId="182" fontId="25" fillId="29" borderId="133" xfId="0" applyNumberFormat="1" applyFont="1" applyFill="1" applyBorder="1" applyAlignment="1" applyProtection="1">
      <alignment horizontal="center" vertical="center"/>
      <protection hidden="1"/>
    </xf>
    <xf numFmtId="0" fontId="0" fillId="0" borderId="10" xfId="0" applyBorder="1" applyProtection="1">
      <alignment vertical="center"/>
    </xf>
    <xf numFmtId="2" fontId="27" fillId="24" borderId="10" xfId="44" applyNumberFormat="1" applyFont="1" applyFill="1" applyBorder="1" applyAlignment="1" applyProtection="1">
      <alignment vertical="center"/>
    </xf>
    <xf numFmtId="0" fontId="65" fillId="24" borderId="20" xfId="29" applyNumberFormat="1" applyFont="1" applyFill="1" applyBorder="1" applyAlignment="1" applyProtection="1">
      <alignment horizontal="center" vertical="center"/>
      <protection hidden="1"/>
    </xf>
    <xf numFmtId="0" fontId="182" fillId="24" borderId="20" xfId="29" applyFont="1" applyFill="1" applyBorder="1" applyAlignment="1" applyProtection="1">
      <alignment horizontal="center" vertical="center"/>
      <protection hidden="1"/>
    </xf>
    <xf numFmtId="0" fontId="74" fillId="24" borderId="65" xfId="0" applyNumberFormat="1" applyFont="1" applyFill="1" applyBorder="1" applyAlignment="1" applyProtection="1">
      <alignment horizontal="center" vertical="center"/>
      <protection hidden="1"/>
    </xf>
    <xf numFmtId="0" fontId="182" fillId="24" borderId="24" xfId="29" applyFont="1" applyFill="1" applyBorder="1" applyAlignment="1" applyProtection="1">
      <alignment horizontal="center" vertical="center"/>
      <protection hidden="1"/>
    </xf>
    <xf numFmtId="0" fontId="65" fillId="24" borderId="24" xfId="29" applyNumberFormat="1" applyFont="1" applyFill="1" applyBorder="1" applyAlignment="1" applyProtection="1">
      <alignment horizontal="center" vertical="center"/>
      <protection hidden="1"/>
    </xf>
    <xf numFmtId="0" fontId="65" fillId="24" borderId="20" xfId="29" applyFont="1" applyFill="1" applyBorder="1" applyAlignment="1" applyProtection="1">
      <alignment horizontal="center" vertical="center"/>
      <protection hidden="1"/>
    </xf>
    <xf numFmtId="0" fontId="65" fillId="24" borderId="24" xfId="29" applyFont="1" applyFill="1" applyBorder="1" applyAlignment="1" applyProtection="1">
      <alignment horizontal="center" vertical="center"/>
      <protection hidden="1"/>
    </xf>
    <xf numFmtId="0" fontId="27" fillId="31" borderId="59" xfId="0" applyFont="1" applyFill="1" applyBorder="1" applyAlignment="1" applyProtection="1">
      <alignment vertical="center"/>
      <protection hidden="1"/>
    </xf>
    <xf numFmtId="0" fontId="27" fillId="31" borderId="50" xfId="0" applyFont="1" applyFill="1" applyBorder="1" applyAlignment="1" applyProtection="1">
      <alignment vertical="center"/>
      <protection hidden="1"/>
    </xf>
    <xf numFmtId="0" fontId="183" fillId="24" borderId="50" xfId="0" applyFont="1" applyFill="1" applyBorder="1" applyProtection="1">
      <alignment vertical="center"/>
      <protection hidden="1"/>
    </xf>
    <xf numFmtId="0" fontId="172" fillId="31" borderId="51" xfId="0" applyNumberFormat="1" applyFont="1" applyFill="1" applyBorder="1" applyAlignment="1" applyProtection="1">
      <alignment horizontal="left" vertical="center"/>
      <protection hidden="1"/>
    </xf>
    <xf numFmtId="0" fontId="65" fillId="24" borderId="20" xfId="29" quotePrefix="1" applyNumberFormat="1" applyFont="1" applyFill="1" applyBorder="1" applyAlignment="1" applyProtection="1">
      <alignment horizontal="center" vertical="center"/>
      <protection hidden="1"/>
    </xf>
    <xf numFmtId="0" fontId="65" fillId="24" borderId="24" xfId="29" quotePrefix="1" applyNumberFormat="1" applyFont="1" applyFill="1" applyBorder="1" applyAlignment="1" applyProtection="1">
      <alignment horizontal="center" vertical="center"/>
      <protection hidden="1"/>
    </xf>
    <xf numFmtId="0" fontId="28" fillId="24" borderId="22" xfId="0" applyFont="1" applyFill="1" applyBorder="1" applyAlignment="1" applyProtection="1">
      <alignment horizontal="center" vertical="center"/>
    </xf>
    <xf numFmtId="0" fontId="28" fillId="24" borderId="108" xfId="0" applyFont="1" applyFill="1" applyBorder="1" applyAlignment="1" applyProtection="1">
      <alignment horizontal="center" vertical="center"/>
    </xf>
    <xf numFmtId="0" fontId="27" fillId="50" borderId="200" xfId="0" applyFont="1" applyFill="1" applyBorder="1" applyAlignment="1" applyProtection="1">
      <alignment vertical="center" wrapText="1"/>
      <protection locked="0"/>
    </xf>
    <xf numFmtId="0" fontId="27" fillId="50" borderId="56" xfId="0" applyFont="1" applyFill="1" applyBorder="1" applyAlignment="1" applyProtection="1">
      <alignment vertical="center" wrapText="1"/>
      <protection locked="0"/>
    </xf>
    <xf numFmtId="0" fontId="27" fillId="50" borderId="150" xfId="0" applyFont="1" applyFill="1" applyBorder="1" applyAlignment="1" applyProtection="1">
      <alignment vertical="center" wrapText="1"/>
      <protection locked="0"/>
    </xf>
    <xf numFmtId="0" fontId="27" fillId="50" borderId="155" xfId="0" applyFont="1" applyFill="1" applyBorder="1" applyAlignment="1" applyProtection="1">
      <alignment horizontal="center" vertical="center" wrapText="1"/>
      <protection locked="0"/>
    </xf>
    <xf numFmtId="0" fontId="0" fillId="40" borderId="0" xfId="0" applyFill="1">
      <alignment vertical="center"/>
    </xf>
    <xf numFmtId="0" fontId="32" fillId="0" borderId="0" xfId="0" applyFont="1">
      <alignment vertical="center"/>
    </xf>
    <xf numFmtId="182" fontId="89" fillId="26" borderId="158" xfId="0" applyNumberFormat="1" applyFont="1" applyFill="1" applyBorder="1" applyAlignment="1" applyProtection="1">
      <alignment horizontal="center" vertical="center"/>
      <protection hidden="1"/>
    </xf>
    <xf numFmtId="179" fontId="37" fillId="26" borderId="229" xfId="0" applyNumberFormat="1" applyFont="1" applyFill="1" applyBorder="1" applyAlignment="1" applyProtection="1">
      <alignment horizontal="left"/>
      <protection hidden="1"/>
    </xf>
    <xf numFmtId="182" fontId="89" fillId="26" borderId="230" xfId="0" applyNumberFormat="1" applyFont="1" applyFill="1" applyBorder="1" applyAlignment="1" applyProtection="1">
      <alignment horizontal="center" vertical="center"/>
      <protection hidden="1"/>
    </xf>
    <xf numFmtId="191" fontId="90" fillId="24" borderId="71" xfId="0" applyNumberFormat="1" applyFont="1" applyFill="1" applyBorder="1" applyAlignment="1" applyProtection="1">
      <alignment horizontal="center" vertical="center"/>
      <protection hidden="1"/>
    </xf>
    <xf numFmtId="0" fontId="0" fillId="24" borderId="50" xfId="0" applyFont="1" applyFill="1" applyBorder="1" applyAlignment="1" applyProtection="1">
      <alignment horizontal="right" vertical="center"/>
      <protection hidden="1"/>
    </xf>
    <xf numFmtId="179" fontId="28" fillId="0" borderId="54" xfId="0" applyNumberFormat="1" applyFont="1" applyFill="1" applyBorder="1" applyAlignment="1" applyProtection="1">
      <alignment vertical="top" wrapText="1"/>
      <protection locked="0"/>
    </xf>
    <xf numFmtId="179" fontId="28" fillId="0" borderId="114" xfId="0" applyNumberFormat="1" applyFont="1" applyFill="1" applyBorder="1" applyAlignment="1" applyProtection="1">
      <alignment vertical="top" wrapText="1"/>
      <protection locked="0"/>
    </xf>
    <xf numFmtId="179" fontId="28" fillId="0" borderId="90" xfId="0" applyNumberFormat="1" applyFont="1" applyFill="1" applyBorder="1" applyAlignment="1" applyProtection="1">
      <alignment vertical="top" wrapText="1"/>
      <protection locked="0"/>
    </xf>
    <xf numFmtId="179" fontId="28" fillId="0" borderId="0" xfId="0" applyNumberFormat="1" applyFont="1" applyFill="1" applyBorder="1" applyAlignment="1" applyProtection="1">
      <alignment vertical="top" wrapText="1"/>
      <protection locked="0"/>
    </xf>
    <xf numFmtId="179" fontId="28" fillId="0" borderId="88" xfId="0" applyNumberFormat="1" applyFont="1" applyFill="1" applyBorder="1" applyAlignment="1" applyProtection="1">
      <alignment vertical="top" wrapText="1"/>
      <protection locked="0"/>
    </xf>
    <xf numFmtId="179" fontId="28" fillId="0" borderId="104" xfId="0" applyNumberFormat="1" applyFont="1" applyFill="1" applyBorder="1" applyAlignment="1" applyProtection="1">
      <alignment vertical="top"/>
      <protection locked="0"/>
    </xf>
    <xf numFmtId="191" fontId="90" fillId="24" borderId="54" xfId="0" applyNumberFormat="1" applyFont="1" applyFill="1" applyBorder="1" applyAlignment="1" applyProtection="1">
      <alignment horizontal="center" vertical="center"/>
      <protection hidden="1"/>
    </xf>
    <xf numFmtId="182" fontId="35" fillId="24" borderId="176" xfId="0" applyNumberFormat="1" applyFont="1" applyFill="1" applyBorder="1" applyAlignment="1" applyProtection="1">
      <alignment horizontal="center" vertical="center"/>
      <protection hidden="1"/>
    </xf>
    <xf numFmtId="182" fontId="35" fillId="24" borderId="231" xfId="0" applyNumberFormat="1" applyFont="1" applyFill="1" applyBorder="1" applyAlignment="1" applyProtection="1">
      <alignment horizontal="center" vertical="center"/>
      <protection hidden="1"/>
    </xf>
    <xf numFmtId="182" fontId="35" fillId="24" borderId="232" xfId="0" applyNumberFormat="1" applyFont="1" applyFill="1" applyBorder="1" applyAlignment="1" applyProtection="1">
      <alignment horizontal="center" vertical="center"/>
      <protection hidden="1"/>
    </xf>
    <xf numFmtId="182" fontId="28" fillId="24" borderId="83" xfId="0" applyNumberFormat="1" applyFont="1" applyFill="1" applyBorder="1" applyAlignment="1" applyProtection="1">
      <alignment horizontal="center" vertical="center"/>
    </xf>
    <xf numFmtId="182" fontId="28" fillId="0" borderId="73" xfId="0" applyNumberFormat="1" applyFont="1" applyFill="1" applyBorder="1" applyAlignment="1" applyProtection="1">
      <alignment horizontal="center" vertical="center"/>
      <protection locked="0" hidden="1"/>
    </xf>
    <xf numFmtId="182" fontId="47" fillId="24" borderId="171" xfId="0" applyNumberFormat="1" applyFont="1" applyFill="1" applyBorder="1" applyAlignment="1" applyProtection="1">
      <alignment horizontal="center" vertical="center"/>
      <protection hidden="1"/>
    </xf>
    <xf numFmtId="182" fontId="35" fillId="24" borderId="233" xfId="0" applyNumberFormat="1" applyFont="1" applyFill="1" applyBorder="1" applyAlignment="1" applyProtection="1">
      <alignment horizontal="center" vertical="center"/>
      <protection hidden="1"/>
    </xf>
    <xf numFmtId="191" fontId="90" fillId="24" borderId="132" xfId="0" applyNumberFormat="1" applyFont="1" applyFill="1" applyBorder="1" applyAlignment="1" applyProtection="1">
      <alignment horizontal="center" vertical="center"/>
      <protection hidden="1"/>
    </xf>
    <xf numFmtId="0" fontId="6" fillId="38" borderId="10" xfId="0" applyFont="1" applyFill="1" applyBorder="1" applyAlignment="1" applyProtection="1">
      <alignment horizontal="centerContinuous" vertical="center"/>
      <protection hidden="1"/>
    </xf>
    <xf numFmtId="186" fontId="67" fillId="38" borderId="10" xfId="35" applyNumberFormat="1" applyFont="1" applyFill="1" applyBorder="1" applyAlignment="1" applyProtection="1">
      <protection hidden="1"/>
    </xf>
    <xf numFmtId="186" fontId="29" fillId="38" borderId="10" xfId="35" applyNumberFormat="1" applyFont="1" applyFill="1" applyBorder="1" applyAlignment="1" applyProtection="1">
      <protection hidden="1"/>
    </xf>
    <xf numFmtId="0" fontId="27" fillId="38" borderId="22" xfId="0" applyFont="1" applyFill="1" applyBorder="1" applyAlignment="1" applyProtection="1">
      <alignment vertical="center"/>
      <protection hidden="1"/>
    </xf>
    <xf numFmtId="0" fontId="60" fillId="38" borderId="22" xfId="0" applyFont="1" applyFill="1" applyBorder="1" applyAlignment="1" applyProtection="1">
      <alignment vertical="center"/>
      <protection hidden="1"/>
    </xf>
    <xf numFmtId="179" fontId="37" fillId="26" borderId="157" xfId="0" applyNumberFormat="1" applyFont="1" applyFill="1" applyBorder="1" applyAlignment="1" applyProtection="1">
      <alignment horizontal="left"/>
      <protection hidden="1"/>
    </xf>
    <xf numFmtId="41" fontId="27" fillId="27" borderId="56" xfId="0" applyNumberFormat="1" applyFont="1" applyFill="1" applyBorder="1" applyAlignment="1" applyProtection="1">
      <alignment vertical="center" wrapText="1"/>
      <protection locked="0"/>
    </xf>
    <xf numFmtId="41" fontId="0" fillId="0" borderId="0" xfId="0" applyNumberFormat="1">
      <alignment vertical="center"/>
    </xf>
    <xf numFmtId="9" fontId="0" fillId="0" borderId="10" xfId="0" applyNumberFormat="1" applyBorder="1">
      <alignment vertical="center"/>
    </xf>
    <xf numFmtId="0" fontId="184" fillId="0" borderId="0" xfId="0" applyFont="1" applyProtection="1">
      <alignment vertical="center"/>
      <protection hidden="1"/>
    </xf>
    <xf numFmtId="0" fontId="28" fillId="0" borderId="0" xfId="0" applyFont="1">
      <alignment vertical="center"/>
    </xf>
    <xf numFmtId="0" fontId="184" fillId="0" borderId="0" xfId="0" applyFont="1">
      <alignment vertical="center"/>
    </xf>
    <xf numFmtId="0" fontId="27" fillId="0" borderId="0" xfId="48" applyFont="1" applyProtection="1">
      <alignment vertical="center"/>
      <protection hidden="1"/>
    </xf>
    <xf numFmtId="0" fontId="27" fillId="0" borderId="0" xfId="48" applyFont="1" applyAlignment="1" applyProtection="1">
      <alignment vertical="center"/>
      <protection hidden="1"/>
    </xf>
    <xf numFmtId="0" fontId="27" fillId="0" borderId="0" xfId="48" applyFont="1" applyAlignment="1" applyProtection="1">
      <alignment horizontal="center" vertical="center"/>
      <protection hidden="1"/>
    </xf>
    <xf numFmtId="0" fontId="27" fillId="0" borderId="0" xfId="48" applyFont="1" applyFill="1" applyAlignment="1" applyProtection="1">
      <alignment horizontal="center" vertical="center"/>
      <protection hidden="1"/>
    </xf>
    <xf numFmtId="0" fontId="28" fillId="0" borderId="0" xfId="48" applyFont="1" applyFill="1" applyAlignment="1" applyProtection="1">
      <alignment horizontal="center" vertical="center"/>
    </xf>
    <xf numFmtId="0" fontId="27" fillId="42" borderId="0" xfId="48" applyFont="1" applyFill="1" applyProtection="1">
      <alignment vertical="center"/>
      <protection hidden="1"/>
    </xf>
    <xf numFmtId="0" fontId="185" fillId="42" borderId="0" xfId="0" applyFont="1" applyFill="1" applyAlignment="1" applyProtection="1">
      <alignment vertical="center"/>
      <protection hidden="1"/>
    </xf>
    <xf numFmtId="0" fontId="186" fillId="42" borderId="0" xfId="0" applyFont="1" applyFill="1" applyAlignment="1" applyProtection="1">
      <alignment vertical="center"/>
      <protection hidden="1"/>
    </xf>
    <xf numFmtId="0" fontId="27" fillId="42" borderId="0" xfId="48" applyFont="1" applyFill="1" applyAlignment="1" applyProtection="1">
      <alignment vertical="center"/>
      <protection hidden="1"/>
    </xf>
    <xf numFmtId="0" fontId="27" fillId="42" borderId="0" xfId="48" applyFont="1" applyFill="1" applyAlignment="1" applyProtection="1">
      <alignment horizontal="center" vertical="center"/>
      <protection hidden="1"/>
    </xf>
    <xf numFmtId="0" fontId="187" fillId="42" borderId="0" xfId="0" applyFont="1" applyFill="1" applyAlignment="1" applyProtection="1">
      <alignment horizontal="right" vertical="center"/>
      <protection hidden="1"/>
    </xf>
    <xf numFmtId="0" fontId="28" fillId="0" borderId="0" xfId="48" applyFont="1" applyFill="1" applyBorder="1" applyProtection="1">
      <alignment vertical="center"/>
      <protection locked="0"/>
    </xf>
    <xf numFmtId="0" fontId="27" fillId="0" borderId="0" xfId="48" applyFont="1" applyProtection="1">
      <alignment vertical="center"/>
      <protection locked="0"/>
    </xf>
    <xf numFmtId="0" fontId="28" fillId="42" borderId="0" xfId="0" applyFont="1" applyFill="1" applyBorder="1" applyAlignment="1" applyProtection="1">
      <alignment horizontal="right"/>
      <protection hidden="1"/>
    </xf>
    <xf numFmtId="0" fontId="25" fillId="42" borderId="0" xfId="0" applyFont="1" applyFill="1" applyBorder="1" applyAlignment="1" applyProtection="1">
      <alignment horizontal="left" vertical="center"/>
      <protection hidden="1"/>
    </xf>
    <xf numFmtId="0" fontId="41" fillId="42" borderId="0" xfId="48" applyFont="1" applyFill="1" applyAlignment="1" applyProtection="1">
      <alignment horizontal="right" vertical="center"/>
      <protection hidden="1"/>
    </xf>
    <xf numFmtId="0" fontId="28" fillId="42" borderId="0" xfId="0" applyFont="1" applyFill="1" applyBorder="1" applyAlignment="1" applyProtection="1">
      <alignment horizontal="right" vertical="center"/>
      <protection hidden="1"/>
    </xf>
    <xf numFmtId="0" fontId="60" fillId="35" borderId="75" xfId="0" applyFont="1" applyFill="1" applyBorder="1" applyAlignment="1" applyProtection="1">
      <alignment horizontal="left" vertical="center"/>
      <protection hidden="1"/>
    </xf>
    <xf numFmtId="0" fontId="60" fillId="35" borderId="81" xfId="0" applyFont="1" applyFill="1" applyBorder="1" applyAlignment="1" applyProtection="1">
      <alignment horizontal="left" vertical="center"/>
      <protection hidden="1"/>
    </xf>
    <xf numFmtId="0" fontId="60" fillId="35" borderId="133" xfId="0" applyFont="1" applyFill="1" applyBorder="1" applyAlignment="1" applyProtection="1">
      <alignment horizontal="left" vertical="center"/>
      <protection hidden="1"/>
    </xf>
    <xf numFmtId="0" fontId="60" fillId="35" borderId="110" xfId="0" applyFont="1" applyFill="1" applyBorder="1" applyAlignment="1" applyProtection="1">
      <alignment horizontal="left" vertical="center"/>
      <protection hidden="1"/>
    </xf>
    <xf numFmtId="0" fontId="27" fillId="0" borderId="88" xfId="48" applyFont="1" applyBorder="1" applyProtection="1">
      <alignment vertical="center"/>
      <protection hidden="1"/>
    </xf>
    <xf numFmtId="0" fontId="27" fillId="0" borderId="104" xfId="48" applyFont="1" applyBorder="1" applyProtection="1">
      <alignment vertical="center"/>
      <protection hidden="1"/>
    </xf>
    <xf numFmtId="0" fontId="27" fillId="0" borderId="54" xfId="48" applyFont="1" applyBorder="1" applyProtection="1">
      <alignment vertical="center"/>
      <protection hidden="1"/>
    </xf>
    <xf numFmtId="0" fontId="27" fillId="0" borderId="90" xfId="48" applyFont="1" applyBorder="1" applyProtection="1">
      <alignment vertical="center"/>
      <protection hidden="1"/>
    </xf>
    <xf numFmtId="0" fontId="27" fillId="0" borderId="0" xfId="48" applyFont="1" applyBorder="1" applyProtection="1">
      <alignment vertical="center"/>
      <protection hidden="1"/>
    </xf>
    <xf numFmtId="0" fontId="32" fillId="0" borderId="0" xfId="48" applyFont="1" applyFill="1" applyBorder="1" applyAlignment="1" applyProtection="1">
      <alignment vertical="center"/>
      <protection hidden="1"/>
    </xf>
    <xf numFmtId="0" fontId="27" fillId="0" borderId="0" xfId="48" applyFont="1" applyFill="1" applyBorder="1" applyProtection="1">
      <alignment vertical="center"/>
    </xf>
    <xf numFmtId="0" fontId="28" fillId="0" borderId="0" xfId="48" applyFont="1" applyFill="1" applyBorder="1" applyAlignment="1" applyProtection="1">
      <alignment horizontal="left" vertical="center" indent="2"/>
      <protection hidden="1"/>
    </xf>
    <xf numFmtId="0" fontId="27" fillId="0" borderId="105" xfId="48" applyFont="1" applyBorder="1" applyProtection="1">
      <alignment vertical="center"/>
      <protection hidden="1"/>
    </xf>
    <xf numFmtId="0" fontId="28" fillId="0" borderId="156" xfId="0" applyFont="1" applyFill="1" applyBorder="1" applyAlignment="1" applyProtection="1">
      <alignment horizontal="left" vertical="center"/>
      <protection hidden="1"/>
    </xf>
    <xf numFmtId="0" fontId="28" fillId="0" borderId="156" xfId="0" applyFont="1" applyFill="1" applyBorder="1" applyAlignment="1" applyProtection="1">
      <alignment horizontal="left" vertical="center" indent="2"/>
      <protection hidden="1"/>
    </xf>
    <xf numFmtId="0" fontId="184" fillId="0" borderId="156" xfId="0" applyFont="1" applyBorder="1" applyProtection="1">
      <alignment vertical="center"/>
      <protection hidden="1"/>
    </xf>
    <xf numFmtId="0" fontId="60" fillId="35" borderId="73" xfId="0" applyFont="1" applyFill="1" applyBorder="1" applyAlignment="1" applyProtection="1">
      <alignment vertical="center"/>
      <protection hidden="1"/>
    </xf>
    <xf numFmtId="0" fontId="60" fillId="35" borderId="74" xfId="0" applyFont="1" applyFill="1" applyBorder="1" applyAlignment="1" applyProtection="1">
      <alignment vertical="center"/>
      <protection hidden="1"/>
    </xf>
    <xf numFmtId="0" fontId="190" fillId="35" borderId="74" xfId="0" applyFont="1" applyFill="1" applyBorder="1" applyAlignment="1" applyProtection="1">
      <alignment horizontal="right" vertical="center"/>
      <protection hidden="1"/>
    </xf>
    <xf numFmtId="0" fontId="190" fillId="35" borderId="74" xfId="0" applyFont="1" applyFill="1" applyBorder="1" applyAlignment="1" applyProtection="1">
      <alignment vertical="center"/>
      <protection hidden="1"/>
    </xf>
    <xf numFmtId="0" fontId="191" fillId="35" borderId="74" xfId="0" applyFont="1" applyFill="1" applyBorder="1" applyAlignment="1" applyProtection="1">
      <alignment vertical="center"/>
      <protection hidden="1"/>
    </xf>
    <xf numFmtId="0" fontId="2" fillId="35" borderId="74" xfId="0" applyFont="1" applyFill="1" applyBorder="1" applyAlignment="1" applyProtection="1">
      <alignment horizontal="right" vertical="center"/>
      <protection hidden="1"/>
    </xf>
    <xf numFmtId="0" fontId="2" fillId="35" borderId="135" xfId="0" applyFont="1" applyFill="1" applyBorder="1" applyAlignment="1" applyProtection="1">
      <alignment horizontal="right" vertical="center"/>
      <protection hidden="1"/>
    </xf>
    <xf numFmtId="0" fontId="4" fillId="38" borderId="83" xfId="0" applyFont="1" applyFill="1" applyBorder="1" applyAlignment="1" applyProtection="1">
      <alignment horizontal="left" vertical="center"/>
      <protection hidden="1"/>
    </xf>
    <xf numFmtId="0" fontId="4" fillId="38" borderId="59" xfId="0" applyFont="1" applyFill="1" applyBorder="1" applyAlignment="1" applyProtection="1">
      <alignment horizontal="left" vertical="center"/>
      <protection hidden="1"/>
    </xf>
    <xf numFmtId="0" fontId="31" fillId="38" borderId="59" xfId="0" applyFont="1" applyFill="1" applyBorder="1" applyAlignment="1" applyProtection="1">
      <alignment horizontal="left" vertical="center"/>
      <protection hidden="1"/>
    </xf>
    <xf numFmtId="0" fontId="4" fillId="38" borderId="24" xfId="0" applyFont="1" applyFill="1" applyBorder="1" applyAlignment="1" applyProtection="1">
      <alignment horizontal="left" vertical="center"/>
      <protection hidden="1"/>
    </xf>
    <xf numFmtId="0" fontId="4" fillId="38" borderId="119" xfId="0" applyFont="1" applyFill="1" applyBorder="1" applyAlignment="1" applyProtection="1">
      <alignment horizontal="left" vertical="center"/>
      <protection hidden="1"/>
    </xf>
    <xf numFmtId="0" fontId="44" fillId="52" borderId="104" xfId="48" applyFont="1" applyFill="1" applyBorder="1" applyProtection="1">
      <alignment vertical="center"/>
      <protection hidden="1"/>
    </xf>
    <xf numFmtId="0" fontId="27" fillId="52" borderId="55" xfId="48" applyFont="1" applyFill="1" applyBorder="1" applyAlignment="1" applyProtection="1">
      <alignment horizontal="right" vertical="center"/>
      <protection hidden="1"/>
    </xf>
    <xf numFmtId="0" fontId="27" fillId="42" borderId="54" xfId="48" applyFont="1" applyFill="1" applyBorder="1" applyProtection="1">
      <alignment vertical="center"/>
      <protection hidden="1"/>
    </xf>
    <xf numFmtId="0" fontId="27" fillId="42" borderId="54" xfId="48" applyFont="1" applyFill="1" applyBorder="1" applyAlignment="1" applyProtection="1">
      <alignment horizontal="center" vertical="center"/>
      <protection hidden="1"/>
    </xf>
    <xf numFmtId="0" fontId="27" fillId="42" borderId="114" xfId="48" applyFont="1" applyFill="1" applyBorder="1" applyAlignment="1" applyProtection="1">
      <alignment horizontal="center" vertical="center"/>
      <protection hidden="1"/>
    </xf>
    <xf numFmtId="0" fontId="41" fillId="0" borderId="0" xfId="48" applyFont="1" applyFill="1" applyBorder="1" applyAlignment="1" applyProtection="1">
      <alignment horizontal="right" vertical="center"/>
      <protection hidden="1"/>
    </xf>
    <xf numFmtId="188" fontId="28" fillId="52" borderId="133" xfId="48" applyNumberFormat="1" applyFont="1" applyFill="1" applyBorder="1" applyAlignment="1" applyProtection="1">
      <alignment horizontal="center" vertical="center"/>
      <protection locked="0"/>
    </xf>
    <xf numFmtId="0" fontId="77" fillId="52" borderId="90" xfId="48" applyFont="1" applyFill="1" applyBorder="1" applyProtection="1">
      <alignment vertical="center"/>
      <protection hidden="1"/>
    </xf>
    <xf numFmtId="0" fontId="27" fillId="52" borderId="153" xfId="48" applyFont="1" applyFill="1" applyBorder="1" applyAlignment="1" applyProtection="1">
      <alignment horizontal="right" vertical="center"/>
      <protection hidden="1"/>
    </xf>
    <xf numFmtId="0" fontId="27" fillId="42" borderId="0" xfId="48" applyFont="1" applyFill="1" applyBorder="1" applyProtection="1">
      <alignment vertical="center"/>
      <protection hidden="1"/>
    </xf>
    <xf numFmtId="0" fontId="27" fillId="42" borderId="0" xfId="48" applyFont="1" applyFill="1" applyBorder="1" applyAlignment="1" applyProtection="1">
      <alignment horizontal="center" vertical="center"/>
      <protection hidden="1"/>
    </xf>
    <xf numFmtId="0" fontId="27" fillId="42" borderId="88" xfId="48" applyFont="1" applyFill="1" applyBorder="1" applyAlignment="1" applyProtection="1">
      <alignment horizontal="center" vertical="center"/>
      <protection hidden="1"/>
    </xf>
    <xf numFmtId="0" fontId="27" fillId="0" borderId="0" xfId="48" applyFont="1" applyFill="1" applyBorder="1" applyAlignment="1" applyProtection="1">
      <alignment vertical="center"/>
      <protection hidden="1"/>
    </xf>
    <xf numFmtId="0" fontId="25" fillId="52" borderId="133" xfId="0" applyFont="1" applyFill="1" applyBorder="1" applyAlignment="1" applyProtection="1">
      <alignment horizontal="center" vertical="center"/>
      <protection locked="0"/>
    </xf>
    <xf numFmtId="0" fontId="77" fillId="52" borderId="83" xfId="48" applyFont="1" applyFill="1" applyBorder="1" applyProtection="1">
      <alignment vertical="center"/>
      <protection hidden="1"/>
    </xf>
    <xf numFmtId="0" fontId="27" fillId="52" borderId="60" xfId="48" applyFont="1" applyFill="1" applyBorder="1" applyAlignment="1" applyProtection="1">
      <alignment horizontal="right" vertical="center"/>
      <protection hidden="1"/>
    </xf>
    <xf numFmtId="0" fontId="27" fillId="42" borderId="59" xfId="48" applyFont="1" applyFill="1" applyBorder="1" applyProtection="1">
      <alignment vertical="center"/>
      <protection hidden="1"/>
    </xf>
    <xf numFmtId="0" fontId="27" fillId="42" borderId="59" xfId="48" applyFont="1" applyFill="1" applyBorder="1" applyAlignment="1" applyProtection="1">
      <alignment horizontal="center" vertical="center"/>
      <protection hidden="1"/>
    </xf>
    <xf numFmtId="0" fontId="27" fillId="42" borderId="119" xfId="48" applyFont="1" applyFill="1" applyBorder="1" applyAlignment="1" applyProtection="1">
      <alignment horizontal="center" vertical="center"/>
      <protection hidden="1"/>
    </xf>
    <xf numFmtId="0" fontId="28" fillId="0" borderId="0" xfId="0" applyFont="1" applyBorder="1" applyProtection="1">
      <alignment vertical="center"/>
      <protection locked="0"/>
    </xf>
    <xf numFmtId="0" fontId="44" fillId="36" borderId="104" xfId="48" applyFont="1" applyFill="1" applyBorder="1" applyProtection="1">
      <alignment vertical="center"/>
      <protection hidden="1"/>
    </xf>
    <xf numFmtId="0" fontId="27" fillId="36" borderId="55" xfId="48" applyFont="1" applyFill="1" applyBorder="1" applyAlignment="1" applyProtection="1">
      <alignment horizontal="right" vertical="center"/>
      <protection hidden="1"/>
    </xf>
    <xf numFmtId="188" fontId="28" fillId="36" borderId="133" xfId="48" applyNumberFormat="1" applyFont="1" applyFill="1" applyBorder="1" applyAlignment="1" applyProtection="1">
      <alignment horizontal="center" vertical="center"/>
      <protection locked="0"/>
    </xf>
    <xf numFmtId="0" fontId="77" fillId="36" borderId="90" xfId="48" applyFont="1" applyFill="1" applyBorder="1" applyProtection="1">
      <alignment vertical="center"/>
      <protection hidden="1"/>
    </xf>
    <xf numFmtId="0" fontId="27" fillId="36" borderId="153" xfId="48" applyFont="1" applyFill="1" applyBorder="1" applyAlignment="1" applyProtection="1">
      <alignment horizontal="right" vertical="center"/>
      <protection hidden="1"/>
    </xf>
    <xf numFmtId="0" fontId="25" fillId="36" borderId="133" xfId="0" applyFont="1" applyFill="1" applyBorder="1" applyAlignment="1" applyProtection="1">
      <alignment horizontal="center" vertical="center"/>
      <protection locked="0"/>
    </xf>
    <xf numFmtId="0" fontId="77" fillId="36" borderId="83" xfId="48" applyFont="1" applyFill="1" applyBorder="1" applyProtection="1">
      <alignment vertical="center"/>
      <protection hidden="1"/>
    </xf>
    <xf numFmtId="0" fontId="27" fillId="36" borderId="60" xfId="48" applyFont="1" applyFill="1" applyBorder="1" applyAlignment="1" applyProtection="1">
      <alignment horizontal="right" vertical="center"/>
      <protection hidden="1"/>
    </xf>
    <xf numFmtId="0" fontId="44" fillId="53" borderId="90" xfId="48" applyFont="1" applyFill="1" applyBorder="1" applyProtection="1">
      <alignment vertical="center"/>
      <protection hidden="1"/>
    </xf>
    <xf numFmtId="0" fontId="27" fillId="53" borderId="153" xfId="48" applyFont="1" applyFill="1" applyBorder="1" applyAlignment="1" applyProtection="1">
      <alignment horizontal="right" vertical="center"/>
      <protection hidden="1"/>
    </xf>
    <xf numFmtId="188" fontId="28" fillId="53" borderId="133" xfId="48" applyNumberFormat="1" applyFont="1" applyFill="1" applyBorder="1" applyAlignment="1" applyProtection="1">
      <alignment horizontal="center" vertical="center"/>
      <protection locked="0"/>
    </xf>
    <xf numFmtId="0" fontId="77" fillId="53" borderId="90" xfId="48" applyFont="1" applyFill="1" applyBorder="1" applyProtection="1">
      <alignment vertical="center"/>
      <protection hidden="1"/>
    </xf>
    <xf numFmtId="0" fontId="25" fillId="53" borderId="133" xfId="0" applyFont="1" applyFill="1" applyBorder="1" applyAlignment="1" applyProtection="1">
      <alignment horizontal="center" vertical="center"/>
      <protection locked="0"/>
    </xf>
    <xf numFmtId="0" fontId="77" fillId="53" borderId="105" xfId="48" applyFont="1" applyFill="1" applyBorder="1" applyProtection="1">
      <alignment vertical="center"/>
      <protection hidden="1"/>
    </xf>
    <xf numFmtId="0" fontId="27" fillId="53" borderId="177" xfId="48" applyFont="1" applyFill="1" applyBorder="1" applyAlignment="1" applyProtection="1">
      <alignment horizontal="right" vertical="center"/>
      <protection hidden="1"/>
    </xf>
    <xf numFmtId="0" fontId="27" fillId="42" borderId="156" xfId="48" applyFont="1" applyFill="1" applyBorder="1" applyProtection="1">
      <alignment vertical="center"/>
      <protection hidden="1"/>
    </xf>
    <xf numFmtId="0" fontId="27" fillId="42" borderId="156" xfId="48" applyFont="1" applyFill="1" applyBorder="1" applyAlignment="1" applyProtection="1">
      <alignment horizontal="center" vertical="center"/>
      <protection hidden="1"/>
    </xf>
    <xf numFmtId="0" fontId="27" fillId="42" borderId="112" xfId="48" applyFont="1" applyFill="1" applyBorder="1" applyAlignment="1" applyProtection="1">
      <alignment horizontal="center" vertical="center"/>
      <protection hidden="1"/>
    </xf>
    <xf numFmtId="0" fontId="28" fillId="0" borderId="0" xfId="48" applyFont="1" applyFill="1" applyBorder="1" applyAlignment="1" applyProtection="1">
      <alignment vertical="center"/>
    </xf>
    <xf numFmtId="0" fontId="27" fillId="42" borderId="0" xfId="48" applyFont="1" applyFill="1" applyBorder="1" applyAlignment="1" applyProtection="1">
      <alignment vertical="center"/>
      <protection hidden="1"/>
    </xf>
    <xf numFmtId="0" fontId="60" fillId="35" borderId="82" xfId="0" applyFont="1" applyFill="1" applyBorder="1" applyAlignment="1" applyProtection="1">
      <alignment vertical="center"/>
      <protection hidden="1"/>
    </xf>
    <xf numFmtId="0" fontId="60" fillId="35" borderId="79" xfId="0" applyFont="1" applyFill="1" applyBorder="1" applyAlignment="1" applyProtection="1">
      <alignment vertical="center"/>
      <protection hidden="1"/>
    </xf>
    <xf numFmtId="0" fontId="31" fillId="35" borderId="79" xfId="0" applyFont="1" applyFill="1" applyBorder="1" applyAlignment="1" applyProtection="1">
      <alignment vertical="center"/>
      <protection hidden="1"/>
    </xf>
    <xf numFmtId="0" fontId="31" fillId="35" borderId="79" xfId="0" applyFont="1" applyFill="1" applyBorder="1" applyAlignment="1" applyProtection="1">
      <alignment horizontal="right" vertical="center"/>
      <protection hidden="1"/>
    </xf>
    <xf numFmtId="0" fontId="121" fillId="35" borderId="79" xfId="0" applyFont="1" applyFill="1" applyBorder="1" applyAlignment="1" applyProtection="1">
      <alignment horizontal="right" vertical="top"/>
      <protection hidden="1"/>
    </xf>
    <xf numFmtId="0" fontId="54" fillId="35" borderId="79" xfId="0" applyFont="1" applyFill="1" applyBorder="1" applyAlignment="1" applyProtection="1">
      <alignment horizontal="center" vertical="center"/>
      <protection hidden="1"/>
    </xf>
    <xf numFmtId="0" fontId="31" fillId="35" borderId="80" xfId="0" applyFont="1" applyFill="1" applyBorder="1" applyAlignment="1" applyProtection="1">
      <alignment vertical="center"/>
      <protection hidden="1"/>
    </xf>
    <xf numFmtId="0" fontId="70" fillId="52" borderId="90" xfId="0" applyFont="1" applyFill="1" applyBorder="1" applyAlignment="1" applyProtection="1">
      <alignment vertical="center"/>
      <protection hidden="1"/>
    </xf>
    <xf numFmtId="0" fontId="70" fillId="52" borderId="59" xfId="0" applyFont="1" applyFill="1" applyBorder="1" applyAlignment="1" applyProtection="1">
      <alignment vertical="center"/>
      <protection hidden="1"/>
    </xf>
    <xf numFmtId="0" fontId="32" fillId="52" borderId="59" xfId="0" applyFont="1" applyFill="1" applyBorder="1" applyAlignment="1" applyProtection="1">
      <alignment horizontal="center" vertical="center"/>
      <protection hidden="1"/>
    </xf>
    <xf numFmtId="0" fontId="70" fillId="52" borderId="59" xfId="0" applyFont="1" applyFill="1" applyBorder="1" applyAlignment="1" applyProtection="1">
      <alignment horizontal="right" vertical="center"/>
      <protection hidden="1"/>
    </xf>
    <xf numFmtId="38" fontId="70" fillId="52" borderId="51" xfId="35" applyNumberFormat="1" applyFont="1" applyFill="1" applyBorder="1" applyAlignment="1" applyProtection="1">
      <alignment horizontal="center" vertical="center"/>
      <protection hidden="1"/>
    </xf>
    <xf numFmtId="0" fontId="32" fillId="52" borderId="132" xfId="0" applyFont="1" applyFill="1" applyBorder="1" applyAlignment="1" applyProtection="1">
      <alignment vertical="center"/>
      <protection hidden="1"/>
    </xf>
    <xf numFmtId="0" fontId="32" fillId="54" borderId="50" xfId="0" applyFont="1" applyFill="1" applyBorder="1" applyAlignment="1" applyProtection="1">
      <alignment vertical="center"/>
      <protection hidden="1"/>
    </xf>
    <xf numFmtId="0" fontId="32" fillId="54" borderId="51" xfId="0" applyFont="1" applyFill="1" applyBorder="1" applyAlignment="1" applyProtection="1">
      <alignment vertical="center"/>
      <protection hidden="1"/>
    </xf>
    <xf numFmtId="0" fontId="32" fillId="54" borderId="51" xfId="0" applyFont="1" applyFill="1" applyBorder="1" applyAlignment="1" applyProtection="1">
      <alignment horizontal="center" vertical="center"/>
      <protection hidden="1"/>
    </xf>
    <xf numFmtId="0" fontId="41" fillId="54" borderId="51" xfId="0" applyFont="1" applyFill="1" applyBorder="1" applyAlignment="1" applyProtection="1">
      <alignment horizontal="right" vertical="center"/>
      <protection hidden="1"/>
    </xf>
    <xf numFmtId="38" fontId="41" fillId="54" borderId="51" xfId="35" applyNumberFormat="1" applyFont="1" applyFill="1" applyBorder="1" applyAlignment="1" applyProtection="1">
      <alignment horizontal="center" vertical="center"/>
      <protection hidden="1"/>
    </xf>
    <xf numFmtId="0" fontId="28" fillId="52" borderId="132" xfId="0" applyFont="1" applyFill="1" applyBorder="1" applyAlignment="1" applyProtection="1">
      <alignment vertical="top"/>
      <protection hidden="1"/>
    </xf>
    <xf numFmtId="0" fontId="25" fillId="0" borderId="0" xfId="0" applyFont="1" applyFill="1" applyBorder="1" applyAlignment="1" applyProtection="1">
      <alignment vertical="top"/>
      <protection hidden="1"/>
    </xf>
    <xf numFmtId="0" fontId="28" fillId="0" borderId="0" xfId="0" applyFont="1" applyFill="1" applyBorder="1" applyAlignment="1" applyProtection="1">
      <alignment vertical="top"/>
      <protection hidden="1"/>
    </xf>
    <xf numFmtId="0" fontId="28" fillId="0" borderId="153" xfId="0" applyFont="1" applyFill="1" applyBorder="1" applyAlignment="1" applyProtection="1">
      <alignment vertical="top"/>
      <protection hidden="1"/>
    </xf>
    <xf numFmtId="0" fontId="25" fillId="0" borderId="20" xfId="0" applyFont="1" applyFill="1" applyBorder="1" applyAlignment="1" applyProtection="1">
      <alignment vertical="top"/>
      <protection hidden="1"/>
    </xf>
    <xf numFmtId="0" fontId="28" fillId="0" borderId="88" xfId="0" applyFont="1" applyFill="1" applyBorder="1" applyAlignment="1" applyProtection="1">
      <alignment vertical="top"/>
      <protection hidden="1"/>
    </xf>
    <xf numFmtId="0" fontId="28" fillId="0" borderId="0" xfId="48" applyFont="1" applyFill="1" applyAlignment="1" applyProtection="1">
      <alignment horizontal="left" vertical="center"/>
      <protection locked="0"/>
    </xf>
    <xf numFmtId="0" fontId="28" fillId="0" borderId="0" xfId="48" applyFont="1" applyFill="1" applyBorder="1" applyAlignment="1" applyProtection="1">
      <alignment vertical="center"/>
      <protection hidden="1"/>
    </xf>
    <xf numFmtId="0" fontId="27" fillId="0" borderId="0" xfId="48" applyFont="1" applyFill="1" applyBorder="1" applyProtection="1">
      <alignment vertical="center"/>
      <protection hidden="1"/>
    </xf>
    <xf numFmtId="0" fontId="28" fillId="0" borderId="133" xfId="48" applyFont="1" applyFill="1" applyBorder="1" applyAlignment="1" applyProtection="1">
      <alignment horizontal="center" vertical="center"/>
      <protection locked="0"/>
    </xf>
    <xf numFmtId="0" fontId="0" fillId="0" borderId="88" xfId="0" applyFont="1" applyFill="1" applyBorder="1" applyProtection="1">
      <alignment vertical="center"/>
      <protection hidden="1"/>
    </xf>
    <xf numFmtId="0" fontId="28" fillId="0" borderId="20" xfId="0" applyFont="1" applyFill="1" applyBorder="1" applyAlignment="1" applyProtection="1">
      <alignment vertical="top"/>
      <protection hidden="1"/>
    </xf>
    <xf numFmtId="0" fontId="41" fillId="0" borderId="153" xfId="0" applyFont="1" applyFill="1" applyBorder="1" applyAlignment="1" applyProtection="1">
      <alignment horizontal="center" vertical="top"/>
      <protection hidden="1"/>
    </xf>
    <xf numFmtId="0" fontId="27" fillId="52" borderId="90" xfId="0" applyFont="1" applyFill="1" applyBorder="1" applyAlignment="1" applyProtection="1">
      <alignment vertical="top" wrapText="1"/>
      <protection hidden="1"/>
    </xf>
    <xf numFmtId="0" fontId="32" fillId="54" borderId="24" xfId="0" applyFont="1" applyFill="1" applyBorder="1" applyAlignment="1" applyProtection="1">
      <alignment vertical="center"/>
      <protection hidden="1"/>
    </xf>
    <xf numFmtId="0" fontId="32" fillId="54" borderId="59" xfId="0" applyFont="1" applyFill="1" applyBorder="1" applyAlignment="1" applyProtection="1">
      <alignment vertical="center"/>
      <protection hidden="1"/>
    </xf>
    <xf numFmtId="0" fontId="32" fillId="54" borderId="59" xfId="0" applyFont="1" applyFill="1" applyBorder="1" applyAlignment="1" applyProtection="1">
      <alignment horizontal="center" vertical="center"/>
      <protection hidden="1"/>
    </xf>
    <xf numFmtId="0" fontId="41" fillId="54" borderId="59" xfId="0" applyFont="1" applyFill="1" applyBorder="1" applyAlignment="1" applyProtection="1">
      <alignment horizontal="right" vertical="center"/>
      <protection hidden="1"/>
    </xf>
    <xf numFmtId="38" fontId="41" fillId="54" borderId="59" xfId="35" applyNumberFormat="1" applyFont="1" applyFill="1" applyBorder="1" applyAlignment="1" applyProtection="1">
      <alignment horizontal="center" vertical="center"/>
      <protection hidden="1"/>
    </xf>
    <xf numFmtId="0" fontId="28" fillId="0" borderId="0" xfId="48" applyFont="1" applyFill="1" applyBorder="1" applyAlignment="1" applyProtection="1">
      <alignment horizontal="right" vertical="center"/>
      <protection hidden="1"/>
    </xf>
    <xf numFmtId="0" fontId="28" fillId="0" borderId="0" xfId="0" applyFont="1" applyFill="1">
      <alignment vertical="center"/>
    </xf>
    <xf numFmtId="0" fontId="184" fillId="0" borderId="0" xfId="0" applyFont="1" applyFill="1">
      <alignment vertical="center"/>
    </xf>
    <xf numFmtId="0" fontId="184" fillId="0" borderId="0" xfId="0" applyFont="1" applyBorder="1" applyProtection="1">
      <alignment vertical="center"/>
      <protection hidden="1"/>
    </xf>
    <xf numFmtId="0" fontId="28" fillId="0" borderId="0" xfId="0" applyFont="1" applyAlignment="1" applyProtection="1">
      <alignment horizontal="right" vertical="center"/>
      <protection hidden="1"/>
    </xf>
    <xf numFmtId="0" fontId="27" fillId="52" borderId="132" xfId="0" applyFont="1" applyFill="1" applyBorder="1" applyAlignment="1" applyProtection="1">
      <alignment vertical="top" wrapText="1"/>
      <protection hidden="1"/>
    </xf>
    <xf numFmtId="0" fontId="32" fillId="54" borderId="59" xfId="0" applyFont="1" applyFill="1" applyBorder="1" applyAlignment="1" applyProtection="1">
      <alignment horizontal="left" vertical="top" wrapText="1"/>
      <protection hidden="1"/>
    </xf>
    <xf numFmtId="0" fontId="28" fillId="54" borderId="59" xfId="0" applyFont="1" applyFill="1" applyBorder="1" applyAlignment="1" applyProtection="1">
      <alignment horizontal="left" vertical="top" wrapText="1"/>
      <protection hidden="1"/>
    </xf>
    <xf numFmtId="0" fontId="41" fillId="54" borderId="59" xfId="0" applyFont="1" applyFill="1" applyBorder="1" applyAlignment="1" applyProtection="1">
      <alignment horizontal="center" vertical="top" wrapText="1"/>
      <protection hidden="1"/>
    </xf>
    <xf numFmtId="0" fontId="27" fillId="0" borderId="90" xfId="48" applyFont="1" applyFill="1" applyBorder="1" applyAlignment="1" applyProtection="1">
      <alignment horizontal="center" vertical="center"/>
      <protection hidden="1"/>
    </xf>
    <xf numFmtId="0" fontId="28" fillId="0" borderId="0" xfId="48" applyFont="1" applyFill="1" applyBorder="1" applyAlignment="1" applyProtection="1">
      <alignment horizontal="center" vertical="center"/>
    </xf>
    <xf numFmtId="0" fontId="27" fillId="52" borderId="65" xfId="0" applyFont="1" applyFill="1" applyBorder="1" applyAlignment="1" applyProtection="1">
      <alignment vertical="top" wrapText="1"/>
      <protection hidden="1"/>
    </xf>
    <xf numFmtId="0" fontId="0" fillId="0" borderId="119" xfId="0" applyFont="1" applyBorder="1" applyProtection="1">
      <alignment vertical="center"/>
      <protection hidden="1"/>
    </xf>
    <xf numFmtId="0" fontId="70" fillId="36" borderId="90" xfId="0" applyFont="1" applyFill="1" applyBorder="1" applyAlignment="1" applyProtection="1">
      <alignment vertical="center"/>
      <protection hidden="1"/>
    </xf>
    <xf numFmtId="0" fontId="70" fillId="36" borderId="51" xfId="0" applyFont="1" applyFill="1" applyBorder="1" applyAlignment="1" applyProtection="1">
      <alignment vertical="center"/>
      <protection hidden="1"/>
    </xf>
    <xf numFmtId="0" fontId="32" fillId="36" borderId="51" xfId="0" applyFont="1" applyFill="1" applyBorder="1" applyAlignment="1" applyProtection="1">
      <alignment horizontal="center" vertical="center"/>
      <protection hidden="1"/>
    </xf>
    <xf numFmtId="0" fontId="70" fillId="36" borderId="51" xfId="0" applyFont="1" applyFill="1" applyBorder="1" applyAlignment="1" applyProtection="1">
      <alignment horizontal="right" vertical="center"/>
      <protection hidden="1"/>
    </xf>
    <xf numFmtId="0" fontId="32" fillId="36" borderId="132" xfId="0" applyFont="1" applyFill="1" applyBorder="1" applyAlignment="1" applyProtection="1">
      <alignment vertical="center"/>
      <protection hidden="1"/>
    </xf>
    <xf numFmtId="0" fontId="32" fillId="54" borderId="0" xfId="0" applyFont="1" applyFill="1" applyBorder="1" applyAlignment="1" applyProtection="1">
      <alignment vertical="center"/>
      <protection hidden="1"/>
    </xf>
    <xf numFmtId="0" fontId="32" fillId="54" borderId="0" xfId="0" applyFont="1" applyFill="1" applyBorder="1" applyAlignment="1" applyProtection="1">
      <alignment horizontal="center" vertical="center"/>
      <protection hidden="1"/>
    </xf>
    <xf numFmtId="0" fontId="28" fillId="36" borderId="132" xfId="0" applyFont="1" applyFill="1" applyBorder="1" applyAlignment="1" applyProtection="1">
      <alignment vertical="top"/>
      <protection hidden="1"/>
    </xf>
    <xf numFmtId="0" fontId="25" fillId="0" borderId="54" xfId="0" applyFont="1" applyFill="1" applyBorder="1" applyAlignment="1" applyProtection="1">
      <alignment vertical="top"/>
      <protection hidden="1"/>
    </xf>
    <xf numFmtId="0" fontId="28" fillId="0" borderId="54" xfId="0" applyFont="1" applyFill="1" applyBorder="1" applyAlignment="1" applyProtection="1">
      <alignment vertical="top"/>
      <protection hidden="1"/>
    </xf>
    <xf numFmtId="0" fontId="28" fillId="0" borderId="0" xfId="0" applyFont="1" applyBorder="1" applyAlignment="1" applyProtection="1">
      <alignment horizontal="right" vertical="center"/>
      <protection hidden="1"/>
    </xf>
    <xf numFmtId="0" fontId="27" fillId="36" borderId="90" xfId="0" applyFont="1" applyFill="1" applyBorder="1" applyAlignment="1" applyProtection="1">
      <alignment vertical="top" wrapText="1"/>
      <protection hidden="1"/>
    </xf>
    <xf numFmtId="0" fontId="27" fillId="36" borderId="132" xfId="0" applyFont="1" applyFill="1" applyBorder="1" applyAlignment="1" applyProtection="1">
      <alignment vertical="top" wrapText="1"/>
      <protection hidden="1"/>
    </xf>
    <xf numFmtId="0" fontId="27" fillId="36" borderId="65" xfId="0" applyFont="1" applyFill="1" applyBorder="1" applyAlignment="1" applyProtection="1">
      <alignment vertical="top" wrapText="1"/>
      <protection hidden="1"/>
    </xf>
    <xf numFmtId="0" fontId="70" fillId="55" borderId="90" xfId="0" applyFont="1" applyFill="1" applyBorder="1" applyAlignment="1" applyProtection="1">
      <alignment vertical="center"/>
      <protection hidden="1"/>
    </xf>
    <xf numFmtId="0" fontId="70" fillId="55" borderId="59" xfId="0" applyFont="1" applyFill="1" applyBorder="1" applyAlignment="1" applyProtection="1">
      <alignment vertical="center"/>
      <protection hidden="1"/>
    </xf>
    <xf numFmtId="0" fontId="32" fillId="55" borderId="59" xfId="0" applyFont="1" applyFill="1" applyBorder="1" applyAlignment="1" applyProtection="1">
      <alignment horizontal="center" vertical="center"/>
      <protection hidden="1"/>
    </xf>
    <xf numFmtId="0" fontId="70" fillId="55" borderId="59" xfId="0" applyFont="1" applyFill="1" applyBorder="1" applyAlignment="1" applyProtection="1">
      <alignment horizontal="right" vertical="center"/>
      <protection hidden="1"/>
    </xf>
    <xf numFmtId="0" fontId="70" fillId="53" borderId="132" xfId="0" applyFont="1" applyFill="1" applyBorder="1" applyAlignment="1" applyProtection="1">
      <alignment vertical="center"/>
      <protection hidden="1"/>
    </xf>
    <xf numFmtId="0" fontId="32" fillId="0" borderId="54" xfId="0" applyFon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27" fillId="0" borderId="240" xfId="48" applyFont="1" applyFill="1" applyBorder="1" applyAlignment="1" applyProtection="1">
      <alignment horizontal="center" vertical="center"/>
      <protection hidden="1"/>
    </xf>
    <xf numFmtId="0" fontId="32" fillId="53" borderId="132" xfId="0" applyFont="1" applyFill="1" applyBorder="1" applyAlignment="1" applyProtection="1">
      <alignment vertical="center"/>
      <protection hidden="1"/>
    </xf>
    <xf numFmtId="0" fontId="32" fillId="54" borderId="24" xfId="0" applyFont="1" applyFill="1" applyBorder="1" applyAlignment="1" applyProtection="1">
      <alignment horizontal="left" vertical="center"/>
      <protection hidden="1"/>
    </xf>
    <xf numFmtId="0" fontId="32" fillId="54" borderId="59" xfId="0" applyFont="1" applyFill="1" applyBorder="1" applyAlignment="1" applyProtection="1">
      <alignment horizontal="left" vertical="center"/>
      <protection hidden="1"/>
    </xf>
    <xf numFmtId="0" fontId="41" fillId="54" borderId="0" xfId="0" applyFont="1" applyFill="1" applyBorder="1" applyAlignment="1" applyProtection="1">
      <alignment horizontal="right" vertical="center"/>
      <protection hidden="1"/>
    </xf>
    <xf numFmtId="0" fontId="27" fillId="0" borderId="0" xfId="48" applyFont="1" applyFill="1" applyBorder="1" applyAlignment="1" applyProtection="1">
      <alignment horizontal="center" vertical="center"/>
      <protection hidden="1"/>
    </xf>
    <xf numFmtId="0" fontId="28" fillId="53" borderId="132" xfId="0" applyFont="1" applyFill="1" applyBorder="1" applyAlignment="1" applyProtection="1">
      <alignment vertical="top"/>
      <protection hidden="1"/>
    </xf>
    <xf numFmtId="0" fontId="28" fillId="0" borderId="0" xfId="0" applyFont="1" applyProtection="1">
      <alignment vertical="center"/>
      <protection locked="0"/>
    </xf>
    <xf numFmtId="0" fontId="184" fillId="0" borderId="0" xfId="0" applyFont="1" applyProtection="1">
      <alignment vertical="center"/>
      <protection locked="0"/>
    </xf>
    <xf numFmtId="0" fontId="27" fillId="0" borderId="0" xfId="48" applyFont="1" applyFill="1" applyProtection="1">
      <alignment vertical="center"/>
      <protection hidden="1"/>
    </xf>
    <xf numFmtId="0" fontId="28" fillId="0" borderId="0" xfId="0" applyFont="1" applyFill="1" applyProtection="1">
      <alignment vertical="center"/>
      <protection locked="0"/>
    </xf>
    <xf numFmtId="0" fontId="184" fillId="0" borderId="0" xfId="0" applyFont="1" applyFill="1" applyProtection="1">
      <alignment vertical="center"/>
      <protection locked="0"/>
    </xf>
    <xf numFmtId="0" fontId="41" fillId="0" borderId="88" xfId="0" applyFont="1" applyFill="1" applyBorder="1" applyAlignment="1" applyProtection="1">
      <alignment horizontal="center" vertical="top"/>
      <protection hidden="1"/>
    </xf>
    <xf numFmtId="0" fontId="27" fillId="0" borderId="88" xfId="48" applyFont="1" applyFill="1" applyBorder="1" applyProtection="1">
      <alignment vertical="center"/>
      <protection hidden="1"/>
    </xf>
    <xf numFmtId="0" fontId="28" fillId="53" borderId="90" xfId="0" applyFont="1" applyFill="1" applyBorder="1" applyAlignment="1" applyProtection="1">
      <alignment vertical="top"/>
      <protection hidden="1"/>
    </xf>
    <xf numFmtId="0" fontId="27" fillId="53" borderId="90" xfId="0" applyFont="1" applyFill="1" applyBorder="1" applyAlignment="1" applyProtection="1">
      <alignment vertical="top" wrapText="1"/>
      <protection hidden="1"/>
    </xf>
    <xf numFmtId="0" fontId="27" fillId="53" borderId="132" xfId="0" applyFont="1" applyFill="1" applyBorder="1" applyAlignment="1" applyProtection="1">
      <alignment vertical="top" wrapText="1"/>
      <protection hidden="1"/>
    </xf>
    <xf numFmtId="0" fontId="32" fillId="54" borderId="24" xfId="0" applyFont="1" applyFill="1" applyBorder="1" applyAlignment="1" applyProtection="1">
      <alignment horizontal="left" vertical="top" wrapText="1"/>
      <protection hidden="1"/>
    </xf>
    <xf numFmtId="0" fontId="41" fillId="54" borderId="59" xfId="0" applyFont="1" applyFill="1" applyBorder="1" applyAlignment="1" applyProtection="1">
      <alignment horizontal="right" vertical="top" wrapText="1"/>
      <protection hidden="1"/>
    </xf>
    <xf numFmtId="0" fontId="27" fillId="53" borderId="71" xfId="0" applyFont="1" applyFill="1" applyBorder="1" applyAlignment="1" applyProtection="1">
      <alignment vertical="top" wrapText="1"/>
      <protection hidden="1"/>
    </xf>
    <xf numFmtId="0" fontId="27" fillId="0" borderId="0" xfId="0" applyFont="1" applyFill="1" applyBorder="1" applyAlignment="1" applyProtection="1">
      <alignment vertical="top" wrapText="1"/>
      <protection hidden="1"/>
    </xf>
    <xf numFmtId="0" fontId="28" fillId="0" borderId="0" xfId="0" applyFont="1" applyFill="1" applyBorder="1" applyAlignment="1" applyProtection="1">
      <alignment horizontal="center" vertical="top" wrapText="1"/>
      <protection hidden="1"/>
    </xf>
    <xf numFmtId="0" fontId="31" fillId="35" borderId="74" xfId="0" applyFont="1" applyFill="1" applyBorder="1" applyAlignment="1" applyProtection="1">
      <alignment vertical="center"/>
      <protection hidden="1"/>
    </xf>
    <xf numFmtId="0" fontId="31" fillId="35" borderId="74" xfId="0" applyFont="1" applyFill="1" applyBorder="1" applyAlignment="1" applyProtection="1">
      <alignment horizontal="right" vertical="center"/>
      <protection hidden="1"/>
    </xf>
    <xf numFmtId="0" fontId="54" fillId="35" borderId="74" xfId="0" applyFont="1" applyFill="1" applyBorder="1" applyAlignment="1" applyProtection="1">
      <alignment horizontal="center" vertical="center"/>
      <protection hidden="1"/>
    </xf>
    <xf numFmtId="0" fontId="31" fillId="35" borderId="81" xfId="0" applyFont="1" applyFill="1" applyBorder="1" applyAlignment="1" applyProtection="1">
      <alignment vertical="center"/>
      <protection hidden="1"/>
    </xf>
    <xf numFmtId="0" fontId="31" fillId="35" borderId="135" xfId="0" applyFont="1" applyFill="1" applyBorder="1" applyAlignment="1" applyProtection="1">
      <alignment vertical="center"/>
      <protection hidden="1"/>
    </xf>
    <xf numFmtId="0" fontId="27" fillId="0" borderId="90" xfId="0" applyFont="1" applyFill="1" applyBorder="1" applyAlignment="1" applyProtection="1">
      <alignment vertical="top" wrapText="1"/>
      <protection hidden="1"/>
    </xf>
    <xf numFmtId="0" fontId="37" fillId="33" borderId="61" xfId="0" applyFont="1" applyFill="1" applyBorder="1" applyAlignment="1" applyProtection="1">
      <alignment horizontal="center" vertical="center" wrapText="1"/>
      <protection hidden="1"/>
    </xf>
    <xf numFmtId="0" fontId="27" fillId="0" borderId="105" xfId="0" applyFont="1" applyFill="1" applyBorder="1" applyAlignment="1" applyProtection="1">
      <alignment vertical="top" wrapText="1"/>
      <protection hidden="1"/>
    </xf>
    <xf numFmtId="213" fontId="77" fillId="0" borderId="74" xfId="35" applyNumberFormat="1" applyFont="1" applyFill="1" applyBorder="1" applyAlignment="1" applyProtection="1">
      <alignment horizontal="center" vertical="center" wrapText="1"/>
      <protection hidden="1"/>
    </xf>
    <xf numFmtId="213" fontId="77" fillId="0" borderId="135" xfId="35" applyNumberFormat="1" applyFont="1" applyFill="1" applyBorder="1" applyAlignment="1" applyProtection="1">
      <alignment horizontal="center" vertical="center" wrapText="1"/>
      <protection hidden="1"/>
    </xf>
    <xf numFmtId="0" fontId="28" fillId="0" borderId="0" xfId="0" applyFont="1" applyFill="1" applyBorder="1" applyAlignment="1" applyProtection="1">
      <alignment vertical="center"/>
      <protection hidden="1"/>
    </xf>
    <xf numFmtId="0" fontId="28" fillId="0" borderId="156" xfId="0" applyFont="1" applyFill="1" applyBorder="1" applyAlignment="1" applyProtection="1">
      <alignment horizontal="left" vertical="top"/>
      <protection hidden="1"/>
    </xf>
    <xf numFmtId="0" fontId="28" fillId="0" borderId="156" xfId="0" applyFont="1" applyFill="1" applyBorder="1" applyAlignment="1" applyProtection="1">
      <alignment vertical="center"/>
      <protection hidden="1"/>
    </xf>
    <xf numFmtId="0" fontId="31" fillId="35" borderId="110" xfId="0" applyFont="1" applyFill="1" applyBorder="1" applyAlignment="1" applyProtection="1">
      <alignment vertical="center"/>
      <protection hidden="1"/>
    </xf>
    <xf numFmtId="0" fontId="41" fillId="27" borderId="244" xfId="0" applyFont="1" applyFill="1" applyBorder="1" applyAlignment="1" applyProtection="1">
      <alignment horizontal="center" vertical="center"/>
      <protection locked="0"/>
    </xf>
    <xf numFmtId="0" fontId="28" fillId="0" borderId="245" xfId="0" applyFont="1" applyFill="1" applyBorder="1" applyAlignment="1" applyProtection="1">
      <alignment vertical="top" wrapText="1"/>
      <protection hidden="1"/>
    </xf>
    <xf numFmtId="0" fontId="28" fillId="0" borderId="133" xfId="0" applyFont="1" applyBorder="1" applyAlignment="1" applyProtection="1">
      <alignment horizontal="center" vertical="center"/>
      <protection locked="0"/>
    </xf>
    <xf numFmtId="0" fontId="41" fillId="27" borderId="246" xfId="0" applyFont="1" applyFill="1" applyBorder="1" applyAlignment="1" applyProtection="1">
      <alignment horizontal="center" vertical="center"/>
      <protection locked="0"/>
    </xf>
    <xf numFmtId="0" fontId="28" fillId="0" borderId="247" xfId="0" applyFont="1" applyFill="1" applyBorder="1" applyAlignment="1" applyProtection="1">
      <alignment vertical="top" wrapText="1"/>
      <protection hidden="1"/>
    </xf>
    <xf numFmtId="0" fontId="32" fillId="32" borderId="171" xfId="0" applyFont="1" applyFill="1" applyBorder="1" applyAlignment="1" applyProtection="1">
      <alignment horizontal="center" vertical="center" wrapText="1"/>
      <protection hidden="1"/>
    </xf>
    <xf numFmtId="0" fontId="28" fillId="0" borderId="248" xfId="0" applyFont="1" applyFill="1" applyBorder="1" applyAlignment="1" applyProtection="1">
      <alignment vertical="top" wrapText="1"/>
      <protection hidden="1"/>
    </xf>
    <xf numFmtId="0" fontId="32" fillId="0" borderId="0" xfId="0" applyFont="1" applyFill="1" applyBorder="1" applyAlignment="1" applyProtection="1">
      <alignment vertical="center" wrapText="1"/>
      <protection hidden="1"/>
    </xf>
    <xf numFmtId="0" fontId="25" fillId="0" borderId="0" xfId="0" applyFont="1" applyFill="1" applyBorder="1" applyAlignment="1" applyProtection="1">
      <alignment horizontal="left" vertical="center" wrapText="1"/>
      <protection hidden="1"/>
    </xf>
    <xf numFmtId="0" fontId="28" fillId="0" borderId="0" xfId="48" applyFont="1" applyAlignment="1" applyProtection="1">
      <alignment horizontal="left" vertical="center" indent="3"/>
      <protection hidden="1"/>
    </xf>
    <xf numFmtId="0" fontId="27" fillId="0" borderId="0" xfId="48" applyFont="1" applyAlignment="1" applyProtection="1">
      <alignment horizontal="right" vertical="center"/>
      <protection hidden="1"/>
    </xf>
    <xf numFmtId="0" fontId="28" fillId="0" borderId="0" xfId="48" applyFont="1" applyAlignment="1" applyProtection="1">
      <alignment horizontal="left" vertical="center" indent="1"/>
      <protection hidden="1"/>
    </xf>
    <xf numFmtId="0" fontId="27" fillId="0" borderId="0" xfId="48" applyFont="1" applyAlignment="1" applyProtection="1">
      <alignment horizontal="left" vertical="center"/>
      <protection hidden="1"/>
    </xf>
    <xf numFmtId="215" fontId="28" fillId="0" borderId="0" xfId="48" applyNumberFormat="1" applyFont="1" applyAlignment="1" applyProtection="1">
      <alignment horizontal="center" vertical="center"/>
    </xf>
    <xf numFmtId="0" fontId="28" fillId="0" borderId="0" xfId="0" applyFont="1" applyAlignment="1" applyProtection="1">
      <alignment horizontal="left" vertical="center" indent="3"/>
      <protection hidden="1"/>
    </xf>
    <xf numFmtId="0" fontId="28" fillId="0" borderId="0" xfId="48" applyFont="1" applyProtection="1">
      <alignment vertical="center"/>
      <protection hidden="1"/>
    </xf>
    <xf numFmtId="0" fontId="27" fillId="0" borderId="0" xfId="48" applyFont="1" applyProtection="1">
      <alignment vertical="center"/>
    </xf>
    <xf numFmtId="0" fontId="25" fillId="0" borderId="0" xfId="0" applyFont="1" applyFill="1" applyBorder="1" applyAlignment="1" applyProtection="1">
      <alignment horizontal="left" vertical="center" wrapText="1"/>
      <protection locked="0"/>
    </xf>
    <xf numFmtId="0" fontId="27" fillId="0" borderId="0" xfId="48" applyFont="1" applyFill="1" applyAlignment="1" applyProtection="1">
      <alignment horizontal="center" vertical="center"/>
    </xf>
    <xf numFmtId="0" fontId="32" fillId="0" borderId="0" xfId="0" applyFont="1" applyFill="1" applyBorder="1" applyAlignment="1" applyProtection="1">
      <alignment horizontal="center" vertical="center" wrapText="1"/>
      <protection locked="0"/>
    </xf>
    <xf numFmtId="0" fontId="27" fillId="0" borderId="0" xfId="48" applyFont="1" applyAlignment="1" applyProtection="1">
      <alignment vertical="center"/>
    </xf>
    <xf numFmtId="0" fontId="27" fillId="0" borderId="0" xfId="48" applyFont="1" applyAlignment="1" applyProtection="1">
      <alignment horizontal="center" vertical="center"/>
    </xf>
    <xf numFmtId="0" fontId="27" fillId="0" borderId="0" xfId="48" applyFont="1" applyAlignment="1" applyProtection="1">
      <alignment horizontal="right" vertical="center"/>
    </xf>
    <xf numFmtId="55" fontId="27" fillId="0" borderId="10" xfId="0" applyNumberFormat="1" applyFont="1" applyFill="1" applyBorder="1" applyAlignment="1" applyProtection="1">
      <alignment horizontal="right" vertical="center" shrinkToFit="1"/>
      <protection locked="0"/>
    </xf>
    <xf numFmtId="40" fontId="27" fillId="0" borderId="10" xfId="35" applyNumberFormat="1" applyFont="1" applyFill="1" applyBorder="1" applyAlignment="1" applyProtection="1">
      <alignment horizontal="right" vertical="center" shrinkToFit="1"/>
      <protection locked="0"/>
    </xf>
    <xf numFmtId="40" fontId="6" fillId="24" borderId="10" xfId="35" applyNumberFormat="1" applyFont="1" applyFill="1" applyBorder="1" applyAlignment="1" applyProtection="1">
      <alignment horizontal="right" vertical="center" shrinkToFit="1"/>
    </xf>
    <xf numFmtId="0" fontId="27" fillId="0" borderId="10" xfId="0" applyFont="1" applyFill="1" applyBorder="1" applyAlignment="1" applyProtection="1">
      <alignment horizontal="right" vertical="center" shrinkToFit="1"/>
      <protection locked="0"/>
    </xf>
    <xf numFmtId="180" fontId="27" fillId="0" borderId="10" xfId="0" applyNumberFormat="1" applyFont="1" applyFill="1" applyBorder="1" applyAlignment="1" applyProtection="1">
      <alignment horizontal="right" vertical="center" shrinkToFit="1"/>
      <protection locked="0"/>
    </xf>
    <xf numFmtId="180" fontId="27" fillId="0" borderId="23" xfId="0" applyNumberFormat="1" applyFont="1" applyFill="1" applyBorder="1" applyAlignment="1" applyProtection="1">
      <alignment horizontal="right" vertical="center" shrinkToFit="1"/>
      <protection locked="0"/>
    </xf>
    <xf numFmtId="0" fontId="33" fillId="42" borderId="10" xfId="0" applyFont="1" applyFill="1" applyBorder="1" applyAlignment="1" applyProtection="1">
      <alignment horizontal="center" vertical="center" shrinkToFit="1"/>
      <protection locked="0"/>
    </xf>
    <xf numFmtId="0" fontId="33" fillId="0" borderId="10" xfId="0" applyFont="1" applyFill="1" applyBorder="1" applyAlignment="1" applyProtection="1">
      <alignment horizontal="center" vertical="center" shrinkToFit="1"/>
      <protection locked="0"/>
    </xf>
    <xf numFmtId="0" fontId="27" fillId="0" borderId="22" xfId="0" applyFont="1" applyFill="1" applyBorder="1" applyAlignment="1" applyProtection="1">
      <alignment horizontal="right" vertical="center" shrinkToFit="1"/>
      <protection locked="0"/>
    </xf>
    <xf numFmtId="0" fontId="27" fillId="0" borderId="10" xfId="0" applyFont="1" applyFill="1" applyBorder="1" applyAlignment="1" applyProtection="1">
      <alignment horizontal="left" vertical="center" shrinkToFit="1"/>
      <protection locked="0"/>
    </xf>
    <xf numFmtId="0" fontId="27" fillId="0" borderId="23" xfId="0" applyFont="1" applyFill="1" applyBorder="1" applyAlignment="1" applyProtection="1">
      <alignment horizontal="left" vertical="center" shrinkToFit="1"/>
      <protection locked="0"/>
    </xf>
    <xf numFmtId="31" fontId="27" fillId="0" borderId="22" xfId="0" applyNumberFormat="1" applyFont="1" applyFill="1" applyBorder="1" applyAlignment="1" applyProtection="1">
      <alignment horizontal="right" vertical="center" shrinkToFit="1"/>
      <protection locked="0"/>
    </xf>
    <xf numFmtId="31" fontId="27" fillId="0" borderId="10" xfId="0" applyNumberFormat="1" applyFont="1" applyFill="1" applyBorder="1" applyAlignment="1" applyProtection="1">
      <alignment horizontal="right" vertical="center" shrinkToFit="1"/>
      <protection locked="0"/>
    </xf>
    <xf numFmtId="0" fontId="33" fillId="24" borderId="26" xfId="0" applyFont="1" applyFill="1" applyBorder="1" applyAlignment="1" applyProtection="1">
      <alignment horizontal="right" vertical="center" shrinkToFit="1"/>
    </xf>
    <xf numFmtId="0" fontId="33" fillId="0" borderId="26" xfId="0" applyFont="1" applyFill="1" applyBorder="1" applyAlignment="1" applyProtection="1">
      <alignment horizontal="right" vertical="center" shrinkToFit="1"/>
      <protection locked="0"/>
    </xf>
    <xf numFmtId="178" fontId="6" fillId="0" borderId="10" xfId="35" applyNumberFormat="1" applyFont="1" applyFill="1" applyBorder="1" applyAlignment="1" applyProtection="1">
      <alignment horizontal="right" vertical="center" shrinkToFit="1"/>
      <protection locked="0"/>
    </xf>
    <xf numFmtId="40" fontId="6" fillId="0" borderId="10" xfId="35" applyNumberFormat="1" applyFont="1" applyFill="1" applyBorder="1" applyAlignment="1" applyProtection="1">
      <alignment horizontal="right" vertical="center" shrinkToFit="1"/>
      <protection locked="0"/>
    </xf>
    <xf numFmtId="0" fontId="6" fillId="0" borderId="10" xfId="0" applyFont="1" applyFill="1" applyBorder="1" applyAlignment="1" applyProtection="1">
      <alignment horizontal="center" vertical="center" shrinkToFit="1"/>
      <protection locked="0"/>
    </xf>
    <xf numFmtId="177" fontId="27" fillId="24" borderId="10" xfId="0" applyNumberFormat="1" applyFont="1" applyFill="1" applyBorder="1" applyAlignment="1" applyProtection="1">
      <alignment vertical="center" shrinkToFit="1"/>
      <protection hidden="1"/>
    </xf>
    <xf numFmtId="0" fontId="27" fillId="24" borderId="10" xfId="0" applyNumberFormat="1" applyFont="1" applyFill="1" applyBorder="1" applyAlignment="1" applyProtection="1">
      <alignment horizontal="left" vertical="center" shrinkToFit="1"/>
    </xf>
    <xf numFmtId="0" fontId="27" fillId="24" borderId="23" xfId="0" applyNumberFormat="1" applyFont="1" applyFill="1" applyBorder="1" applyAlignment="1" applyProtection="1">
      <alignment horizontal="left" vertical="center" shrinkToFit="1"/>
    </xf>
    <xf numFmtId="31" fontId="30" fillId="24" borderId="10" xfId="0" applyNumberFormat="1" applyFont="1" applyFill="1" applyBorder="1" applyAlignment="1" applyProtection="1">
      <alignment horizontal="left" vertical="center" shrinkToFit="1"/>
    </xf>
    <xf numFmtId="0" fontId="6" fillId="0" borderId="59" xfId="0" applyFont="1" applyFill="1" applyBorder="1" applyAlignment="1" applyProtection="1">
      <alignment vertical="center" shrinkToFit="1"/>
    </xf>
    <xf numFmtId="0" fontId="28" fillId="0" borderId="0" xfId="0" applyFont="1" applyProtection="1">
      <alignment vertical="center"/>
      <protection hidden="1"/>
    </xf>
    <xf numFmtId="177" fontId="41" fillId="56" borderId="243" xfId="0" applyNumberFormat="1" applyFont="1" applyFill="1" applyBorder="1" applyAlignment="1" applyProtection="1">
      <alignment horizontal="center" vertical="center"/>
      <protection hidden="1"/>
    </xf>
    <xf numFmtId="0" fontId="28" fillId="0" borderId="0" xfId="0" applyFont="1" applyProtection="1">
      <alignment vertical="center"/>
      <protection hidden="1"/>
    </xf>
    <xf numFmtId="0" fontId="28" fillId="0" borderId="0" xfId="0" applyFont="1" applyProtection="1">
      <alignment vertical="center"/>
      <protection hidden="1"/>
    </xf>
    <xf numFmtId="216" fontId="0" fillId="52" borderId="119" xfId="35" applyNumberFormat="1" applyFont="1" applyFill="1" applyBorder="1" applyAlignment="1" applyProtection="1">
      <alignment horizontal="left" vertical="center"/>
      <protection hidden="1"/>
    </xf>
    <xf numFmtId="216" fontId="27" fillId="54" borderId="85" xfId="35" applyNumberFormat="1" applyFont="1" applyFill="1" applyBorder="1" applyAlignment="1" applyProtection="1">
      <alignment horizontal="left" vertical="center"/>
      <protection hidden="1"/>
    </xf>
    <xf numFmtId="0" fontId="28" fillId="0" borderId="0" xfId="48" applyFont="1" applyFill="1" applyAlignment="1" applyProtection="1">
      <alignment horizontal="center" vertical="center"/>
      <protection hidden="1"/>
    </xf>
    <xf numFmtId="216" fontId="27" fillId="54" borderId="88" xfId="0" applyNumberFormat="1" applyFont="1" applyFill="1" applyBorder="1" applyAlignment="1" applyProtection="1">
      <alignment horizontal="left" vertical="center"/>
      <protection hidden="1"/>
    </xf>
    <xf numFmtId="216" fontId="0" fillId="54" borderId="88" xfId="0" applyNumberFormat="1" applyFont="1" applyFill="1" applyBorder="1" applyAlignment="1" applyProtection="1">
      <alignment horizontal="left" vertical="center"/>
      <protection hidden="1"/>
    </xf>
    <xf numFmtId="216" fontId="27" fillId="54" borderId="52" xfId="0" applyNumberFormat="1" applyFont="1" applyFill="1" applyBorder="1" applyAlignment="1" applyProtection="1">
      <alignment horizontal="left" vertical="center"/>
      <protection hidden="1"/>
    </xf>
    <xf numFmtId="216" fontId="0" fillId="36" borderId="85" xfId="0" applyNumberFormat="1" applyFont="1" applyFill="1" applyBorder="1" applyAlignment="1" applyProtection="1">
      <alignment horizontal="left" vertical="center"/>
      <protection hidden="1"/>
    </xf>
    <xf numFmtId="216" fontId="27" fillId="54" borderId="85" xfId="0" applyNumberFormat="1" applyFont="1" applyFill="1" applyBorder="1" applyAlignment="1" applyProtection="1">
      <alignment horizontal="left" vertical="center"/>
      <protection hidden="1"/>
    </xf>
    <xf numFmtId="216" fontId="27" fillId="54" borderId="119" xfId="0" applyNumberFormat="1" applyFont="1" applyFill="1" applyBorder="1" applyAlignment="1" applyProtection="1">
      <alignment horizontal="left" vertical="center"/>
      <protection hidden="1"/>
    </xf>
    <xf numFmtId="0" fontId="28" fillId="0" borderId="0" xfId="48" applyFont="1" applyFill="1" applyBorder="1" applyAlignment="1" applyProtection="1">
      <alignment horizontal="center" vertical="center"/>
      <protection hidden="1"/>
    </xf>
    <xf numFmtId="216" fontId="0" fillId="53" borderId="119" xfId="0" applyNumberFormat="1" applyFont="1" applyFill="1" applyBorder="1" applyAlignment="1" applyProtection="1">
      <alignment horizontal="left" vertical="center"/>
      <protection hidden="1"/>
    </xf>
    <xf numFmtId="216" fontId="27" fillId="54" borderId="153" xfId="0" applyNumberFormat="1" applyFont="1" applyFill="1" applyBorder="1" applyAlignment="1" applyProtection="1">
      <alignment horizontal="left" vertical="center"/>
      <protection hidden="1"/>
    </xf>
    <xf numFmtId="0" fontId="32" fillId="0" borderId="0" xfId="0" applyFont="1" applyFill="1" applyBorder="1" applyAlignment="1" applyProtection="1">
      <alignment horizontal="center" vertical="center" wrapText="1"/>
      <protection hidden="1"/>
    </xf>
    <xf numFmtId="0" fontId="28" fillId="0" borderId="0" xfId="0" applyFont="1" applyProtection="1">
      <alignment vertical="center"/>
      <protection hidden="1"/>
    </xf>
    <xf numFmtId="0" fontId="27" fillId="0" borderId="252" xfId="48" applyFont="1" applyBorder="1" applyAlignment="1" applyProtection="1">
      <alignment horizontal="right" vertical="center"/>
      <protection hidden="1"/>
    </xf>
    <xf numFmtId="0" fontId="27" fillId="0" borderId="241" xfId="48" applyFont="1" applyBorder="1" applyAlignment="1" applyProtection="1">
      <alignment horizontal="right" vertical="center"/>
      <protection hidden="1"/>
    </xf>
    <xf numFmtId="0" fontId="4" fillId="38" borderId="59" xfId="0" applyFont="1" applyFill="1" applyBorder="1" applyAlignment="1" applyProtection="1">
      <alignment horizontal="right" vertical="center"/>
      <protection hidden="1"/>
    </xf>
    <xf numFmtId="0" fontId="195" fillId="42" borderId="54" xfId="48" applyFont="1" applyFill="1" applyBorder="1" applyProtection="1">
      <alignment vertical="center"/>
      <protection hidden="1"/>
    </xf>
    <xf numFmtId="0" fontId="195" fillId="42" borderId="0" xfId="48" applyFont="1" applyFill="1" applyBorder="1" applyAlignment="1" applyProtection="1">
      <protection hidden="1"/>
    </xf>
    <xf numFmtId="0" fontId="32" fillId="52" borderId="59" xfId="0" applyFont="1" applyFill="1" applyBorder="1" applyAlignment="1" applyProtection="1">
      <alignment horizontal="right" vertical="center"/>
      <protection hidden="1"/>
    </xf>
    <xf numFmtId="38" fontId="70" fillId="52" borderId="51" xfId="35" applyNumberFormat="1" applyFont="1" applyFill="1" applyBorder="1" applyAlignment="1" applyProtection="1">
      <alignment horizontal="right" vertical="center"/>
      <protection hidden="1"/>
    </xf>
    <xf numFmtId="0" fontId="27" fillId="54" borderId="51" xfId="0" applyFont="1" applyFill="1" applyBorder="1" applyAlignment="1" applyProtection="1">
      <alignment horizontal="left" vertical="center"/>
      <protection hidden="1"/>
    </xf>
    <xf numFmtId="38" fontId="41" fillId="54" borderId="51" xfId="35" applyNumberFormat="1" applyFont="1" applyFill="1" applyBorder="1" applyAlignment="1" applyProtection="1">
      <alignment horizontal="right" vertical="center"/>
      <protection hidden="1"/>
    </xf>
    <xf numFmtId="0" fontId="28" fillId="0" borderId="0" xfId="0" applyFont="1" applyFill="1" applyBorder="1" applyAlignment="1" applyProtection="1">
      <alignment horizontal="center" vertical="top"/>
      <protection hidden="1"/>
    </xf>
    <xf numFmtId="0" fontId="28" fillId="0" borderId="153" xfId="0" applyFont="1" applyFill="1" applyBorder="1" applyAlignment="1" applyProtection="1">
      <alignment horizontal="center" vertical="top"/>
      <protection hidden="1"/>
    </xf>
    <xf numFmtId="38" fontId="41" fillId="54" borderId="59" xfId="35" applyNumberFormat="1" applyFont="1" applyFill="1" applyBorder="1" applyAlignment="1" applyProtection="1">
      <alignment horizontal="right" vertical="center"/>
      <protection hidden="1"/>
    </xf>
    <xf numFmtId="0" fontId="32" fillId="0" borderId="0" xfId="0" applyFont="1" applyFill="1" applyBorder="1" applyAlignment="1" applyProtection="1">
      <alignment vertical="center"/>
      <protection hidden="1"/>
    </xf>
    <xf numFmtId="0" fontId="41" fillId="0" borderId="0" xfId="0" applyFont="1" applyFill="1" applyBorder="1" applyAlignment="1" applyProtection="1">
      <alignment horizontal="right" vertical="center"/>
      <protection hidden="1"/>
    </xf>
    <xf numFmtId="0" fontId="32" fillId="54" borderId="0" xfId="0" applyFont="1" applyFill="1" applyBorder="1" applyAlignment="1" applyProtection="1">
      <alignment horizontal="left" vertical="top" wrapText="1"/>
      <protection hidden="1"/>
    </xf>
    <xf numFmtId="0" fontId="28" fillId="54" borderId="0" xfId="0" applyFont="1" applyFill="1" applyBorder="1" applyAlignment="1" applyProtection="1">
      <alignment horizontal="left" vertical="top" wrapText="1"/>
      <protection hidden="1"/>
    </xf>
    <xf numFmtId="0" fontId="41" fillId="54" borderId="79" xfId="0" applyFont="1" applyFill="1" applyBorder="1" applyAlignment="1" applyProtection="1">
      <alignment horizontal="right" vertical="center" wrapText="1"/>
      <protection hidden="1"/>
    </xf>
    <xf numFmtId="0" fontId="0" fillId="54" borderId="80" xfId="0" applyFont="1" applyFill="1" applyBorder="1" applyProtection="1">
      <alignment vertical="center"/>
      <protection hidden="1"/>
    </xf>
    <xf numFmtId="0" fontId="32" fillId="0" borderId="53" xfId="0" applyFont="1" applyFill="1" applyBorder="1" applyAlignment="1" applyProtection="1">
      <alignment horizontal="left" vertical="top" wrapText="1"/>
      <protection hidden="1"/>
    </xf>
    <xf numFmtId="0" fontId="32" fillId="0" borderId="54" xfId="0" applyFont="1" applyFill="1" applyBorder="1" applyAlignment="1" applyProtection="1">
      <alignment horizontal="left" vertical="top" wrapText="1"/>
      <protection hidden="1"/>
    </xf>
    <xf numFmtId="0" fontId="28" fillId="0" borderId="54" xfId="0" applyFont="1" applyFill="1" applyBorder="1" applyAlignment="1" applyProtection="1">
      <alignment horizontal="left" vertical="top" wrapText="1"/>
      <protection hidden="1"/>
    </xf>
    <xf numFmtId="0" fontId="41" fillId="0" borderId="54" xfId="0" applyFont="1" applyFill="1" applyBorder="1" applyAlignment="1" applyProtection="1">
      <alignment horizontal="right" vertical="center"/>
      <protection hidden="1"/>
    </xf>
    <xf numFmtId="0" fontId="70" fillId="36" borderId="104" xfId="0" applyFont="1" applyFill="1" applyBorder="1" applyAlignment="1" applyProtection="1">
      <alignment vertical="center"/>
      <protection hidden="1"/>
    </xf>
    <xf numFmtId="0" fontId="32" fillId="36" borderId="51" xfId="0" applyFont="1" applyFill="1" applyBorder="1" applyAlignment="1" applyProtection="1">
      <alignment horizontal="right" vertical="center"/>
      <protection hidden="1"/>
    </xf>
    <xf numFmtId="0" fontId="0" fillId="36" borderId="51" xfId="0" applyFont="1" applyFill="1" applyBorder="1" applyAlignment="1" applyProtection="1">
      <alignment horizontal="left" vertical="center"/>
      <protection hidden="1"/>
    </xf>
    <xf numFmtId="0" fontId="32" fillId="55" borderId="59" xfId="0" applyFont="1" applyFill="1" applyBorder="1" applyAlignment="1" applyProtection="1">
      <alignment horizontal="right" vertical="center"/>
      <protection hidden="1"/>
    </xf>
    <xf numFmtId="0" fontId="0" fillId="55" borderId="59" xfId="0" applyFill="1" applyBorder="1" applyAlignment="1" applyProtection="1">
      <alignment horizontal="left" vertical="center"/>
      <protection hidden="1"/>
    </xf>
    <xf numFmtId="0" fontId="32" fillId="54" borderId="53" xfId="0" applyFont="1" applyFill="1" applyBorder="1" applyAlignment="1" applyProtection="1">
      <alignment vertical="center"/>
      <protection hidden="1"/>
    </xf>
    <xf numFmtId="0" fontId="32" fillId="54" borderId="54" xfId="0" applyFont="1" applyFill="1" applyBorder="1" applyAlignment="1" applyProtection="1">
      <alignment vertical="center"/>
      <protection hidden="1"/>
    </xf>
    <xf numFmtId="0" fontId="32" fillId="54" borderId="54" xfId="0" applyFont="1" applyFill="1" applyBorder="1" applyAlignment="1" applyProtection="1">
      <alignment horizontal="center" vertical="center"/>
      <protection hidden="1"/>
    </xf>
    <xf numFmtId="0" fontId="41" fillId="54" borderId="54" xfId="0" applyFont="1" applyFill="1" applyBorder="1" applyAlignment="1" applyProtection="1">
      <alignment horizontal="right" vertical="center"/>
      <protection hidden="1"/>
    </xf>
    <xf numFmtId="0" fontId="32" fillId="0" borderId="53" xfId="0" applyFont="1" applyFill="1" applyBorder="1" applyAlignment="1" applyProtection="1">
      <alignment vertical="center"/>
      <protection hidden="1"/>
    </xf>
    <xf numFmtId="0" fontId="32" fillId="0" borderId="54" xfId="0" applyFont="1" applyFill="1" applyBorder="1" applyAlignment="1" applyProtection="1">
      <alignment vertical="center"/>
      <protection hidden="1"/>
    </xf>
    <xf numFmtId="0" fontId="28" fillId="0" borderId="54" xfId="0" applyFont="1" applyFill="1" applyBorder="1" applyAlignment="1" applyProtection="1">
      <alignment horizontal="center" vertical="top"/>
      <protection hidden="1"/>
    </xf>
    <xf numFmtId="0" fontId="28" fillId="0" borderId="55" xfId="0" applyFont="1" applyFill="1" applyBorder="1" applyAlignment="1" applyProtection="1">
      <alignment horizontal="center" vertical="top"/>
      <protection hidden="1"/>
    </xf>
    <xf numFmtId="0" fontId="32" fillId="54" borderId="20" xfId="0" applyFont="1" applyFill="1" applyBorder="1" applyAlignment="1" applyProtection="1">
      <alignment horizontal="left" vertical="center"/>
      <protection hidden="1"/>
    </xf>
    <xf numFmtId="0" fontId="32" fillId="54" borderId="0" xfId="0" applyFont="1" applyFill="1" applyBorder="1" applyAlignment="1" applyProtection="1">
      <alignment horizontal="left" vertical="center"/>
      <protection hidden="1"/>
    </xf>
    <xf numFmtId="0" fontId="32" fillId="0" borderId="53" xfId="0" applyFont="1" applyFill="1" applyBorder="1" applyAlignment="1" applyProtection="1">
      <alignment horizontal="left" vertical="center"/>
      <protection hidden="1"/>
    </xf>
    <xf numFmtId="0" fontId="32" fillId="0" borderId="54" xfId="0" applyFont="1" applyFill="1" applyBorder="1" applyAlignment="1" applyProtection="1">
      <alignment horizontal="left" vertical="center"/>
      <protection hidden="1"/>
    </xf>
    <xf numFmtId="0" fontId="27" fillId="0" borderId="54" xfId="0" applyFont="1" applyFill="1" applyBorder="1" applyAlignment="1" applyProtection="1">
      <alignment horizontal="center" vertical="center"/>
      <protection hidden="1"/>
    </xf>
    <xf numFmtId="176" fontId="27" fillId="0" borderId="54" xfId="0" applyNumberFormat="1" applyFont="1" applyFill="1" applyBorder="1" applyAlignment="1" applyProtection="1">
      <alignment horizontal="center" vertical="center"/>
      <protection hidden="1"/>
    </xf>
    <xf numFmtId="176" fontId="27" fillId="0" borderId="55" xfId="0" applyNumberFormat="1" applyFont="1" applyFill="1" applyBorder="1" applyAlignment="1" applyProtection="1">
      <alignment horizontal="center" vertical="center"/>
      <protection hidden="1"/>
    </xf>
    <xf numFmtId="0" fontId="32" fillId="54" borderId="20" xfId="0" applyFont="1" applyFill="1" applyBorder="1" applyAlignment="1" applyProtection="1">
      <alignment horizontal="left" vertical="top" wrapText="1"/>
      <protection hidden="1"/>
    </xf>
    <xf numFmtId="0" fontId="41" fillId="0" borderId="54" xfId="0" applyFont="1" applyFill="1" applyBorder="1" applyAlignment="1" applyProtection="1">
      <alignment horizontal="right" vertical="top" wrapText="1"/>
      <protection hidden="1"/>
    </xf>
    <xf numFmtId="0" fontId="60" fillId="0" borderId="90" xfId="0" applyFont="1" applyFill="1" applyBorder="1" applyAlignment="1" applyProtection="1">
      <alignment vertical="center"/>
      <protection hidden="1"/>
    </xf>
    <xf numFmtId="0" fontId="60"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Fill="1" applyBorder="1" applyAlignment="1" applyProtection="1">
      <alignment horizontal="right" vertical="center"/>
      <protection hidden="1"/>
    </xf>
    <xf numFmtId="0" fontId="121" fillId="0" borderId="0" xfId="0" applyFont="1" applyFill="1" applyBorder="1" applyAlignment="1" applyProtection="1">
      <alignment horizontal="right" vertical="top"/>
      <protection hidden="1"/>
    </xf>
    <xf numFmtId="0" fontId="60" fillId="35" borderId="75" xfId="0" applyFont="1" applyFill="1" applyBorder="1" applyAlignment="1" applyProtection="1">
      <alignment vertical="center"/>
      <protection hidden="1"/>
    </xf>
    <xf numFmtId="0" fontId="60" fillId="35" borderId="81" xfId="0" applyFont="1" applyFill="1" applyBorder="1" applyAlignment="1" applyProtection="1">
      <alignment vertical="center"/>
      <protection hidden="1"/>
    </xf>
    <xf numFmtId="0" fontId="31" fillId="35" borderId="81" xfId="0" applyFont="1" applyFill="1" applyBorder="1" applyAlignment="1" applyProtection="1">
      <alignment horizontal="right" vertical="center"/>
      <protection hidden="1"/>
    </xf>
    <xf numFmtId="0" fontId="121" fillId="35" borderId="81" xfId="0" applyFont="1" applyFill="1" applyBorder="1" applyAlignment="1" applyProtection="1">
      <alignment horizontal="right" vertical="top"/>
      <protection hidden="1"/>
    </xf>
    <xf numFmtId="0" fontId="54" fillId="35" borderId="81" xfId="0" applyFont="1" applyFill="1" applyBorder="1" applyAlignment="1" applyProtection="1">
      <alignment horizontal="center" vertical="center"/>
      <protection hidden="1"/>
    </xf>
    <xf numFmtId="0" fontId="60" fillId="0" borderId="75" xfId="0" applyFont="1" applyFill="1" applyBorder="1" applyAlignment="1" applyProtection="1">
      <alignment vertical="center"/>
      <protection hidden="1"/>
    </xf>
    <xf numFmtId="0" fontId="60" fillId="0" borderId="81" xfId="0" applyFont="1" applyFill="1" applyBorder="1" applyAlignment="1" applyProtection="1">
      <alignment vertical="center"/>
      <protection hidden="1"/>
    </xf>
    <xf numFmtId="0" fontId="31" fillId="0" borderId="81" xfId="0" applyFont="1" applyFill="1" applyBorder="1" applyAlignment="1" applyProtection="1">
      <alignment vertical="center"/>
      <protection hidden="1"/>
    </xf>
    <xf numFmtId="0" fontId="31" fillId="0" borderId="81" xfId="0" applyFont="1" applyFill="1" applyBorder="1" applyAlignment="1" applyProtection="1">
      <alignment horizontal="right" vertical="center"/>
      <protection hidden="1"/>
    </xf>
    <xf numFmtId="0" fontId="121" fillId="0" borderId="81" xfId="0" applyFont="1" applyFill="1" applyBorder="1" applyAlignment="1" applyProtection="1">
      <alignment horizontal="right" vertical="top"/>
      <protection hidden="1"/>
    </xf>
    <xf numFmtId="0" fontId="184" fillId="0" borderId="254" xfId="0" applyFont="1" applyBorder="1" applyProtection="1">
      <alignment vertical="center"/>
      <protection hidden="1"/>
    </xf>
    <xf numFmtId="0" fontId="28" fillId="0" borderId="257" xfId="0" applyFont="1" applyFill="1" applyBorder="1" applyAlignment="1" applyProtection="1">
      <alignment vertical="top" wrapText="1"/>
      <protection hidden="1"/>
    </xf>
    <xf numFmtId="0" fontId="28" fillId="0" borderId="258" xfId="0" applyFont="1" applyFill="1" applyBorder="1" applyAlignment="1" applyProtection="1">
      <alignment vertical="top" wrapText="1"/>
      <protection hidden="1"/>
    </xf>
    <xf numFmtId="0" fontId="41" fillId="0" borderId="156" xfId="0" applyFont="1" applyFill="1" applyBorder="1" applyAlignment="1" applyProtection="1">
      <alignment horizontal="center" vertical="center"/>
      <protection hidden="1"/>
    </xf>
    <xf numFmtId="176" fontId="77" fillId="0" borderId="0" xfId="0" applyNumberFormat="1" applyFont="1" applyFill="1" applyBorder="1" applyAlignment="1" applyProtection="1">
      <alignment horizontal="center" vertical="center" wrapText="1"/>
      <protection hidden="1"/>
    </xf>
    <xf numFmtId="0" fontId="32" fillId="0" borderId="0" xfId="48" applyFont="1" applyProtection="1">
      <alignment vertical="center"/>
      <protection hidden="1"/>
    </xf>
    <xf numFmtId="0" fontId="32" fillId="54" borderId="109" xfId="0" applyFont="1" applyFill="1" applyBorder="1" applyAlignment="1" applyProtection="1">
      <alignment vertical="top" wrapText="1"/>
      <protection hidden="1"/>
    </xf>
    <xf numFmtId="0" fontId="32" fillId="54" borderId="79" xfId="0" applyFont="1" applyFill="1" applyBorder="1" applyAlignment="1" applyProtection="1">
      <alignment horizontal="left" vertical="top"/>
      <protection hidden="1"/>
    </xf>
    <xf numFmtId="0" fontId="32" fillId="54" borderId="80" xfId="0" applyFont="1" applyFill="1" applyBorder="1" applyProtection="1">
      <alignment vertical="center"/>
      <protection hidden="1"/>
    </xf>
    <xf numFmtId="0" fontId="32" fillId="54" borderId="79" xfId="0" applyFont="1" applyFill="1" applyBorder="1" applyAlignment="1" applyProtection="1">
      <alignment horizontal="center" vertical="center"/>
      <protection hidden="1"/>
    </xf>
    <xf numFmtId="0" fontId="32" fillId="54" borderId="79" xfId="0" applyFont="1" applyFill="1" applyBorder="1" applyAlignment="1" applyProtection="1">
      <alignment vertical="top" wrapText="1"/>
      <protection hidden="1"/>
    </xf>
    <xf numFmtId="0" fontId="32" fillId="54" borderId="79" xfId="0" applyFont="1" applyFill="1" applyBorder="1" applyAlignment="1" applyProtection="1">
      <alignment horizontal="center" vertical="center" wrapText="1"/>
      <protection hidden="1"/>
    </xf>
    <xf numFmtId="0" fontId="32" fillId="0" borderId="0" xfId="48" applyFont="1" applyFill="1" applyAlignment="1" applyProtection="1">
      <alignment horizontal="center" vertical="center"/>
      <protection hidden="1"/>
    </xf>
    <xf numFmtId="0" fontId="32" fillId="0" borderId="0" xfId="0" applyFont="1" applyBorder="1" applyAlignment="1">
      <alignment horizontal="center" vertical="center"/>
    </xf>
    <xf numFmtId="0" fontId="27" fillId="54" borderId="115" xfId="0" applyFont="1" applyFill="1" applyBorder="1" applyAlignment="1" applyProtection="1">
      <alignment vertical="top" wrapText="1"/>
      <protection hidden="1"/>
    </xf>
    <xf numFmtId="0" fontId="184" fillId="0" borderId="88" xfId="0" applyFont="1" applyBorder="1" applyProtection="1">
      <alignment vertical="center"/>
      <protection hidden="1"/>
    </xf>
    <xf numFmtId="0" fontId="37" fillId="0" borderId="0" xfId="0" applyFont="1" applyFill="1" applyBorder="1" applyAlignment="1" applyProtection="1">
      <alignment horizontal="center" vertical="center" wrapText="1"/>
      <protection hidden="1"/>
    </xf>
    <xf numFmtId="0" fontId="28" fillId="0" borderId="0" xfId="0" applyFont="1" applyBorder="1" applyAlignment="1">
      <alignment horizontal="center" vertical="center"/>
    </xf>
    <xf numFmtId="0" fontId="41" fillId="0" borderId="90" xfId="0" applyFont="1" applyFill="1" applyBorder="1" applyAlignment="1" applyProtection="1">
      <alignment horizontal="center" vertical="center"/>
      <protection hidden="1"/>
    </xf>
    <xf numFmtId="0" fontId="184" fillId="0" borderId="112" xfId="0" applyFont="1" applyBorder="1" applyProtection="1">
      <alignment vertical="center"/>
      <protection hidden="1"/>
    </xf>
    <xf numFmtId="0" fontId="41" fillId="0" borderId="105" xfId="0" applyFont="1" applyFill="1" applyBorder="1" applyAlignment="1" applyProtection="1">
      <alignment horizontal="center" vertical="center"/>
      <protection hidden="1"/>
    </xf>
    <xf numFmtId="0" fontId="37" fillId="0" borderId="156" xfId="0" applyFont="1" applyFill="1" applyBorder="1" applyAlignment="1" applyProtection="1">
      <alignment horizontal="center" vertical="center" wrapText="1"/>
      <protection hidden="1"/>
    </xf>
    <xf numFmtId="0" fontId="32" fillId="54" borderId="115" xfId="0" applyFont="1" applyFill="1" applyBorder="1" applyAlignment="1" applyProtection="1">
      <alignment vertical="top" wrapText="1"/>
      <protection hidden="1"/>
    </xf>
    <xf numFmtId="0" fontId="32" fillId="54" borderId="0" xfId="0" applyFont="1" applyFill="1" applyBorder="1" applyAlignment="1" applyProtection="1">
      <alignment horizontal="left" vertical="top"/>
      <protection hidden="1"/>
    </xf>
    <xf numFmtId="0" fontId="32" fillId="54" borderId="0" xfId="0" applyFont="1" applyFill="1" applyProtection="1">
      <alignment vertical="center"/>
      <protection hidden="1"/>
    </xf>
    <xf numFmtId="0" fontId="32" fillId="54" borderId="0" xfId="0" applyFont="1" applyFill="1" applyBorder="1" applyAlignment="1" applyProtection="1">
      <alignment vertical="top" wrapText="1"/>
      <protection hidden="1"/>
    </xf>
    <xf numFmtId="0" fontId="32" fillId="54" borderId="0" xfId="0" applyFont="1" applyFill="1" applyBorder="1" applyAlignment="1" applyProtection="1">
      <alignment horizontal="center" vertical="center" wrapText="1"/>
      <protection hidden="1"/>
    </xf>
    <xf numFmtId="0" fontId="32" fillId="54" borderId="88" xfId="0" applyFont="1" applyFill="1" applyBorder="1" applyAlignment="1" applyProtection="1">
      <alignment horizontal="left" vertical="top" wrapText="1"/>
      <protection hidden="1"/>
    </xf>
    <xf numFmtId="0" fontId="27" fillId="54" borderId="111" xfId="0" applyFont="1" applyFill="1" applyBorder="1" applyAlignment="1" applyProtection="1">
      <alignment vertical="top" wrapText="1"/>
      <protection hidden="1"/>
    </xf>
    <xf numFmtId="0" fontId="28" fillId="0" borderId="0" xfId="0" applyFont="1" applyProtection="1">
      <alignment vertical="center"/>
      <protection hidden="1"/>
    </xf>
    <xf numFmtId="216" fontId="0" fillId="52" borderId="59" xfId="35" applyNumberFormat="1" applyFont="1" applyFill="1" applyBorder="1" applyAlignment="1" applyProtection="1">
      <alignment horizontal="left" vertical="center"/>
      <protection hidden="1"/>
    </xf>
    <xf numFmtId="216" fontId="27" fillId="54" borderId="51" xfId="35" applyNumberFormat="1" applyFont="1" applyFill="1" applyBorder="1" applyAlignment="1" applyProtection="1">
      <alignment horizontal="left" vertical="center"/>
      <protection hidden="1"/>
    </xf>
    <xf numFmtId="0" fontId="0" fillId="52" borderId="51" xfId="0" applyFill="1" applyBorder="1" applyAlignment="1" applyProtection="1">
      <alignment horizontal="left" vertical="center"/>
      <protection hidden="1"/>
    </xf>
    <xf numFmtId="0" fontId="27" fillId="54" borderId="79" xfId="0" applyFont="1" applyFill="1" applyBorder="1" applyAlignment="1" applyProtection="1">
      <alignment horizontal="left" vertical="center"/>
      <protection hidden="1"/>
    </xf>
    <xf numFmtId="216" fontId="70" fillId="36" borderId="51" xfId="0" applyNumberFormat="1" applyFont="1" applyFill="1" applyBorder="1" applyAlignment="1" applyProtection="1">
      <alignment horizontal="left" vertical="center"/>
      <protection hidden="1"/>
    </xf>
    <xf numFmtId="216" fontId="0" fillId="57" borderId="119" xfId="35" applyNumberFormat="1" applyFont="1" applyFill="1" applyBorder="1" applyAlignment="1" applyProtection="1">
      <alignment horizontal="left" vertical="center"/>
      <protection hidden="1"/>
    </xf>
    <xf numFmtId="216" fontId="41" fillId="54" borderId="51" xfId="0" applyNumberFormat="1" applyFont="1" applyFill="1" applyBorder="1" applyAlignment="1" applyProtection="1">
      <alignment horizontal="left" vertical="center"/>
      <protection hidden="1"/>
    </xf>
    <xf numFmtId="216" fontId="41" fillId="54" borderId="79" xfId="0" applyNumberFormat="1" applyFont="1" applyFill="1" applyBorder="1" applyAlignment="1" applyProtection="1">
      <alignment horizontal="left" vertical="center" wrapText="1"/>
      <protection hidden="1"/>
    </xf>
    <xf numFmtId="216" fontId="70" fillId="55" borderId="59" xfId="0" applyNumberFormat="1" applyFont="1" applyFill="1" applyBorder="1" applyAlignment="1" applyProtection="1">
      <alignment horizontal="left" vertical="center"/>
      <protection hidden="1"/>
    </xf>
    <xf numFmtId="216" fontId="41" fillId="54" borderId="0" xfId="0" applyNumberFormat="1" applyFont="1" applyFill="1" applyBorder="1" applyAlignment="1" applyProtection="1">
      <alignment horizontal="left" vertical="center"/>
      <protection hidden="1"/>
    </xf>
    <xf numFmtId="0" fontId="28" fillId="0" borderId="0" xfId="48" applyFont="1" applyFill="1" applyAlignment="1" applyProtection="1">
      <alignment horizontal="center" vertical="center"/>
      <protection locked="0"/>
    </xf>
    <xf numFmtId="0" fontId="28" fillId="0" borderId="0" xfId="0" applyFont="1" applyFill="1" applyBorder="1" applyAlignment="1" applyProtection="1">
      <alignment vertical="top" wrapText="1"/>
      <protection hidden="1"/>
    </xf>
    <xf numFmtId="0" fontId="28" fillId="0" borderId="156" xfId="0" applyFont="1" applyFill="1" applyBorder="1" applyAlignment="1" applyProtection="1">
      <alignment vertical="top" wrapText="1"/>
      <protection hidden="1"/>
    </xf>
    <xf numFmtId="0" fontId="41" fillId="0" borderId="0" xfId="0" applyFont="1" applyFill="1" applyBorder="1" applyAlignment="1" applyProtection="1">
      <alignment horizontal="center" vertical="center"/>
      <protection hidden="1"/>
    </xf>
    <xf numFmtId="0" fontId="28" fillId="0" borderId="0" xfId="0" applyFont="1" applyFill="1" applyBorder="1" applyAlignment="1" applyProtection="1">
      <alignment horizontal="left" vertical="top" wrapText="1"/>
      <protection hidden="1"/>
    </xf>
    <xf numFmtId="0" fontId="0" fillId="0" borderId="0" xfId="0" applyFont="1" applyProtection="1">
      <alignment vertical="center"/>
      <protection hidden="1"/>
    </xf>
    <xf numFmtId="0" fontId="28" fillId="0" borderId="0" xfId="0" applyFont="1" applyFill="1" applyBorder="1" applyAlignment="1" applyProtection="1">
      <alignment horizontal="left" vertical="top"/>
      <protection hidden="1"/>
    </xf>
    <xf numFmtId="0" fontId="28" fillId="0" borderId="0" xfId="0" applyFont="1" applyAlignment="1" applyProtection="1">
      <alignment vertical="center"/>
      <protection hidden="1"/>
    </xf>
    <xf numFmtId="0" fontId="0" fillId="0" borderId="0" xfId="0" applyFont="1" applyAlignment="1" applyProtection="1">
      <alignment vertical="center"/>
      <protection hidden="1"/>
    </xf>
    <xf numFmtId="0" fontId="0" fillId="0" borderId="241" xfId="0" applyFont="1" applyBorder="1" applyAlignment="1" applyProtection="1">
      <alignment vertical="center"/>
      <protection hidden="1"/>
    </xf>
    <xf numFmtId="0" fontId="28" fillId="0" borderId="0" xfId="0" applyFont="1" applyBorder="1" applyAlignment="1" applyProtection="1">
      <alignment vertical="center"/>
      <protection hidden="1"/>
    </xf>
    <xf numFmtId="0" fontId="0" fillId="0" borderId="0" xfId="0" applyFont="1" applyBorder="1" applyAlignment="1" applyProtection="1">
      <alignment vertical="center"/>
      <protection hidden="1"/>
    </xf>
    <xf numFmtId="0" fontId="28" fillId="0" borderId="156" xfId="0" applyFont="1" applyBorder="1" applyAlignment="1" applyProtection="1">
      <alignment vertical="center"/>
      <protection hidden="1"/>
    </xf>
    <xf numFmtId="0" fontId="0" fillId="0" borderId="156" xfId="0" applyFont="1" applyBorder="1" applyAlignment="1" applyProtection="1">
      <alignment vertical="center"/>
      <protection hidden="1"/>
    </xf>
    <xf numFmtId="0" fontId="28" fillId="0" borderId="0" xfId="0" applyFont="1" applyFill="1" applyBorder="1" applyAlignment="1" applyProtection="1">
      <alignment vertical="top" shrinkToFit="1"/>
      <protection hidden="1"/>
    </xf>
    <xf numFmtId="0" fontId="37" fillId="32" borderId="139" xfId="0" applyFont="1" applyFill="1" applyBorder="1" applyAlignment="1" applyProtection="1">
      <alignment horizontal="center" vertical="center" wrapText="1"/>
      <protection hidden="1"/>
    </xf>
    <xf numFmtId="0" fontId="28" fillId="0" borderId="156" xfId="0" applyFont="1" applyFill="1" applyBorder="1" applyAlignment="1" applyProtection="1">
      <alignment horizontal="left" vertical="top" wrapText="1"/>
      <protection hidden="1"/>
    </xf>
    <xf numFmtId="0" fontId="32" fillId="54" borderId="79" xfId="0" applyFont="1" applyFill="1" applyBorder="1" applyAlignment="1" applyProtection="1">
      <alignment horizontal="left" vertical="top" wrapText="1"/>
      <protection hidden="1"/>
    </xf>
    <xf numFmtId="0" fontId="28" fillId="0" borderId="88" xfId="0" applyFont="1" applyFill="1" applyBorder="1" applyAlignment="1" applyProtection="1">
      <alignment horizontal="left" vertical="top" wrapText="1"/>
      <protection hidden="1"/>
    </xf>
    <xf numFmtId="3" fontId="32" fillId="0" borderId="0" xfId="48" applyNumberFormat="1" applyFont="1" applyFill="1" applyBorder="1" applyAlignment="1" applyProtection="1">
      <alignment vertical="center" shrinkToFit="1"/>
    </xf>
    <xf numFmtId="0" fontId="41" fillId="0" borderId="237" xfId="0" applyFont="1" applyFill="1" applyBorder="1" applyAlignment="1" applyProtection="1">
      <alignment horizontal="center" vertical="center"/>
    </xf>
    <xf numFmtId="0" fontId="41" fillId="0" borderId="235" xfId="0" applyFont="1" applyFill="1" applyBorder="1" applyAlignment="1" applyProtection="1">
      <alignment horizontal="center" vertical="center"/>
    </xf>
    <xf numFmtId="0" fontId="41" fillId="0" borderId="238" xfId="0" applyFont="1" applyFill="1" applyBorder="1" applyAlignment="1" applyProtection="1">
      <alignment horizontal="center" vertical="center"/>
    </xf>
    <xf numFmtId="0" fontId="41" fillId="50" borderId="237" xfId="0" applyFont="1" applyFill="1" applyBorder="1" applyAlignment="1" applyProtection="1">
      <alignment horizontal="center" vertical="center"/>
    </xf>
    <xf numFmtId="0" fontId="41" fillId="0" borderId="249" xfId="0" applyFont="1" applyFill="1" applyBorder="1" applyAlignment="1" applyProtection="1">
      <alignment horizontal="center" vertical="center"/>
    </xf>
    <xf numFmtId="0" fontId="41" fillId="0" borderId="88" xfId="0" applyFont="1" applyFill="1" applyBorder="1" applyAlignment="1" applyProtection="1">
      <alignment horizontal="center" vertical="top"/>
    </xf>
    <xf numFmtId="177" fontId="41" fillId="0" borderId="242" xfId="0" applyNumberFormat="1" applyFont="1" applyFill="1" applyBorder="1" applyAlignment="1" applyProtection="1">
      <alignment horizontal="center" vertical="center"/>
    </xf>
    <xf numFmtId="0" fontId="188" fillId="0" borderId="237" xfId="48" applyFont="1" applyFill="1" applyBorder="1" applyAlignment="1" applyProtection="1">
      <alignment horizontal="center" vertical="center"/>
    </xf>
    <xf numFmtId="0" fontId="188" fillId="0" borderId="236" xfId="48" applyFont="1" applyFill="1" applyBorder="1" applyAlignment="1" applyProtection="1">
      <alignment horizontal="center" vertical="center"/>
    </xf>
    <xf numFmtId="177" fontId="41" fillId="0" borderId="249" xfId="0" applyNumberFormat="1" applyFont="1" applyFill="1" applyBorder="1" applyAlignment="1" applyProtection="1">
      <alignment horizontal="center" vertical="center"/>
    </xf>
    <xf numFmtId="0" fontId="41" fillId="0" borderId="255" xfId="0" applyFont="1" applyFill="1" applyBorder="1" applyAlignment="1" applyProtection="1">
      <alignment horizontal="center" vertical="center"/>
    </xf>
    <xf numFmtId="0" fontId="41" fillId="0" borderId="256" xfId="0" applyFont="1" applyFill="1" applyBorder="1" applyAlignment="1" applyProtection="1">
      <alignment horizontal="center" vertical="center"/>
    </xf>
    <xf numFmtId="0" fontId="184" fillId="0" borderId="0" xfId="0" applyFont="1" applyProtection="1">
      <alignment vertical="center"/>
    </xf>
    <xf numFmtId="0" fontId="55" fillId="24" borderId="207" xfId="0" applyNumberFormat="1" applyFont="1" applyFill="1" applyBorder="1" applyAlignment="1" applyProtection="1">
      <alignment horizontal="left" vertical="top" wrapText="1"/>
    </xf>
    <xf numFmtId="0" fontId="27" fillId="0" borderId="50" xfId="0" applyFont="1" applyFill="1" applyBorder="1" applyAlignment="1" applyProtection="1">
      <alignment horizontal="left" vertical="center" shrinkToFit="1"/>
      <protection locked="0"/>
    </xf>
    <xf numFmtId="0" fontId="27" fillId="42" borderId="51" xfId="0" applyFont="1" applyFill="1" applyBorder="1" applyAlignment="1" applyProtection="1">
      <alignment horizontal="left" vertical="center" shrinkToFit="1"/>
      <protection locked="0"/>
    </xf>
    <xf numFmtId="0" fontId="27" fillId="42" borderId="52" xfId="0" applyFont="1" applyFill="1" applyBorder="1" applyAlignment="1" applyProtection="1">
      <alignment horizontal="left" vertical="center" shrinkToFit="1"/>
      <protection locked="0"/>
    </xf>
    <xf numFmtId="0" fontId="27" fillId="42" borderId="234" xfId="0" applyFont="1" applyFill="1" applyBorder="1" applyAlignment="1" applyProtection="1">
      <alignment horizontal="left" vertical="center" shrinkToFit="1"/>
      <protection locked="0"/>
    </xf>
    <xf numFmtId="0" fontId="27" fillId="0" borderId="10" xfId="0" applyFont="1" applyFill="1" applyBorder="1" applyAlignment="1" applyProtection="1">
      <alignment horizontal="left" vertical="center" shrinkToFit="1"/>
      <protection locked="0"/>
    </xf>
    <xf numFmtId="0" fontId="27" fillId="42" borderId="50" xfId="0" applyFont="1" applyFill="1" applyBorder="1" applyAlignment="1" applyProtection="1">
      <alignment horizontal="left" vertical="center" shrinkToFit="1"/>
      <protection locked="0"/>
    </xf>
    <xf numFmtId="0" fontId="27" fillId="42" borderId="36" xfId="0" applyFont="1" applyFill="1" applyBorder="1" applyAlignment="1" applyProtection="1">
      <alignment horizontal="left" vertical="center" shrinkToFit="1"/>
      <protection locked="0"/>
    </xf>
    <xf numFmtId="0" fontId="33" fillId="0" borderId="24" xfId="0" applyFont="1" applyFill="1" applyBorder="1" applyAlignment="1" applyProtection="1">
      <alignment horizontal="center" vertical="center" shrinkToFit="1"/>
      <protection locked="0" hidden="1"/>
    </xf>
    <xf numFmtId="0" fontId="33" fillId="0" borderId="59" xfId="0" applyFont="1" applyFill="1" applyBorder="1" applyAlignment="1" applyProtection="1">
      <alignment horizontal="center" vertical="center" shrinkToFit="1"/>
      <protection locked="0" hidden="1"/>
    </xf>
    <xf numFmtId="0" fontId="33" fillId="42" borderId="21" xfId="0" applyFont="1" applyFill="1" applyBorder="1" applyAlignment="1" applyProtection="1">
      <alignment horizontal="center" vertical="center" shrinkToFit="1"/>
      <protection locked="0" hidden="1"/>
    </xf>
    <xf numFmtId="0" fontId="39" fillId="24" borderId="218" xfId="0" applyFont="1" applyFill="1" applyBorder="1" applyAlignment="1" applyProtection="1">
      <alignment vertical="center" wrapText="1"/>
      <protection hidden="1"/>
    </xf>
    <xf numFmtId="0" fontId="39" fillId="24" borderId="207" xfId="0" applyFont="1" applyFill="1" applyBorder="1" applyAlignment="1" applyProtection="1">
      <alignment vertical="center" wrapText="1"/>
      <protection hidden="1"/>
    </xf>
    <xf numFmtId="0" fontId="39" fillId="24" borderId="208" xfId="0" applyFont="1" applyFill="1" applyBorder="1" applyAlignment="1" applyProtection="1">
      <alignment vertical="center" wrapText="1"/>
      <protection hidden="1"/>
    </xf>
    <xf numFmtId="0" fontId="27" fillId="0" borderId="53" xfId="0" applyFont="1" applyFill="1" applyBorder="1" applyAlignment="1" applyProtection="1">
      <alignment vertical="top" wrapText="1"/>
      <protection locked="0"/>
    </xf>
    <xf numFmtId="0" fontId="27" fillId="42" borderId="54" xfId="0" applyFont="1" applyFill="1" applyBorder="1" applyAlignment="1" applyProtection="1">
      <alignment vertical="top"/>
      <protection locked="0"/>
    </xf>
    <xf numFmtId="0" fontId="27" fillId="42" borderId="217" xfId="0" applyFont="1" applyFill="1" applyBorder="1" applyAlignment="1" applyProtection="1">
      <alignment vertical="top"/>
      <protection locked="0"/>
    </xf>
    <xf numFmtId="0" fontId="27" fillId="42" borderId="20" xfId="0" applyFont="1" applyFill="1" applyBorder="1" applyAlignment="1" applyProtection="1">
      <alignment vertical="top"/>
      <protection locked="0"/>
    </xf>
    <xf numFmtId="0" fontId="27" fillId="42" borderId="0" xfId="0" applyFont="1" applyFill="1" applyBorder="1" applyAlignment="1" applyProtection="1">
      <alignment vertical="top"/>
      <protection locked="0"/>
    </xf>
    <xf numFmtId="0" fontId="27" fillId="42" borderId="18" xfId="0" applyFont="1" applyFill="1" applyBorder="1" applyAlignment="1" applyProtection="1">
      <alignment vertical="top"/>
      <protection locked="0"/>
    </xf>
    <xf numFmtId="0" fontId="27" fillId="42" borderId="24" xfId="0" applyFont="1" applyFill="1" applyBorder="1" applyAlignment="1" applyProtection="1">
      <alignment vertical="top"/>
      <protection locked="0"/>
    </xf>
    <xf numFmtId="0" fontId="27" fillId="42" borderId="59" xfId="0" applyFont="1" applyFill="1" applyBorder="1" applyAlignment="1" applyProtection="1">
      <alignment vertical="top"/>
      <protection locked="0"/>
    </xf>
    <xf numFmtId="0" fontId="27" fillId="42" borderId="21" xfId="0" applyFont="1" applyFill="1" applyBorder="1" applyAlignment="1" applyProtection="1">
      <alignment vertical="top"/>
      <protection locked="0"/>
    </xf>
    <xf numFmtId="0" fontId="27" fillId="0" borderId="53" xfId="0" applyFont="1" applyFill="1" applyBorder="1" applyAlignment="1" applyProtection="1">
      <alignment horizontal="left" vertical="center" shrinkToFit="1"/>
      <protection locked="0"/>
    </xf>
    <xf numFmtId="0" fontId="27" fillId="42" borderId="54" xfId="0" applyFont="1" applyFill="1" applyBorder="1" applyAlignment="1" applyProtection="1">
      <alignment horizontal="left" vertical="center" shrinkToFit="1"/>
      <protection locked="0"/>
    </xf>
    <xf numFmtId="0" fontId="27" fillId="42" borderId="217" xfId="0" applyFont="1" applyFill="1" applyBorder="1" applyAlignment="1" applyProtection="1">
      <alignment horizontal="left" vertical="center" shrinkToFit="1"/>
      <protection locked="0"/>
    </xf>
    <xf numFmtId="0" fontId="27" fillId="24" borderId="10" xfId="0" applyFont="1" applyFill="1" applyBorder="1" applyAlignment="1" applyProtection="1">
      <alignment horizontal="left" vertical="center" shrinkToFit="1"/>
    </xf>
    <xf numFmtId="0" fontId="27" fillId="24" borderId="50" xfId="0" applyFont="1" applyFill="1" applyBorder="1" applyAlignment="1" applyProtection="1">
      <alignment horizontal="left" vertical="center" shrinkToFit="1"/>
    </xf>
    <xf numFmtId="0" fontId="27" fillId="24" borderId="36" xfId="0" applyFont="1" applyFill="1" applyBorder="1" applyAlignment="1" applyProtection="1">
      <alignment horizontal="left" vertical="center" shrinkToFit="1"/>
    </xf>
    <xf numFmtId="31" fontId="27" fillId="0" borderId="182" xfId="0" applyNumberFormat="1" applyFont="1" applyFill="1" applyBorder="1" applyAlignment="1" applyProtection="1">
      <alignment horizontal="left" vertical="center" shrinkToFit="1"/>
      <protection hidden="1"/>
    </xf>
    <xf numFmtId="0" fontId="0" fillId="0" borderId="119" xfId="0" applyBorder="1" applyAlignment="1">
      <alignment vertical="center" shrinkToFit="1"/>
    </xf>
    <xf numFmtId="0" fontId="28" fillId="0" borderId="185" xfId="0" applyFont="1" applyFill="1" applyBorder="1" applyAlignment="1" applyProtection="1">
      <alignment vertical="top" wrapText="1"/>
      <protection hidden="1"/>
    </xf>
    <xf numFmtId="0" fontId="28" fillId="0" borderId="54" xfId="0" applyFont="1" applyFill="1" applyBorder="1" applyAlignment="1" applyProtection="1">
      <alignment vertical="top" wrapText="1"/>
      <protection hidden="1"/>
    </xf>
    <xf numFmtId="0" fontId="28" fillId="0" borderId="114" xfId="0" applyFont="1" applyFill="1" applyBorder="1" applyAlignment="1" applyProtection="1">
      <alignment vertical="top" wrapText="1"/>
      <protection hidden="1"/>
    </xf>
    <xf numFmtId="0" fontId="28" fillId="0" borderId="183" xfId="0" applyFont="1" applyFill="1" applyBorder="1" applyAlignment="1" applyProtection="1">
      <alignment vertical="top" wrapText="1"/>
      <protection hidden="1"/>
    </xf>
    <xf numFmtId="0" fontId="28" fillId="0" borderId="0" xfId="0" applyFont="1" applyFill="1" applyBorder="1" applyAlignment="1" applyProtection="1">
      <alignment vertical="top" wrapText="1"/>
      <protection hidden="1"/>
    </xf>
    <xf numFmtId="0" fontId="28" fillId="0" borderId="88" xfId="0" applyFont="1" applyFill="1" applyBorder="1" applyAlignment="1" applyProtection="1">
      <alignment vertical="top" wrapText="1"/>
      <protection hidden="1"/>
    </xf>
    <xf numFmtId="0" fontId="28" fillId="0" borderId="193" xfId="0" applyFont="1" applyFill="1" applyBorder="1" applyAlignment="1" applyProtection="1">
      <alignment vertical="top" wrapText="1"/>
      <protection hidden="1"/>
    </xf>
    <xf numFmtId="0" fontId="28" fillId="0" borderId="156" xfId="0" applyFont="1" applyFill="1" applyBorder="1" applyAlignment="1" applyProtection="1">
      <alignment vertical="top" wrapText="1"/>
      <protection hidden="1"/>
    </xf>
    <xf numFmtId="0" fontId="28" fillId="0" borderId="112" xfId="0" applyFont="1" applyFill="1" applyBorder="1" applyAlignment="1" applyProtection="1">
      <alignment vertical="top" wrapText="1"/>
      <protection hidden="1"/>
    </xf>
    <xf numFmtId="0" fontId="28" fillId="0" borderId="55" xfId="0" applyFont="1" applyFill="1" applyBorder="1" applyAlignment="1" applyProtection="1">
      <alignment vertical="top" wrapText="1"/>
      <protection hidden="1"/>
    </xf>
    <xf numFmtId="0" fontId="28" fillId="0" borderId="153" xfId="0" applyFont="1" applyFill="1" applyBorder="1" applyAlignment="1" applyProtection="1">
      <alignment vertical="top" wrapText="1"/>
      <protection hidden="1"/>
    </xf>
    <xf numFmtId="0" fontId="28" fillId="0" borderId="177" xfId="0" applyFont="1" applyFill="1" applyBorder="1" applyAlignment="1" applyProtection="1">
      <alignment vertical="top" wrapText="1"/>
      <protection hidden="1"/>
    </xf>
    <xf numFmtId="0" fontId="84" fillId="0" borderId="90" xfId="0" applyFont="1" applyFill="1" applyBorder="1" applyAlignment="1" applyProtection="1">
      <alignment horizontal="left" vertical="center" wrapText="1"/>
      <protection hidden="1"/>
    </xf>
    <xf numFmtId="0" fontId="84" fillId="0" borderId="0" xfId="0" applyFont="1" applyFill="1" applyBorder="1" applyAlignment="1" applyProtection="1">
      <alignment horizontal="left" vertical="center" wrapText="1"/>
      <protection hidden="1"/>
    </xf>
    <xf numFmtId="0" fontId="84" fillId="0" borderId="88" xfId="0" applyFont="1" applyFill="1" applyBorder="1" applyAlignment="1" applyProtection="1">
      <alignment horizontal="left" vertical="center" wrapText="1"/>
      <protection hidden="1"/>
    </xf>
    <xf numFmtId="0" fontId="84" fillId="0" borderId="105" xfId="0" applyFont="1" applyFill="1" applyBorder="1" applyAlignment="1" applyProtection="1">
      <alignment horizontal="left" vertical="center" wrapText="1"/>
      <protection hidden="1"/>
    </xf>
    <xf numFmtId="0" fontId="84" fillId="0" borderId="156" xfId="0" applyFont="1" applyFill="1" applyBorder="1" applyAlignment="1" applyProtection="1">
      <alignment horizontal="left" vertical="center" wrapText="1"/>
      <protection hidden="1"/>
    </xf>
    <xf numFmtId="0" fontId="84" fillId="0" borderId="112" xfId="0" applyFont="1" applyFill="1" applyBorder="1" applyAlignment="1" applyProtection="1">
      <alignment horizontal="left" vertical="center" wrapText="1"/>
      <protection hidden="1"/>
    </xf>
    <xf numFmtId="0" fontId="70" fillId="0" borderId="225" xfId="0" applyNumberFormat="1" applyFont="1" applyFill="1" applyBorder="1" applyAlignment="1" applyProtection="1">
      <alignment horizontal="center" vertical="center"/>
      <protection hidden="1"/>
    </xf>
    <xf numFmtId="0" fontId="70" fillId="0" borderId="226" xfId="0" applyNumberFormat="1" applyFont="1" applyFill="1" applyBorder="1" applyAlignment="1" applyProtection="1">
      <alignment horizontal="center" vertical="center"/>
      <protection hidden="1"/>
    </xf>
    <xf numFmtId="0" fontId="70" fillId="0" borderId="227" xfId="0" applyNumberFormat="1" applyFont="1" applyFill="1" applyBorder="1" applyAlignment="1" applyProtection="1">
      <alignment horizontal="center" vertical="center"/>
      <protection hidden="1"/>
    </xf>
    <xf numFmtId="0" fontId="35"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27" fillId="0" borderId="185" xfId="0" applyNumberFormat="1" applyFont="1" applyFill="1" applyBorder="1" applyAlignment="1" applyProtection="1">
      <alignment horizontal="left" vertical="center"/>
      <protection hidden="1"/>
    </xf>
    <xf numFmtId="0" fontId="0" fillId="0" borderId="54" xfId="0" applyBorder="1">
      <alignment vertical="center"/>
    </xf>
    <xf numFmtId="0" fontId="47" fillId="0" borderId="120" xfId="0" applyFont="1" applyFill="1" applyBorder="1" applyAlignment="1" applyProtection="1">
      <alignment horizontal="left" vertical="top" wrapText="1"/>
      <protection hidden="1"/>
    </xf>
    <xf numFmtId="0" fontId="47" fillId="42" borderId="156" xfId="0" applyFont="1" applyFill="1" applyBorder="1" applyAlignment="1" applyProtection="1">
      <alignment horizontal="left" vertical="top" wrapText="1"/>
      <protection hidden="1"/>
    </xf>
    <xf numFmtId="0" fontId="47" fillId="42" borderId="112" xfId="0" applyFont="1" applyFill="1" applyBorder="1" applyAlignment="1" applyProtection="1">
      <alignment horizontal="left" vertical="top" wrapText="1"/>
      <protection hidden="1"/>
    </xf>
    <xf numFmtId="55" fontId="27" fillId="0" borderId="182" xfId="0" applyNumberFormat="1" applyFont="1" applyFill="1" applyBorder="1" applyAlignment="1" applyProtection="1">
      <alignment horizontal="left" vertical="center"/>
      <protection hidden="1"/>
    </xf>
    <xf numFmtId="0" fontId="0" fillId="0" borderId="59" xfId="0" applyBorder="1">
      <alignment vertical="center"/>
    </xf>
    <xf numFmtId="0" fontId="47" fillId="0" borderId="83" xfId="0" applyFont="1" applyFill="1" applyBorder="1" applyAlignment="1">
      <alignment horizontal="left" vertical="top" wrapText="1"/>
    </xf>
    <xf numFmtId="0" fontId="47" fillId="0" borderId="59" xfId="0" applyFont="1" applyFill="1" applyBorder="1" applyAlignment="1">
      <alignment horizontal="left" vertical="top" wrapText="1"/>
    </xf>
    <xf numFmtId="0" fontId="47" fillId="0" borderId="60" xfId="0" applyFont="1" applyFill="1" applyBorder="1" applyAlignment="1">
      <alignment horizontal="left" vertical="top" wrapText="1"/>
    </xf>
    <xf numFmtId="0" fontId="47" fillId="0" borderId="59" xfId="0" applyFont="1" applyFill="1" applyBorder="1" applyAlignment="1" applyProtection="1">
      <alignment horizontal="left" vertical="top" wrapText="1"/>
      <protection hidden="1"/>
    </xf>
    <xf numFmtId="0" fontId="47" fillId="42" borderId="59" xfId="0" applyFont="1" applyFill="1" applyBorder="1" applyAlignment="1" applyProtection="1">
      <alignment horizontal="left" vertical="top" wrapText="1"/>
      <protection hidden="1"/>
    </xf>
    <xf numFmtId="0" fontId="47" fillId="42" borderId="119" xfId="0" applyFont="1" applyFill="1" applyBorder="1" applyAlignment="1" applyProtection="1">
      <alignment horizontal="left" vertical="top" wrapText="1"/>
      <protection hidden="1"/>
    </xf>
    <xf numFmtId="0" fontId="47" fillId="0" borderId="83" xfId="0" applyFont="1" applyFill="1" applyBorder="1" applyAlignment="1" applyProtection="1">
      <alignment horizontal="left" vertical="top" wrapText="1"/>
      <protection hidden="1"/>
    </xf>
    <xf numFmtId="0" fontId="7" fillId="24" borderId="45" xfId="29" applyFill="1" applyBorder="1" applyProtection="1">
      <alignment horizontal="left" vertical="center" indent="1"/>
      <protection hidden="1"/>
    </xf>
    <xf numFmtId="0" fontId="47" fillId="0" borderId="24" xfId="0" applyFont="1" applyFill="1" applyBorder="1" applyAlignment="1" applyProtection="1">
      <alignment horizontal="left" vertical="top" wrapText="1"/>
      <protection hidden="1"/>
    </xf>
    <xf numFmtId="0" fontId="47" fillId="0" borderId="90" xfId="0" applyFont="1" applyFill="1" applyBorder="1" applyAlignment="1" applyProtection="1">
      <alignment horizontal="left" vertical="center" wrapText="1"/>
      <protection hidden="1"/>
    </xf>
    <xf numFmtId="0" fontId="47" fillId="0" borderId="0" xfId="0" applyFont="1" applyFill="1" applyBorder="1" applyAlignment="1" applyProtection="1">
      <alignment horizontal="left" vertical="center" wrapText="1"/>
      <protection hidden="1"/>
    </xf>
    <xf numFmtId="0" fontId="47" fillId="0" borderId="88" xfId="0" applyFont="1" applyFill="1" applyBorder="1" applyAlignment="1" applyProtection="1">
      <alignment horizontal="left" vertical="center" wrapText="1"/>
      <protection hidden="1"/>
    </xf>
    <xf numFmtId="0" fontId="47" fillId="0" borderId="105" xfId="0" applyFont="1" applyFill="1" applyBorder="1" applyAlignment="1" applyProtection="1">
      <alignment horizontal="left" vertical="center" wrapText="1"/>
      <protection hidden="1"/>
    </xf>
    <xf numFmtId="0" fontId="47" fillId="0" borderId="156" xfId="0" applyFont="1" applyFill="1" applyBorder="1" applyAlignment="1" applyProtection="1">
      <alignment horizontal="left" vertical="center" wrapText="1"/>
      <protection hidden="1"/>
    </xf>
    <xf numFmtId="0" fontId="47" fillId="0" borderId="112" xfId="0" applyFont="1" applyFill="1" applyBorder="1" applyAlignment="1" applyProtection="1">
      <alignment horizontal="left" vertical="center" wrapText="1"/>
      <protection hidden="1"/>
    </xf>
    <xf numFmtId="0" fontId="47" fillId="0" borderId="105" xfId="0" applyFont="1" applyFill="1" applyBorder="1" applyAlignment="1" applyProtection="1">
      <alignment horizontal="left" vertical="top" wrapText="1"/>
      <protection hidden="1"/>
    </xf>
    <xf numFmtId="0" fontId="47" fillId="42" borderId="177" xfId="0" applyFont="1" applyFill="1" applyBorder="1" applyAlignment="1" applyProtection="1">
      <alignment horizontal="left" vertical="top" wrapText="1"/>
      <protection hidden="1"/>
    </xf>
    <xf numFmtId="0" fontId="7" fillId="24" borderId="54" xfId="46" applyFill="1" applyBorder="1" applyProtection="1">
      <alignment horizontal="left" vertical="center" indent="1"/>
      <protection hidden="1"/>
    </xf>
    <xf numFmtId="176" fontId="158" fillId="0" borderId="0" xfId="35" applyNumberFormat="1" applyFont="1" applyFill="1" applyBorder="1" applyAlignment="1" applyProtection="1">
      <alignment horizontal="center" vertical="center"/>
      <protection hidden="1"/>
    </xf>
    <xf numFmtId="176" fontId="158" fillId="42" borderId="0" xfId="35" applyNumberFormat="1" applyFont="1" applyFill="1" applyBorder="1" applyAlignment="1" applyProtection="1">
      <alignment horizontal="center" vertical="center"/>
      <protection hidden="1"/>
    </xf>
    <xf numFmtId="176" fontId="160" fillId="0" borderId="0" xfId="35" applyNumberFormat="1" applyFont="1" applyFill="1" applyBorder="1" applyAlignment="1" applyProtection="1">
      <alignment horizontal="center" vertical="center"/>
      <protection hidden="1"/>
    </xf>
    <xf numFmtId="176" fontId="160" fillId="42" borderId="156" xfId="35" applyNumberFormat="1" applyFont="1" applyFill="1" applyBorder="1" applyAlignment="1" applyProtection="1">
      <alignment horizontal="center" vertical="center"/>
      <protection hidden="1"/>
    </xf>
    <xf numFmtId="0" fontId="151" fillId="0" borderId="0" xfId="0" applyFont="1" applyFill="1" applyBorder="1" applyAlignment="1" applyProtection="1">
      <alignment horizontal="right" vertical="center"/>
      <protection hidden="1"/>
    </xf>
    <xf numFmtId="0" fontId="152" fillId="42" borderId="0" xfId="0" applyFont="1" applyFill="1" applyBorder="1" applyAlignment="1">
      <alignment horizontal="right" vertical="center"/>
    </xf>
    <xf numFmtId="0" fontId="41" fillId="0" borderId="0" xfId="0" applyFont="1" applyFill="1" applyBorder="1" applyAlignment="1" applyProtection="1">
      <alignment horizontal="center" vertical="center"/>
      <protection hidden="1"/>
    </xf>
    <xf numFmtId="0" fontId="41" fillId="42" borderId="0" xfId="0" applyFont="1" applyFill="1" applyBorder="1" applyAlignment="1" applyProtection="1">
      <alignment horizontal="center" vertical="center"/>
      <protection hidden="1"/>
    </xf>
    <xf numFmtId="0" fontId="79" fillId="0" borderId="0" xfId="0" applyFont="1" applyFill="1" applyBorder="1" applyAlignment="1" applyProtection="1">
      <alignment horizontal="right" vertical="center" shrinkToFit="1"/>
      <protection hidden="1"/>
    </xf>
    <xf numFmtId="0" fontId="79" fillId="42" borderId="0" xfId="0" applyFont="1" applyFill="1" applyBorder="1" applyAlignment="1" applyProtection="1">
      <alignment horizontal="right" vertical="center" shrinkToFit="1"/>
      <protection hidden="1"/>
    </xf>
    <xf numFmtId="0" fontId="41" fillId="42" borderId="156" xfId="0" applyFont="1" applyFill="1" applyBorder="1" applyAlignment="1" applyProtection="1">
      <alignment horizontal="center" vertical="center"/>
      <protection hidden="1"/>
    </xf>
    <xf numFmtId="0" fontId="79" fillId="42" borderId="156" xfId="0" applyFont="1" applyFill="1" applyBorder="1" applyAlignment="1" applyProtection="1">
      <alignment horizontal="right" vertical="center" shrinkToFit="1"/>
      <protection hidden="1"/>
    </xf>
    <xf numFmtId="0" fontId="151" fillId="0" borderId="0" xfId="0" applyFont="1" applyFill="1" applyBorder="1" applyAlignment="1">
      <alignment horizontal="right" vertical="center"/>
    </xf>
    <xf numFmtId="55" fontId="30" fillId="0" borderId="0" xfId="0" applyNumberFormat="1" applyFont="1" applyFill="1" applyBorder="1" applyAlignment="1" applyProtection="1">
      <alignment horizontal="left" vertical="center"/>
      <protection locked="0"/>
    </xf>
    <xf numFmtId="55" fontId="30" fillId="42" borderId="0" xfId="0" applyNumberFormat="1" applyFont="1" applyFill="1" applyBorder="1" applyAlignment="1" applyProtection="1">
      <alignment horizontal="left" vertical="center"/>
      <protection locked="0"/>
    </xf>
    <xf numFmtId="0" fontId="27" fillId="0" borderId="54" xfId="0" applyNumberFormat="1" applyFont="1" applyFill="1" applyBorder="1" applyAlignment="1" applyProtection="1">
      <alignment vertical="top" wrapText="1"/>
      <protection hidden="1"/>
    </xf>
    <xf numFmtId="0" fontId="27" fillId="0" borderId="114" xfId="0" applyNumberFormat="1" applyFont="1" applyFill="1" applyBorder="1" applyAlignment="1" applyProtection="1">
      <alignment vertical="top" wrapText="1"/>
      <protection hidden="1"/>
    </xf>
    <xf numFmtId="0" fontId="27" fillId="0" borderId="0" xfId="0" applyNumberFormat="1" applyFont="1" applyFill="1" applyBorder="1" applyAlignment="1" applyProtection="1">
      <alignment vertical="top" wrapText="1"/>
      <protection hidden="1"/>
    </xf>
    <xf numFmtId="0" fontId="27" fillId="0" borderId="88" xfId="0" applyNumberFormat="1" applyFont="1" applyFill="1" applyBorder="1" applyAlignment="1" applyProtection="1">
      <alignment vertical="top" wrapText="1"/>
      <protection hidden="1"/>
    </xf>
    <xf numFmtId="0" fontId="27" fillId="0" borderId="0" xfId="0" applyNumberFormat="1" applyFont="1" applyFill="1" applyBorder="1" applyAlignment="1" applyProtection="1">
      <alignment vertical="top" wrapText="1"/>
      <protection locked="0"/>
    </xf>
    <xf numFmtId="0" fontId="27" fillId="0" borderId="88" xfId="0" applyNumberFormat="1" applyFont="1" applyFill="1" applyBorder="1" applyAlignment="1" applyProtection="1">
      <alignment vertical="top" wrapText="1"/>
      <protection locked="0"/>
    </xf>
    <xf numFmtId="0" fontId="30" fillId="0" borderId="0" xfId="0" applyNumberFormat="1" applyFont="1" applyFill="1" applyBorder="1" applyAlignment="1" applyProtection="1">
      <alignment vertical="center" shrinkToFit="1"/>
      <protection hidden="1"/>
    </xf>
    <xf numFmtId="0" fontId="30" fillId="0" borderId="88" xfId="0" applyNumberFormat="1" applyFont="1" applyFill="1" applyBorder="1" applyAlignment="1" applyProtection="1">
      <alignment vertical="center" shrinkToFit="1"/>
      <protection hidden="1"/>
    </xf>
    <xf numFmtId="182" fontId="25" fillId="24" borderId="79" xfId="0" applyNumberFormat="1" applyFont="1" applyFill="1" applyBorder="1" applyAlignment="1" applyProtection="1">
      <alignment horizontal="center" vertical="center" wrapText="1"/>
      <protection hidden="1"/>
    </xf>
    <xf numFmtId="182" fontId="25" fillId="24" borderId="80" xfId="0" applyNumberFormat="1" applyFont="1" applyFill="1" applyBorder="1" applyAlignment="1" applyProtection="1">
      <alignment horizontal="center" vertical="center" wrapText="1"/>
      <protection hidden="1"/>
    </xf>
    <xf numFmtId="182" fontId="28" fillId="24" borderId="82" xfId="0" applyNumberFormat="1" applyFont="1" applyFill="1" applyBorder="1" applyAlignment="1" applyProtection="1">
      <alignment horizontal="center" vertical="center" wrapText="1"/>
      <protection hidden="1"/>
    </xf>
    <xf numFmtId="182" fontId="28" fillId="24" borderId="80" xfId="0" applyNumberFormat="1" applyFont="1" applyFill="1" applyBorder="1" applyAlignment="1" applyProtection="1">
      <alignment horizontal="center" vertical="center" wrapText="1"/>
      <protection hidden="1"/>
    </xf>
    <xf numFmtId="0" fontId="27" fillId="24" borderId="51" xfId="0" applyFont="1" applyFill="1" applyBorder="1" applyAlignment="1" applyProtection="1">
      <alignment vertical="center" shrinkToFit="1"/>
      <protection hidden="1"/>
    </xf>
    <xf numFmtId="0" fontId="0" fillId="0" borderId="51" xfId="0" applyBorder="1" applyAlignment="1">
      <alignment vertical="center" shrinkToFit="1"/>
    </xf>
    <xf numFmtId="0" fontId="86" fillId="0" borderId="105" xfId="0" applyNumberFormat="1" applyFont="1" applyFill="1" applyBorder="1" applyAlignment="1" applyProtection="1">
      <alignment horizontal="left" vertical="center" shrinkToFit="1"/>
      <protection hidden="1"/>
    </xf>
    <xf numFmtId="0" fontId="86" fillId="0" borderId="156" xfId="0" applyNumberFormat="1" applyFont="1" applyFill="1" applyBorder="1" applyAlignment="1" applyProtection="1">
      <alignment horizontal="left" vertical="center" shrinkToFit="1"/>
      <protection hidden="1"/>
    </xf>
    <xf numFmtId="0" fontId="86" fillId="0" borderId="112" xfId="0" applyNumberFormat="1" applyFont="1" applyFill="1" applyBorder="1" applyAlignment="1" applyProtection="1">
      <alignment horizontal="left" vertical="center" shrinkToFit="1"/>
      <protection hidden="1"/>
    </xf>
    <xf numFmtId="179" fontId="28" fillId="0" borderId="104" xfId="0" applyNumberFormat="1" applyFont="1" applyFill="1" applyBorder="1" applyAlignment="1" applyProtection="1">
      <alignment horizontal="left" vertical="top" wrapText="1"/>
      <protection locked="0"/>
    </xf>
    <xf numFmtId="179" fontId="28" fillId="0" borderId="54" xfId="0" applyNumberFormat="1" applyFont="1" applyFill="1" applyBorder="1" applyAlignment="1" applyProtection="1">
      <alignment horizontal="left" vertical="top" wrapText="1"/>
      <protection locked="0"/>
    </xf>
    <xf numFmtId="179" fontId="28" fillId="0" borderId="114" xfId="0" applyNumberFormat="1" applyFont="1" applyFill="1" applyBorder="1" applyAlignment="1" applyProtection="1">
      <alignment horizontal="left" vertical="top" wrapText="1"/>
      <protection locked="0"/>
    </xf>
    <xf numFmtId="0" fontId="27" fillId="24" borderId="213" xfId="0" applyFont="1" applyFill="1" applyBorder="1" applyAlignment="1" applyProtection="1">
      <alignment vertical="center" shrinkToFit="1"/>
      <protection hidden="1"/>
    </xf>
    <xf numFmtId="0" fontId="0" fillId="0" borderId="122" xfId="0" applyBorder="1" applyAlignment="1">
      <alignment vertical="center" shrinkToFit="1"/>
    </xf>
    <xf numFmtId="0" fontId="27" fillId="24" borderId="50" xfId="0" applyFont="1" applyFill="1" applyBorder="1" applyAlignment="1" applyProtection="1">
      <alignment vertical="center" shrinkToFit="1"/>
      <protection hidden="1"/>
    </xf>
    <xf numFmtId="0" fontId="0" fillId="0" borderId="51" xfId="0" applyBorder="1" applyAlignment="1">
      <alignment vertical="center"/>
    </xf>
    <xf numFmtId="0" fontId="27" fillId="24" borderId="50" xfId="0" applyFont="1" applyFill="1" applyBorder="1" applyAlignment="1" applyProtection="1">
      <alignment vertical="center"/>
      <protection hidden="1"/>
    </xf>
    <xf numFmtId="0" fontId="27" fillId="24" borderId="50" xfId="0" applyFont="1" applyFill="1" applyBorder="1" applyAlignment="1" applyProtection="1">
      <alignment horizontal="left" vertical="center" shrinkToFit="1"/>
      <protection hidden="1"/>
    </xf>
    <xf numFmtId="0" fontId="27" fillId="24" borderId="51" xfId="0" applyFont="1" applyFill="1" applyBorder="1" applyAlignment="1" applyProtection="1">
      <alignment horizontal="left" vertical="center" shrinkToFit="1"/>
      <protection hidden="1"/>
    </xf>
    <xf numFmtId="179" fontId="28" fillId="0" borderId="105" xfId="0" applyNumberFormat="1" applyFont="1" applyFill="1" applyBorder="1" applyAlignment="1" applyProtection="1">
      <alignment horizontal="left" vertical="top" wrapText="1"/>
      <protection locked="0"/>
    </xf>
    <xf numFmtId="179" fontId="28" fillId="0" borderId="156" xfId="0" applyNumberFormat="1" applyFont="1" applyFill="1" applyBorder="1" applyAlignment="1" applyProtection="1">
      <alignment horizontal="left" vertical="top" wrapText="1"/>
      <protection locked="0"/>
    </xf>
    <xf numFmtId="179" fontId="28" fillId="0" borderId="90" xfId="0" applyNumberFormat="1" applyFont="1" applyFill="1" applyBorder="1" applyAlignment="1" applyProtection="1">
      <alignment horizontal="left" vertical="top" wrapText="1"/>
      <protection locked="0"/>
    </xf>
    <xf numFmtId="179" fontId="28" fillId="0" borderId="0" xfId="0" applyNumberFormat="1" applyFont="1" applyFill="1" applyBorder="1" applyAlignment="1" applyProtection="1">
      <alignment horizontal="left" vertical="top" wrapText="1"/>
      <protection locked="0"/>
    </xf>
    <xf numFmtId="179" fontId="28" fillId="0" borderId="88" xfId="0" applyNumberFormat="1" applyFont="1" applyFill="1" applyBorder="1" applyAlignment="1" applyProtection="1">
      <alignment horizontal="left" vertical="top" wrapText="1"/>
      <protection locked="0"/>
    </xf>
    <xf numFmtId="179" fontId="28" fillId="0" borderId="86" xfId="0" applyNumberFormat="1" applyFont="1" applyFill="1" applyBorder="1" applyAlignment="1" applyProtection="1">
      <alignment horizontal="left" vertical="top" wrapText="1"/>
      <protection locked="0"/>
    </xf>
    <xf numFmtId="179" fontId="28" fillId="0" borderId="51" xfId="0" applyNumberFormat="1" applyFont="1" applyFill="1" applyBorder="1" applyAlignment="1" applyProtection="1">
      <alignment horizontal="left" vertical="top" wrapText="1"/>
      <protection locked="0"/>
    </xf>
    <xf numFmtId="179" fontId="28" fillId="34" borderId="83" xfId="0" applyNumberFormat="1" applyFont="1" applyFill="1" applyBorder="1" applyAlignment="1" applyProtection="1">
      <alignment horizontal="left" vertical="center" wrapText="1"/>
      <protection locked="0"/>
    </xf>
    <xf numFmtId="179" fontId="28" fillId="34" borderId="59" xfId="0" applyNumberFormat="1" applyFont="1" applyFill="1" applyBorder="1" applyAlignment="1" applyProtection="1">
      <alignment horizontal="left" vertical="center" wrapText="1"/>
      <protection locked="0"/>
    </xf>
    <xf numFmtId="179" fontId="28" fillId="34" borderId="60" xfId="0" applyNumberFormat="1" applyFont="1" applyFill="1" applyBorder="1" applyAlignment="1" applyProtection="1">
      <alignment horizontal="left" vertical="center" wrapText="1"/>
      <protection locked="0"/>
    </xf>
    <xf numFmtId="179" fontId="28" fillId="0" borderId="52" xfId="0" applyNumberFormat="1" applyFont="1" applyFill="1" applyBorder="1" applyAlignment="1" applyProtection="1">
      <alignment horizontal="left" vertical="top" wrapText="1"/>
      <protection locked="0"/>
    </xf>
    <xf numFmtId="179" fontId="37" fillId="26" borderId="123" xfId="0" applyNumberFormat="1" applyFont="1" applyFill="1" applyBorder="1" applyAlignment="1" applyProtection="1">
      <alignment horizontal="left" vertical="center"/>
      <protection hidden="1"/>
    </xf>
    <xf numFmtId="179" fontId="37" fillId="26" borderId="124" xfId="0" applyNumberFormat="1" applyFont="1" applyFill="1" applyBorder="1" applyAlignment="1" applyProtection="1">
      <alignment horizontal="left" vertical="center"/>
      <protection hidden="1"/>
    </xf>
    <xf numFmtId="179" fontId="37" fillId="26" borderId="174" xfId="0" applyNumberFormat="1" applyFont="1" applyFill="1" applyBorder="1" applyAlignment="1" applyProtection="1">
      <alignment horizontal="left" vertical="center"/>
      <protection hidden="1"/>
    </xf>
    <xf numFmtId="0" fontId="0" fillId="0" borderId="0" xfId="0" applyAlignment="1" applyProtection="1">
      <alignment horizontal="left" vertical="top" wrapText="1"/>
      <protection locked="0"/>
    </xf>
    <xf numFmtId="0" fontId="0" fillId="0" borderId="88" xfId="0" applyBorder="1" applyAlignment="1" applyProtection="1">
      <alignment horizontal="left" vertical="top" wrapText="1"/>
      <protection locked="0"/>
    </xf>
    <xf numFmtId="179" fontId="37" fillId="28" borderId="73" xfId="0" applyNumberFormat="1" applyFont="1" applyFill="1" applyBorder="1" applyAlignment="1" applyProtection="1">
      <alignment horizontal="center" vertical="center"/>
      <protection hidden="1"/>
    </xf>
    <xf numFmtId="179" fontId="37" fillId="28" borderId="135" xfId="0" applyNumberFormat="1" applyFont="1" applyFill="1" applyBorder="1" applyAlignment="1" applyProtection="1">
      <alignment horizontal="center" vertical="center"/>
      <protection hidden="1"/>
    </xf>
    <xf numFmtId="179" fontId="28" fillId="0" borderId="131" xfId="0" applyNumberFormat="1" applyFont="1" applyFill="1" applyBorder="1" applyAlignment="1" applyProtection="1">
      <alignment horizontal="left" vertical="top" wrapText="1"/>
      <protection locked="0"/>
    </xf>
    <xf numFmtId="179" fontId="28" fillId="0" borderId="99" xfId="0" applyNumberFormat="1" applyFont="1" applyFill="1" applyBorder="1" applyAlignment="1" applyProtection="1">
      <alignment horizontal="left" vertical="top" wrapText="1"/>
      <protection locked="0"/>
    </xf>
    <xf numFmtId="182" fontId="15" fillId="24" borderId="75" xfId="0" applyNumberFormat="1" applyFont="1" applyFill="1" applyBorder="1" applyAlignment="1" applyProtection="1">
      <alignment horizontal="center" vertical="top"/>
      <protection hidden="1"/>
    </xf>
    <xf numFmtId="182" fontId="15" fillId="24" borderId="110" xfId="0" applyNumberFormat="1" applyFont="1" applyFill="1" applyBorder="1" applyAlignment="1" applyProtection="1">
      <alignment horizontal="center" vertical="top"/>
      <protection hidden="1"/>
    </xf>
    <xf numFmtId="179" fontId="28" fillId="0" borderId="104" xfId="0" applyNumberFormat="1" applyFont="1" applyFill="1" applyBorder="1" applyAlignment="1" applyProtection="1">
      <alignment horizontal="left" vertical="center" wrapText="1"/>
      <protection locked="0"/>
    </xf>
    <xf numFmtId="179" fontId="28" fillId="0" borderId="54" xfId="0" applyNumberFormat="1" applyFont="1" applyFill="1" applyBorder="1" applyAlignment="1" applyProtection="1">
      <alignment horizontal="left" vertical="center" wrapText="1"/>
      <protection locked="0"/>
    </xf>
    <xf numFmtId="179" fontId="28" fillId="0" borderId="55" xfId="0" applyNumberFormat="1" applyFont="1" applyFill="1" applyBorder="1" applyAlignment="1" applyProtection="1">
      <alignment horizontal="left" vertical="center" wrapText="1"/>
      <protection locked="0"/>
    </xf>
    <xf numFmtId="179" fontId="28" fillId="0" borderId="85" xfId="0" applyNumberFormat="1" applyFont="1" applyFill="1" applyBorder="1" applyAlignment="1" applyProtection="1">
      <alignment horizontal="left" vertical="top" wrapText="1"/>
      <protection locked="0"/>
    </xf>
    <xf numFmtId="179" fontId="37" fillId="26" borderId="92" xfId="0" applyNumberFormat="1" applyFont="1" applyFill="1" applyBorder="1" applyAlignment="1" applyProtection="1">
      <alignment horizontal="left" vertical="center"/>
      <protection hidden="1"/>
    </xf>
    <xf numFmtId="179" fontId="37" fillId="26" borderId="127" xfId="0" applyNumberFormat="1" applyFont="1" applyFill="1" applyBorder="1" applyAlignment="1" applyProtection="1">
      <alignment horizontal="left" vertical="center"/>
      <protection hidden="1"/>
    </xf>
    <xf numFmtId="179" fontId="37" fillId="26" borderId="224" xfId="0" applyNumberFormat="1" applyFont="1" applyFill="1" applyBorder="1" applyAlignment="1" applyProtection="1">
      <alignment horizontal="left" vertical="center"/>
      <protection hidden="1"/>
    </xf>
    <xf numFmtId="179" fontId="28" fillId="0" borderId="83" xfId="0" applyNumberFormat="1" applyFont="1" applyFill="1" applyBorder="1" applyAlignment="1" applyProtection="1">
      <alignment horizontal="left" vertical="top" wrapText="1"/>
      <protection locked="0"/>
    </xf>
    <xf numFmtId="179" fontId="28" fillId="0" borderId="59" xfId="0" applyNumberFormat="1" applyFont="1" applyFill="1" applyBorder="1" applyAlignment="1" applyProtection="1">
      <alignment horizontal="left" vertical="top" wrapText="1"/>
      <protection locked="0"/>
    </xf>
    <xf numFmtId="179" fontId="28" fillId="0" borderId="119" xfId="0" applyNumberFormat="1" applyFont="1" applyFill="1" applyBorder="1" applyAlignment="1" applyProtection="1">
      <alignment horizontal="left" vertical="top" wrapText="1"/>
      <protection locked="0"/>
    </xf>
    <xf numFmtId="179" fontId="28" fillId="0" borderId="131" xfId="0" applyNumberFormat="1" applyFont="1" applyFill="1" applyBorder="1" applyAlignment="1" applyProtection="1">
      <alignment horizontal="left" vertical="center" wrapText="1"/>
      <protection locked="0"/>
    </xf>
    <xf numFmtId="179" fontId="28" fillId="0" borderId="99" xfId="0" applyNumberFormat="1" applyFont="1" applyFill="1" applyBorder="1" applyAlignment="1" applyProtection="1">
      <alignment horizontal="left" vertical="center" wrapText="1"/>
      <protection locked="0"/>
    </xf>
    <xf numFmtId="179" fontId="28" fillId="0" borderId="223" xfId="0" applyNumberFormat="1" applyFont="1" applyFill="1" applyBorder="1" applyAlignment="1" applyProtection="1">
      <alignment horizontal="left" vertical="center" wrapText="1"/>
      <protection locked="0"/>
    </xf>
    <xf numFmtId="179" fontId="37" fillId="0" borderId="105" xfId="0" applyNumberFormat="1" applyFont="1" applyFill="1" applyBorder="1" applyAlignment="1" applyProtection="1">
      <alignment horizontal="left" vertical="center"/>
      <protection locked="0"/>
    </xf>
    <xf numFmtId="179" fontId="37" fillId="46" borderId="156" xfId="0" applyNumberFormat="1" applyFont="1" applyFill="1" applyBorder="1" applyAlignment="1" applyProtection="1">
      <alignment horizontal="left" vertical="center"/>
      <protection locked="0"/>
    </xf>
    <xf numFmtId="179" fontId="37" fillId="46" borderId="177" xfId="0" applyNumberFormat="1" applyFont="1" applyFill="1" applyBorder="1" applyAlignment="1" applyProtection="1">
      <alignment horizontal="left" vertical="center"/>
      <protection locked="0"/>
    </xf>
    <xf numFmtId="179" fontId="37" fillId="30" borderId="75" xfId="0" applyNumberFormat="1" applyFont="1" applyFill="1" applyBorder="1" applyAlignment="1" applyProtection="1">
      <alignment horizontal="left" vertical="center"/>
      <protection hidden="1"/>
    </xf>
    <xf numFmtId="179" fontId="37" fillId="30" borderId="81" xfId="0" applyNumberFormat="1" applyFont="1" applyFill="1" applyBorder="1" applyAlignment="1" applyProtection="1">
      <alignment horizontal="left" vertical="center"/>
      <protection hidden="1"/>
    </xf>
    <xf numFmtId="179" fontId="37" fillId="30" borderId="140" xfId="0" applyNumberFormat="1" applyFont="1" applyFill="1" applyBorder="1" applyAlignment="1" applyProtection="1">
      <alignment horizontal="left" vertical="center"/>
      <protection hidden="1"/>
    </xf>
    <xf numFmtId="179" fontId="28" fillId="0" borderId="86" xfId="0" applyNumberFormat="1" applyFont="1" applyFill="1" applyBorder="1" applyAlignment="1" applyProtection="1">
      <alignment horizontal="left" vertical="center" wrapText="1"/>
      <protection locked="0"/>
    </xf>
    <xf numFmtId="0" fontId="7" fillId="24" borderId="41" xfId="29" applyFill="1" applyBorder="1" applyAlignment="1" applyProtection="1">
      <alignment horizontal="left" vertical="center" wrapText="1" indent="1"/>
      <protection hidden="1"/>
    </xf>
    <xf numFmtId="179" fontId="28" fillId="0" borderId="52" xfId="0" applyNumberFormat="1" applyFont="1" applyFill="1" applyBorder="1" applyAlignment="1" applyProtection="1">
      <alignment horizontal="left" vertical="center" wrapText="1"/>
      <protection locked="0"/>
    </xf>
    <xf numFmtId="179" fontId="28" fillId="0" borderId="223" xfId="0" applyNumberFormat="1" applyFont="1" applyFill="1" applyBorder="1" applyAlignment="1" applyProtection="1">
      <alignment horizontal="left" vertical="top" wrapText="1"/>
      <protection locked="0"/>
    </xf>
    <xf numFmtId="179" fontId="28" fillId="0" borderId="112" xfId="0" applyNumberFormat="1" applyFont="1" applyFill="1" applyBorder="1" applyAlignment="1" applyProtection="1">
      <alignment horizontal="left" vertical="top" wrapText="1"/>
      <protection locked="0"/>
    </xf>
    <xf numFmtId="179" fontId="28" fillId="0" borderId="153" xfId="0" applyNumberFormat="1" applyFont="1" applyFill="1" applyBorder="1" applyAlignment="1" applyProtection="1">
      <alignment horizontal="left" vertical="top" wrapText="1"/>
      <protection locked="0"/>
    </xf>
    <xf numFmtId="179" fontId="28" fillId="0" borderId="55" xfId="0" applyNumberFormat="1" applyFont="1" applyFill="1" applyBorder="1" applyAlignment="1" applyProtection="1">
      <alignment horizontal="left" vertical="top" wrapText="1"/>
      <protection locked="0"/>
    </xf>
    <xf numFmtId="0" fontId="0" fillId="27" borderId="50" xfId="0" applyFill="1" applyBorder="1" applyAlignment="1" applyProtection="1">
      <alignment horizontal="left" vertical="top" wrapText="1"/>
      <protection locked="0"/>
    </xf>
    <xf numFmtId="0" fontId="0" fillId="27" borderId="52" xfId="0" applyFill="1" applyBorder="1" applyAlignment="1" applyProtection="1">
      <alignment horizontal="left" vertical="top" wrapText="1"/>
      <protection locked="0"/>
    </xf>
    <xf numFmtId="0" fontId="0" fillId="27" borderId="148" xfId="0" applyFill="1" applyBorder="1" applyAlignment="1" applyProtection="1">
      <alignment horizontal="left" vertical="top" wrapText="1"/>
      <protection locked="0"/>
    </xf>
    <xf numFmtId="0" fontId="0" fillId="27" borderId="149" xfId="0" applyFill="1" applyBorder="1" applyAlignment="1" applyProtection="1">
      <alignment horizontal="left" vertical="top" wrapText="1"/>
      <protection locked="0"/>
    </xf>
    <xf numFmtId="0" fontId="0" fillId="27" borderId="219" xfId="0" applyFill="1" applyBorder="1" applyAlignment="1" applyProtection="1">
      <alignment horizontal="left" vertical="top" wrapText="1"/>
      <protection locked="0"/>
    </xf>
    <xf numFmtId="0" fontId="0" fillId="27" borderId="220" xfId="0" applyFill="1" applyBorder="1" applyAlignment="1" applyProtection="1">
      <alignment horizontal="left" vertical="top" wrapText="1"/>
      <protection locked="0"/>
    </xf>
    <xf numFmtId="0" fontId="27" fillId="24" borderId="50" xfId="0" applyFont="1" applyFill="1" applyBorder="1" applyAlignment="1" applyProtection="1">
      <alignment horizontal="left" vertical="top" wrapText="1"/>
    </xf>
    <xf numFmtId="0" fontId="27" fillId="24" borderId="51" xfId="0" applyFont="1" applyFill="1" applyBorder="1" applyAlignment="1" applyProtection="1">
      <alignment horizontal="left" vertical="top" wrapText="1"/>
    </xf>
    <xf numFmtId="0" fontId="27" fillId="24" borderId="52" xfId="0" applyFont="1" applyFill="1" applyBorder="1" applyAlignment="1" applyProtection="1">
      <alignment horizontal="left" vertical="top" wrapText="1"/>
    </xf>
    <xf numFmtId="0" fontId="0" fillId="27" borderId="221" xfId="0" applyFill="1" applyBorder="1" applyAlignment="1" applyProtection="1">
      <alignment horizontal="left" vertical="top" wrapText="1"/>
      <protection locked="0"/>
    </xf>
    <xf numFmtId="0" fontId="0" fillId="27" borderId="222" xfId="0" applyFill="1" applyBorder="1" applyAlignment="1" applyProtection="1">
      <alignment horizontal="left" vertical="top" wrapText="1"/>
      <protection locked="0"/>
    </xf>
    <xf numFmtId="0" fontId="6" fillId="24" borderId="0" xfId="0" applyFont="1" applyFill="1" applyBorder="1" applyAlignment="1">
      <alignment horizontal="left" vertical="top" wrapText="1"/>
    </xf>
    <xf numFmtId="0" fontId="27" fillId="43" borderId="73" xfId="0" applyFont="1" applyFill="1" applyBorder="1" applyAlignment="1" applyProtection="1">
      <alignment horizontal="left" vertical="center"/>
      <protection locked="0"/>
    </xf>
    <xf numFmtId="0" fontId="27" fillId="43" borderId="74" xfId="0" applyFont="1" applyFill="1" applyBorder="1" applyAlignment="1" applyProtection="1">
      <alignment horizontal="left" vertical="center"/>
      <protection locked="0"/>
    </xf>
    <xf numFmtId="0" fontId="27" fillId="43" borderId="135" xfId="0" applyFont="1" applyFill="1" applyBorder="1" applyAlignment="1" applyProtection="1">
      <alignment horizontal="left" vertical="center"/>
      <protection locked="0"/>
    </xf>
    <xf numFmtId="0" fontId="28" fillId="24" borderId="0" xfId="0" applyFont="1" applyFill="1" applyBorder="1" applyAlignment="1" applyProtection="1">
      <alignment horizontal="left" vertical="top" wrapText="1"/>
    </xf>
    <xf numFmtId="211" fontId="41" fillId="43" borderId="73" xfId="0" applyNumberFormat="1" applyFont="1" applyFill="1" applyBorder="1" applyAlignment="1" applyProtection="1">
      <alignment horizontal="center" vertical="center"/>
      <protection locked="0" hidden="1"/>
    </xf>
    <xf numFmtId="211" fontId="41" fillId="43" borderId="74" xfId="0" applyNumberFormat="1" applyFont="1" applyFill="1" applyBorder="1" applyAlignment="1" applyProtection="1">
      <alignment horizontal="center" vertical="center"/>
      <protection locked="0" hidden="1"/>
    </xf>
    <xf numFmtId="211" fontId="41" fillId="43" borderId="135" xfId="0" applyNumberFormat="1" applyFont="1" applyFill="1" applyBorder="1" applyAlignment="1" applyProtection="1">
      <alignment horizontal="center" vertical="center"/>
      <protection locked="0" hidden="1"/>
    </xf>
    <xf numFmtId="0" fontId="6" fillId="24" borderId="79" xfId="0" applyFont="1" applyFill="1" applyBorder="1" applyAlignment="1" applyProtection="1">
      <alignment shrinkToFit="1"/>
    </xf>
    <xf numFmtId="0" fontId="27" fillId="0" borderId="59" xfId="0" applyFont="1" applyBorder="1" applyAlignment="1" applyProtection="1">
      <alignment horizontal="right" vertical="center" shrinkToFit="1"/>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8" fillId="42" borderId="0" xfId="0" applyFont="1" applyFill="1" applyBorder="1" applyAlignment="1" applyProtection="1">
      <alignment horizontal="left" vertical="center"/>
    </xf>
    <xf numFmtId="0" fontId="86" fillId="0" borderId="105" xfId="0" applyNumberFormat="1" applyFont="1" applyFill="1" applyBorder="1" applyAlignment="1" applyProtection="1">
      <alignment horizontal="left" vertical="center" shrinkToFit="1"/>
    </xf>
    <xf numFmtId="0" fontId="86" fillId="0" borderId="156" xfId="0" applyNumberFormat="1" applyFont="1" applyFill="1" applyBorder="1" applyAlignment="1" applyProtection="1">
      <alignment horizontal="left" vertical="center" shrinkToFit="1"/>
    </xf>
    <xf numFmtId="0" fontId="86" fillId="0" borderId="112" xfId="0" applyNumberFormat="1" applyFont="1" applyFill="1" applyBorder="1" applyAlignment="1" applyProtection="1">
      <alignment horizontal="left" vertical="center" shrinkToFit="1"/>
    </xf>
    <xf numFmtId="0" fontId="44" fillId="52" borderId="54" xfId="48" applyFont="1" applyFill="1" applyBorder="1" applyAlignment="1" applyProtection="1">
      <alignment horizontal="left" vertical="center" wrapText="1"/>
      <protection hidden="1"/>
    </xf>
    <xf numFmtId="176" fontId="77" fillId="52" borderId="54" xfId="48" applyNumberFormat="1" applyFont="1" applyFill="1" applyBorder="1" applyAlignment="1" applyProtection="1">
      <alignment horizontal="center" vertical="center"/>
      <protection hidden="1"/>
    </xf>
    <xf numFmtId="0" fontId="25" fillId="42" borderId="156" xfId="0" applyFont="1" applyFill="1" applyBorder="1" applyAlignment="1" applyProtection="1">
      <alignment horizontal="left" vertical="center" shrinkToFit="1"/>
      <protection hidden="1"/>
    </xf>
    <xf numFmtId="0" fontId="25" fillId="42" borderId="156" xfId="0" applyFont="1" applyFill="1" applyBorder="1" applyAlignment="1" applyProtection="1">
      <alignment horizontal="left" vertical="top" shrinkToFit="1"/>
      <protection hidden="1"/>
    </xf>
    <xf numFmtId="0" fontId="32" fillId="0" borderId="0" xfId="48" applyFont="1" applyFill="1" applyBorder="1" applyAlignment="1" applyProtection="1">
      <alignment horizontal="left" vertical="center" shrinkToFit="1"/>
    </xf>
    <xf numFmtId="0" fontId="27" fillId="0" borderId="81" xfId="48" applyFont="1" applyBorder="1" applyAlignment="1" applyProtection="1">
      <alignment horizontal="right" vertical="center"/>
      <protection hidden="1"/>
    </xf>
    <xf numFmtId="0" fontId="27" fillId="0" borderId="0" xfId="48" applyFont="1" applyBorder="1" applyAlignment="1" applyProtection="1">
      <alignment horizontal="right" vertical="center"/>
      <protection hidden="1"/>
    </xf>
    <xf numFmtId="0" fontId="188" fillId="0" borderId="235" xfId="48" applyFont="1" applyFill="1" applyBorder="1" applyAlignment="1" applyProtection="1">
      <alignment horizontal="center" vertical="center"/>
    </xf>
    <xf numFmtId="0" fontId="188" fillId="0" borderId="236" xfId="48" applyFont="1" applyFill="1" applyBorder="1" applyAlignment="1" applyProtection="1">
      <alignment horizontal="center" vertical="center"/>
    </xf>
    <xf numFmtId="0" fontId="186" fillId="0" borderId="0" xfId="48" applyFont="1" applyBorder="1" applyAlignment="1" applyProtection="1">
      <alignment horizontal="center" vertical="center"/>
      <protection hidden="1"/>
    </xf>
    <xf numFmtId="0" fontId="186" fillId="0" borderId="88" xfId="48" applyFont="1" applyBorder="1" applyAlignment="1" applyProtection="1">
      <alignment horizontal="center" vertical="center"/>
      <protection hidden="1"/>
    </xf>
    <xf numFmtId="0" fontId="32" fillId="0" borderId="0" xfId="48" applyFont="1" applyFill="1" applyBorder="1" applyAlignment="1" applyProtection="1">
      <alignment horizontal="left" vertical="top" shrinkToFit="1"/>
    </xf>
    <xf numFmtId="0" fontId="0" fillId="0" borderId="0" xfId="0" applyBorder="1" applyProtection="1">
      <alignment vertical="center"/>
      <protection hidden="1"/>
    </xf>
    <xf numFmtId="0" fontId="0" fillId="0" borderId="0" xfId="0" applyFont="1" applyBorder="1" applyProtection="1">
      <alignment vertical="center"/>
      <protection hidden="1"/>
    </xf>
    <xf numFmtId="0" fontId="0" fillId="0" borderId="88" xfId="0" applyFont="1" applyBorder="1" applyProtection="1">
      <alignment vertical="center"/>
      <protection hidden="1"/>
    </xf>
    <xf numFmtId="0" fontId="32" fillId="0" borderId="156" xfId="48" applyFont="1" applyFill="1" applyBorder="1" applyAlignment="1" applyProtection="1">
      <alignment horizontal="left" vertical="top" shrinkToFit="1"/>
    </xf>
    <xf numFmtId="0" fontId="0" fillId="0" borderId="156" xfId="0" applyBorder="1" applyProtection="1">
      <alignment vertical="center"/>
      <protection hidden="1"/>
    </xf>
    <xf numFmtId="0" fontId="0" fillId="0" borderId="156" xfId="0" applyFont="1" applyBorder="1" applyProtection="1">
      <alignment vertical="center"/>
      <protection hidden="1"/>
    </xf>
    <xf numFmtId="0" fontId="0" fillId="0" borderId="112" xfId="0" applyFont="1" applyBorder="1" applyProtection="1">
      <alignment vertical="center"/>
      <protection hidden="1"/>
    </xf>
    <xf numFmtId="0" fontId="31" fillId="38" borderId="59" xfId="0" applyFont="1" applyFill="1" applyBorder="1" applyAlignment="1" applyProtection="1">
      <alignment horizontal="center" vertical="center"/>
      <protection hidden="1"/>
    </xf>
    <xf numFmtId="0" fontId="31" fillId="38" borderId="60" xfId="0" applyFont="1" applyFill="1" applyBorder="1" applyAlignment="1" applyProtection="1">
      <alignment horizontal="center" vertical="center"/>
      <protection hidden="1"/>
    </xf>
    <xf numFmtId="0" fontId="188" fillId="52" borderId="0" xfId="48" applyFont="1" applyFill="1" applyBorder="1" applyAlignment="1" applyProtection="1">
      <alignment horizontal="left" vertical="center" wrapText="1"/>
      <protection hidden="1"/>
    </xf>
    <xf numFmtId="176" fontId="0" fillId="52" borderId="0" xfId="48" applyNumberFormat="1" applyFont="1" applyFill="1" applyBorder="1" applyAlignment="1" applyProtection="1">
      <alignment horizontal="center" vertical="center"/>
      <protection hidden="1"/>
    </xf>
    <xf numFmtId="0" fontId="32" fillId="52" borderId="59" xfId="48" applyFont="1" applyFill="1" applyBorder="1" applyAlignment="1" applyProtection="1">
      <alignment horizontal="left" vertical="center" wrapText="1"/>
      <protection hidden="1"/>
    </xf>
    <xf numFmtId="176" fontId="0" fillId="52" borderId="59" xfId="48" applyNumberFormat="1" applyFont="1" applyFill="1" applyBorder="1" applyAlignment="1" applyProtection="1">
      <alignment horizontal="center" vertical="center"/>
      <protection hidden="1"/>
    </xf>
    <xf numFmtId="0" fontId="44" fillId="36" borderId="54" xfId="48" applyFont="1" applyFill="1" applyBorder="1" applyAlignment="1" applyProtection="1">
      <alignment horizontal="left" vertical="center" wrapText="1"/>
      <protection hidden="1"/>
    </xf>
    <xf numFmtId="176" fontId="77" fillId="36" borderId="54" xfId="48" applyNumberFormat="1" applyFont="1" applyFill="1" applyBorder="1" applyAlignment="1" applyProtection="1">
      <alignment horizontal="center" vertical="center"/>
      <protection hidden="1"/>
    </xf>
    <xf numFmtId="0" fontId="188" fillId="36" borderId="0" xfId="48" applyFont="1" applyFill="1" applyBorder="1" applyAlignment="1" applyProtection="1">
      <alignment horizontal="left" vertical="center" wrapText="1"/>
      <protection hidden="1"/>
    </xf>
    <xf numFmtId="176" fontId="0" fillId="36" borderId="0" xfId="48" applyNumberFormat="1" applyFont="1" applyFill="1" applyBorder="1" applyAlignment="1" applyProtection="1">
      <alignment horizontal="center" vertical="center"/>
      <protection hidden="1"/>
    </xf>
    <xf numFmtId="0" fontId="32" fillId="36" borderId="59" xfId="48" applyFont="1" applyFill="1" applyBorder="1" applyAlignment="1" applyProtection="1">
      <alignment horizontal="left" vertical="center" wrapText="1"/>
      <protection hidden="1"/>
    </xf>
    <xf numFmtId="176" fontId="0" fillId="36" borderId="59" xfId="48" applyNumberFormat="1" applyFont="1" applyFill="1" applyBorder="1" applyAlignment="1" applyProtection="1">
      <alignment horizontal="center" vertical="center"/>
      <protection hidden="1"/>
    </xf>
    <xf numFmtId="0" fontId="44" fillId="53" borderId="0" xfId="48" applyFont="1" applyFill="1" applyBorder="1" applyAlignment="1" applyProtection="1">
      <alignment horizontal="left" vertical="center" wrapText="1"/>
      <protection hidden="1"/>
    </xf>
    <xf numFmtId="176" fontId="77" fillId="53" borderId="0" xfId="48" applyNumberFormat="1" applyFont="1" applyFill="1" applyBorder="1" applyAlignment="1" applyProtection="1">
      <alignment horizontal="center" vertical="center"/>
      <protection hidden="1"/>
    </xf>
    <xf numFmtId="0" fontId="188" fillId="53" borderId="0" xfId="48" applyFont="1" applyFill="1" applyBorder="1" applyAlignment="1" applyProtection="1">
      <alignment horizontal="left" vertical="center" wrapText="1"/>
      <protection hidden="1"/>
    </xf>
    <xf numFmtId="0" fontId="32" fillId="53" borderId="156" xfId="48" applyFont="1" applyFill="1" applyBorder="1" applyAlignment="1" applyProtection="1">
      <alignment horizontal="left" vertical="center" wrapText="1"/>
      <protection hidden="1"/>
    </xf>
    <xf numFmtId="176" fontId="0" fillId="53" borderId="156" xfId="48" applyNumberFormat="1" applyFont="1" applyFill="1" applyBorder="1" applyAlignment="1" applyProtection="1">
      <alignment horizontal="center" vertical="center"/>
      <protection hidden="1"/>
    </xf>
    <xf numFmtId="0" fontId="28" fillId="27" borderId="75" xfId="0" applyFont="1" applyFill="1" applyBorder="1" applyAlignment="1" applyProtection="1">
      <alignment horizontal="left" vertical="top" wrapText="1"/>
      <protection locked="0"/>
    </xf>
    <xf numFmtId="0" fontId="28" fillId="27" borderId="81" xfId="0" applyFont="1" applyFill="1" applyBorder="1" applyAlignment="1" applyProtection="1">
      <alignment horizontal="left" vertical="top" wrapText="1"/>
      <protection locked="0"/>
    </xf>
    <xf numFmtId="0" fontId="28" fillId="27" borderId="110" xfId="0" applyFont="1" applyFill="1" applyBorder="1" applyAlignment="1" applyProtection="1">
      <alignment horizontal="left" vertical="top" wrapText="1"/>
      <protection locked="0"/>
    </xf>
    <xf numFmtId="0" fontId="28" fillId="27" borderId="105" xfId="0" applyFont="1" applyFill="1" applyBorder="1" applyAlignment="1" applyProtection="1">
      <alignment horizontal="left" vertical="top" wrapText="1"/>
      <protection locked="0"/>
    </xf>
    <xf numFmtId="0" fontId="28" fillId="27" borderId="156" xfId="0" applyFont="1" applyFill="1" applyBorder="1" applyAlignment="1" applyProtection="1">
      <alignment horizontal="left" vertical="top" wrapText="1"/>
      <protection locked="0"/>
    </xf>
    <xf numFmtId="0" fontId="28" fillId="27" borderId="112" xfId="0" applyFont="1" applyFill="1" applyBorder="1" applyAlignment="1" applyProtection="1">
      <alignment horizontal="left" vertical="top" wrapText="1"/>
      <protection locked="0"/>
    </xf>
    <xf numFmtId="0" fontId="28" fillId="27" borderId="109" xfId="0" applyFont="1" applyFill="1" applyBorder="1" applyAlignment="1" applyProtection="1">
      <alignment horizontal="left" vertical="top" wrapText="1"/>
      <protection locked="0"/>
    </xf>
    <xf numFmtId="0" fontId="28" fillId="27" borderId="111" xfId="0" applyFont="1" applyFill="1" applyBorder="1" applyAlignment="1" applyProtection="1">
      <alignment horizontal="left" vertical="top" wrapText="1"/>
      <protection locked="0"/>
    </xf>
    <xf numFmtId="0" fontId="28" fillId="0" borderId="53" xfId="0" applyFont="1" applyFill="1" applyBorder="1" applyAlignment="1" applyProtection="1">
      <alignment horizontal="left" vertical="top" shrinkToFit="1"/>
      <protection hidden="1"/>
    </xf>
    <xf numFmtId="0" fontId="28" fillId="0" borderId="54" xfId="0" applyFont="1" applyFill="1" applyBorder="1" applyAlignment="1" applyProtection="1">
      <alignment horizontal="left" vertical="top" shrinkToFit="1"/>
      <protection hidden="1"/>
    </xf>
    <xf numFmtId="0" fontId="28" fillId="0" borderId="54" xfId="0" applyFont="1" applyBorder="1" applyAlignment="1" applyProtection="1">
      <alignment vertical="center" wrapText="1"/>
      <protection hidden="1"/>
    </xf>
    <xf numFmtId="0" fontId="28" fillId="0" borderId="239" xfId="0" applyFont="1" applyBorder="1" applyAlignment="1" applyProtection="1">
      <alignment vertical="center" wrapText="1"/>
      <protection hidden="1"/>
    </xf>
    <xf numFmtId="0" fontId="28" fillId="0" borderId="0" xfId="0" applyFont="1" applyProtection="1">
      <alignment vertical="center"/>
      <protection hidden="1"/>
    </xf>
    <xf numFmtId="0" fontId="28" fillId="0" borderId="54" xfId="0" applyFont="1" applyFill="1" applyBorder="1" applyAlignment="1" applyProtection="1">
      <alignment vertical="top" shrinkToFit="1"/>
      <protection hidden="1"/>
    </xf>
    <xf numFmtId="0" fontId="0" fillId="0" borderId="54" xfId="0" applyFont="1" applyBorder="1" applyAlignment="1" applyProtection="1">
      <alignment vertical="center" shrinkToFit="1"/>
      <protection hidden="1"/>
    </xf>
    <xf numFmtId="0" fontId="0" fillId="0" borderId="239" xfId="0" applyFont="1" applyBorder="1" applyAlignment="1" applyProtection="1">
      <alignment vertical="center" shrinkToFit="1"/>
      <protection hidden="1"/>
    </xf>
    <xf numFmtId="0" fontId="28" fillId="0" borderId="0" xfId="0" applyFont="1" applyFill="1" applyBorder="1" applyAlignment="1" applyProtection="1">
      <alignment horizontal="left" vertical="top" wrapText="1"/>
      <protection hidden="1"/>
    </xf>
    <xf numFmtId="0" fontId="0" fillId="0" borderId="0" xfId="0" applyFont="1" applyProtection="1">
      <alignment vertical="center"/>
      <protection hidden="1"/>
    </xf>
    <xf numFmtId="0" fontId="28" fillId="0" borderId="20" xfId="0" applyFont="1" applyFill="1" applyBorder="1" applyAlignment="1" applyProtection="1">
      <alignment horizontal="left" vertical="top" shrinkToFit="1"/>
      <protection hidden="1"/>
    </xf>
    <xf numFmtId="0" fontId="28" fillId="0" borderId="0" xfId="0" applyFont="1" applyFill="1" applyBorder="1" applyAlignment="1" applyProtection="1">
      <alignment horizontal="left" vertical="top"/>
      <protection hidden="1"/>
    </xf>
    <xf numFmtId="0" fontId="28" fillId="0" borderId="59" xfId="0" applyFont="1" applyFill="1" applyBorder="1" applyAlignment="1" applyProtection="1">
      <alignment horizontal="left" vertical="top" shrinkToFit="1"/>
      <protection hidden="1"/>
    </xf>
    <xf numFmtId="0" fontId="28" fillId="0" borderId="59" xfId="0" applyFont="1" applyBorder="1" applyAlignment="1" applyProtection="1">
      <alignment vertical="center" wrapText="1"/>
      <protection hidden="1"/>
    </xf>
    <xf numFmtId="0" fontId="28" fillId="0" borderId="53" xfId="0" applyFont="1" applyBorder="1" applyAlignment="1" applyProtection="1">
      <alignment vertical="center"/>
      <protection hidden="1"/>
    </xf>
    <xf numFmtId="0" fontId="28" fillId="0" borderId="54" xfId="0" applyFont="1" applyBorder="1" applyAlignment="1" applyProtection="1">
      <alignment vertical="center"/>
      <protection hidden="1"/>
    </xf>
    <xf numFmtId="0" fontId="0" fillId="0" borderId="54" xfId="0" applyFont="1" applyBorder="1" applyAlignment="1" applyProtection="1">
      <alignment vertical="center"/>
      <protection hidden="1"/>
    </xf>
    <xf numFmtId="0" fontId="0" fillId="0" borderId="239" xfId="0" applyFont="1" applyBorder="1" applyAlignment="1" applyProtection="1">
      <alignment vertical="center"/>
      <protection hidden="1"/>
    </xf>
    <xf numFmtId="214" fontId="77" fillId="33" borderId="76" xfId="35" applyNumberFormat="1" applyFont="1" applyFill="1" applyBorder="1" applyAlignment="1" applyProtection="1">
      <alignment horizontal="center" vertical="center" wrapText="1"/>
      <protection hidden="1"/>
    </xf>
    <xf numFmtId="214" fontId="77" fillId="33" borderId="110" xfId="35" applyNumberFormat="1" applyFont="1" applyFill="1" applyBorder="1" applyAlignment="1" applyProtection="1">
      <alignment horizontal="center" vertical="center" wrapText="1"/>
      <protection hidden="1"/>
    </xf>
    <xf numFmtId="214" fontId="77" fillId="33" borderId="20" xfId="35" applyNumberFormat="1" applyFont="1" applyFill="1" applyBorder="1" applyAlignment="1" applyProtection="1">
      <alignment horizontal="center" vertical="center" wrapText="1"/>
      <protection hidden="1"/>
    </xf>
    <xf numFmtId="214" fontId="77" fillId="33" borderId="88" xfId="35" applyNumberFormat="1" applyFont="1" applyFill="1" applyBorder="1" applyAlignment="1" applyProtection="1">
      <alignment horizontal="center" vertical="center" wrapText="1"/>
      <protection hidden="1"/>
    </xf>
    <xf numFmtId="214" fontId="77" fillId="33" borderId="120" xfId="35" applyNumberFormat="1" applyFont="1" applyFill="1" applyBorder="1" applyAlignment="1" applyProtection="1">
      <alignment horizontal="center" vertical="center" wrapText="1"/>
      <protection hidden="1"/>
    </xf>
    <xf numFmtId="214" fontId="77" fillId="33" borderId="112" xfId="35" applyNumberFormat="1" applyFont="1" applyFill="1" applyBorder="1" applyAlignment="1" applyProtection="1">
      <alignment horizontal="center" vertical="center" wrapText="1"/>
      <protection hidden="1"/>
    </xf>
    <xf numFmtId="0" fontId="32" fillId="33" borderId="61" xfId="0" applyFont="1" applyFill="1" applyBorder="1" applyAlignment="1" applyProtection="1">
      <alignment horizontal="center" vertical="center" wrapText="1"/>
      <protection hidden="1"/>
    </xf>
    <xf numFmtId="0" fontId="32" fillId="33" borderId="171" xfId="0" applyFont="1" applyFill="1" applyBorder="1" applyAlignment="1" applyProtection="1">
      <alignment horizontal="center" vertical="center" wrapText="1"/>
      <protection hidden="1"/>
    </xf>
    <xf numFmtId="176" fontId="77" fillId="32" borderId="76" xfId="0" applyNumberFormat="1" applyFont="1" applyFill="1" applyBorder="1" applyAlignment="1" applyProtection="1">
      <alignment horizontal="center" vertical="center" wrapText="1"/>
      <protection hidden="1"/>
    </xf>
    <xf numFmtId="176" fontId="77" fillId="32" borderId="110" xfId="0" applyNumberFormat="1" applyFont="1" applyFill="1" applyBorder="1" applyAlignment="1" applyProtection="1">
      <alignment horizontal="center" vertical="center" wrapText="1"/>
      <protection hidden="1"/>
    </xf>
    <xf numFmtId="176" fontId="77" fillId="32" borderId="120" xfId="0" applyNumberFormat="1" applyFont="1" applyFill="1" applyBorder="1" applyAlignment="1" applyProtection="1">
      <alignment horizontal="center" vertical="center" wrapText="1"/>
      <protection hidden="1"/>
    </xf>
    <xf numFmtId="176" fontId="77" fillId="32" borderId="112" xfId="0" applyNumberFormat="1" applyFont="1" applyFill="1" applyBorder="1" applyAlignment="1" applyProtection="1">
      <alignment horizontal="center" vertical="center" wrapText="1"/>
      <protection hidden="1"/>
    </xf>
    <xf numFmtId="0" fontId="28" fillId="0" borderId="0" xfId="0" applyFont="1" applyAlignment="1" applyProtection="1">
      <alignment vertical="center"/>
      <protection hidden="1"/>
    </xf>
    <xf numFmtId="0" fontId="0" fillId="0" borderId="0" xfId="0" applyFont="1" applyAlignment="1" applyProtection="1">
      <alignment vertical="center"/>
      <protection hidden="1"/>
    </xf>
    <xf numFmtId="0" fontId="0" fillId="0" borderId="241" xfId="0" applyFont="1" applyBorder="1" applyAlignment="1" applyProtection="1">
      <alignment vertical="center"/>
      <protection hidden="1"/>
    </xf>
    <xf numFmtId="0" fontId="28" fillId="0" borderId="0" xfId="0" applyFont="1" applyBorder="1" applyProtection="1">
      <alignment vertical="center"/>
      <protection hidden="1"/>
    </xf>
    <xf numFmtId="0" fontId="28" fillId="0" borderId="0" xfId="0" applyFont="1" applyBorder="1" applyAlignment="1" applyProtection="1">
      <alignment vertical="center"/>
      <protection hidden="1"/>
    </xf>
    <xf numFmtId="0" fontId="0" fillId="0" borderId="0" xfId="0" applyFont="1" applyBorder="1" applyAlignment="1" applyProtection="1">
      <alignment vertical="center"/>
      <protection hidden="1"/>
    </xf>
    <xf numFmtId="0" fontId="27" fillId="0" borderId="0" xfId="0" applyFont="1" applyFill="1" applyBorder="1" applyAlignment="1" applyProtection="1">
      <alignment horizontal="left" vertical="top" wrapText="1"/>
      <protection hidden="1"/>
    </xf>
    <xf numFmtId="0" fontId="0" fillId="0" borderId="0" xfId="0" applyFont="1" applyAlignment="1" applyProtection="1">
      <alignment vertical="center" wrapText="1"/>
      <protection hidden="1"/>
    </xf>
    <xf numFmtId="0" fontId="0" fillId="0" borderId="153" xfId="0" applyFont="1" applyBorder="1" applyAlignment="1" applyProtection="1">
      <alignment vertical="center" wrapText="1"/>
      <protection hidden="1"/>
    </xf>
    <xf numFmtId="0" fontId="0" fillId="0" borderId="156" xfId="0" applyFont="1" applyBorder="1" applyAlignment="1" applyProtection="1">
      <alignment vertical="center" wrapText="1"/>
      <protection hidden="1"/>
    </xf>
    <xf numFmtId="0" fontId="0" fillId="0" borderId="177" xfId="0" applyFont="1" applyBorder="1" applyAlignment="1" applyProtection="1">
      <alignment vertical="center" wrapText="1"/>
      <protection hidden="1"/>
    </xf>
    <xf numFmtId="213" fontId="77" fillId="33" borderId="76" xfId="35" applyNumberFormat="1" applyFont="1" applyFill="1" applyBorder="1" applyAlignment="1" applyProtection="1">
      <alignment horizontal="center" vertical="center" wrapText="1"/>
      <protection hidden="1"/>
    </xf>
    <xf numFmtId="0" fontId="0" fillId="0" borderId="110"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0" fontId="0" fillId="0" borderId="88" xfId="0" applyBorder="1" applyAlignment="1" applyProtection="1">
      <alignment horizontal="center" vertical="center" wrapText="1"/>
      <protection hidden="1"/>
    </xf>
    <xf numFmtId="0" fontId="28" fillId="0" borderId="20" xfId="0" applyFont="1" applyFill="1" applyBorder="1" applyAlignment="1" applyProtection="1">
      <alignment vertical="center" shrinkToFit="1"/>
      <protection hidden="1"/>
    </xf>
    <xf numFmtId="0" fontId="28" fillId="0" borderId="0" xfId="0" applyFont="1" applyFill="1" applyBorder="1" applyAlignment="1" applyProtection="1">
      <alignment vertical="center" shrinkToFit="1"/>
      <protection hidden="1"/>
    </xf>
    <xf numFmtId="0" fontId="28" fillId="0" borderId="120" xfId="0" applyFont="1" applyFill="1" applyBorder="1" applyAlignment="1" applyProtection="1">
      <alignment vertical="center" shrinkToFit="1"/>
      <protection hidden="1"/>
    </xf>
    <xf numFmtId="0" fontId="28" fillId="0" borderId="156" xfId="0" applyFont="1" applyFill="1" applyBorder="1" applyAlignment="1" applyProtection="1">
      <alignment vertical="center" shrinkToFit="1"/>
      <protection hidden="1"/>
    </xf>
    <xf numFmtId="0" fontId="0" fillId="0" borderId="250" xfId="0" applyFont="1" applyBorder="1" applyAlignment="1" applyProtection="1">
      <alignment vertical="center"/>
      <protection hidden="1"/>
    </xf>
    <xf numFmtId="0" fontId="28" fillId="0" borderId="156" xfId="0" applyFont="1" applyBorder="1" applyAlignment="1" applyProtection="1">
      <alignment vertical="center"/>
      <protection hidden="1"/>
    </xf>
    <xf numFmtId="0" fontId="0" fillId="0" borderId="156" xfId="0" applyFont="1" applyBorder="1" applyAlignment="1" applyProtection="1">
      <alignment vertical="center"/>
      <protection hidden="1"/>
    </xf>
    <xf numFmtId="0" fontId="0" fillId="0" borderId="251" xfId="0" applyFont="1" applyBorder="1" applyAlignment="1" applyProtection="1">
      <alignment vertical="center"/>
      <protection hidden="1"/>
    </xf>
    <xf numFmtId="0" fontId="194" fillId="0" borderId="253" xfId="48" applyFont="1" applyBorder="1" applyAlignment="1" applyProtection="1">
      <alignment horizontal="center" vertical="center"/>
      <protection hidden="1"/>
    </xf>
    <xf numFmtId="0" fontId="194" fillId="0" borderId="0" xfId="0" applyFont="1" applyAlignment="1" applyProtection="1">
      <alignment horizontal="center" vertical="center"/>
      <protection hidden="1"/>
    </xf>
    <xf numFmtId="0" fontId="194" fillId="0" borderId="88" xfId="0" applyFont="1" applyBorder="1" applyAlignment="1" applyProtection="1">
      <alignment horizontal="center" vertical="center"/>
      <protection hidden="1"/>
    </xf>
    <xf numFmtId="0" fontId="28" fillId="27" borderId="0" xfId="0" applyFont="1" applyFill="1" applyBorder="1" applyAlignment="1" applyProtection="1">
      <alignment horizontal="left" vertical="top" wrapText="1"/>
      <protection locked="0"/>
    </xf>
    <xf numFmtId="0" fontId="28" fillId="27" borderId="88" xfId="0" applyFont="1" applyFill="1" applyBorder="1" applyAlignment="1" applyProtection="1">
      <alignment horizontal="left" vertical="top" wrapText="1"/>
      <protection locked="0"/>
    </xf>
    <xf numFmtId="0" fontId="28" fillId="27" borderId="115" xfId="0" applyFont="1" applyFill="1" applyBorder="1" applyAlignment="1" applyProtection="1">
      <alignment horizontal="left" vertical="top" wrapText="1"/>
      <protection locked="0"/>
    </xf>
    <xf numFmtId="0" fontId="28" fillId="0" borderId="0" xfId="0" applyFont="1" applyFill="1" applyBorder="1" applyAlignment="1" applyProtection="1">
      <alignment vertical="top" shrinkToFit="1"/>
      <protection hidden="1"/>
    </xf>
    <xf numFmtId="0" fontId="28" fillId="0" borderId="241" xfId="0" applyFont="1" applyFill="1" applyBorder="1" applyAlignment="1" applyProtection="1">
      <alignment vertical="top" shrinkToFit="1"/>
      <protection hidden="1"/>
    </xf>
    <xf numFmtId="0" fontId="28" fillId="0" borderId="20" xfId="0" applyFont="1" applyBorder="1" applyProtection="1">
      <alignment vertical="center"/>
      <protection hidden="1"/>
    </xf>
    <xf numFmtId="0" fontId="32" fillId="54" borderId="50" xfId="0" applyFont="1" applyFill="1" applyBorder="1" applyAlignment="1" applyProtection="1">
      <alignment vertical="center" shrinkToFit="1"/>
      <protection hidden="1"/>
    </xf>
    <xf numFmtId="0" fontId="32" fillId="54" borderId="51" xfId="0" applyFont="1" applyFill="1" applyBorder="1" applyAlignment="1" applyProtection="1">
      <alignment vertical="center" shrinkToFit="1"/>
      <protection hidden="1"/>
    </xf>
    <xf numFmtId="0" fontId="28" fillId="0" borderId="0" xfId="0" applyFont="1" applyFill="1" applyBorder="1" applyAlignment="1" applyProtection="1">
      <alignment horizontal="left" vertical="top" shrinkToFit="1"/>
      <protection hidden="1"/>
    </xf>
    <xf numFmtId="0" fontId="28" fillId="0" borderId="0" xfId="0" applyFont="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0" borderId="59" xfId="0" applyBorder="1" applyAlignment="1" applyProtection="1">
      <alignment vertical="center" wrapText="1"/>
      <protection hidden="1"/>
    </xf>
    <xf numFmtId="0" fontId="28" fillId="0" borderId="20" xfId="0" applyFont="1" applyBorder="1" applyAlignment="1" applyProtection="1">
      <alignment vertical="center"/>
      <protection hidden="1"/>
    </xf>
    <xf numFmtId="0" fontId="37" fillId="33" borderId="139" xfId="0" applyFont="1" applyFill="1" applyBorder="1" applyAlignment="1" applyProtection="1">
      <alignment horizontal="center" vertical="center" wrapText="1"/>
      <protection hidden="1"/>
    </xf>
    <xf numFmtId="0" fontId="0" fillId="0" borderId="61" xfId="0" applyBorder="1" applyAlignment="1" applyProtection="1">
      <alignment horizontal="center" vertical="center" wrapText="1"/>
      <protection hidden="1"/>
    </xf>
    <xf numFmtId="213" fontId="70" fillId="33" borderId="77" xfId="35" applyNumberFormat="1" applyFont="1" applyFill="1" applyBorder="1" applyAlignment="1" applyProtection="1">
      <alignment horizontal="right" vertical="center" wrapText="1"/>
      <protection hidden="1"/>
    </xf>
    <xf numFmtId="0" fontId="79" fillId="0" borderId="80" xfId="0" applyFont="1" applyBorder="1" applyAlignment="1" applyProtection="1">
      <alignment horizontal="right" vertical="center" wrapText="1"/>
      <protection hidden="1"/>
    </xf>
    <xf numFmtId="0" fontId="79" fillId="0" borderId="50" xfId="0" applyFont="1" applyBorder="1" applyAlignment="1" applyProtection="1">
      <alignment horizontal="right" vertical="center" wrapText="1"/>
      <protection hidden="1"/>
    </xf>
    <xf numFmtId="0" fontId="79" fillId="0" borderId="85" xfId="0" applyFont="1" applyBorder="1" applyAlignment="1" applyProtection="1">
      <alignment horizontal="right" vertical="center" wrapText="1"/>
      <protection hidden="1"/>
    </xf>
    <xf numFmtId="213" fontId="70" fillId="33" borderId="50" xfId="35" applyNumberFormat="1" applyFont="1" applyFill="1" applyBorder="1" applyAlignment="1" applyProtection="1">
      <alignment horizontal="right" vertical="center" wrapText="1"/>
      <protection hidden="1"/>
    </xf>
    <xf numFmtId="0" fontId="79" fillId="0" borderId="213" xfId="0" applyFont="1" applyBorder="1" applyAlignment="1" applyProtection="1">
      <alignment horizontal="right" vertical="center" wrapText="1"/>
      <protection hidden="1"/>
    </xf>
    <xf numFmtId="0" fontId="79" fillId="0" borderId="107" xfId="0" applyFont="1" applyBorder="1" applyAlignment="1" applyProtection="1">
      <alignment horizontal="right" vertical="center" wrapText="1"/>
      <protection hidden="1"/>
    </xf>
    <xf numFmtId="214" fontId="77" fillId="33" borderId="77" xfId="35" applyNumberFormat="1" applyFont="1" applyFill="1" applyBorder="1" applyAlignment="1" applyProtection="1">
      <alignment horizontal="right" vertical="center" wrapText="1"/>
      <protection hidden="1"/>
    </xf>
    <xf numFmtId="0" fontId="0" fillId="0" borderId="80" xfId="0" applyBorder="1" applyAlignment="1" applyProtection="1">
      <alignment horizontal="right" vertical="center" wrapText="1"/>
      <protection hidden="1"/>
    </xf>
    <xf numFmtId="0" fontId="0" fillId="0" borderId="50" xfId="0" applyBorder="1" applyAlignment="1" applyProtection="1">
      <alignment horizontal="right" vertical="center" wrapText="1"/>
      <protection hidden="1"/>
    </xf>
    <xf numFmtId="0" fontId="0" fillId="0" borderId="85" xfId="0" applyBorder="1" applyAlignment="1" applyProtection="1">
      <alignment horizontal="right" vertical="center" wrapText="1"/>
      <protection hidden="1"/>
    </xf>
    <xf numFmtId="214" fontId="77" fillId="33" borderId="50" xfId="35" applyNumberFormat="1" applyFont="1" applyFill="1" applyBorder="1" applyAlignment="1" applyProtection="1">
      <alignment horizontal="right" vertical="center" wrapText="1"/>
      <protection hidden="1"/>
    </xf>
    <xf numFmtId="0" fontId="0" fillId="0" borderId="213" xfId="0" applyBorder="1" applyAlignment="1" applyProtection="1">
      <alignment horizontal="right" vertical="center" wrapText="1"/>
      <protection hidden="1"/>
    </xf>
    <xf numFmtId="0" fontId="0" fillId="0" borderId="107" xfId="0" applyBorder="1" applyAlignment="1" applyProtection="1">
      <alignment horizontal="right" vertical="center" wrapText="1"/>
      <protection hidden="1"/>
    </xf>
    <xf numFmtId="0" fontId="37" fillId="32" borderId="139" xfId="0" applyFont="1" applyFill="1" applyBorder="1" applyAlignment="1" applyProtection="1">
      <alignment horizontal="center" vertical="center" wrapText="1"/>
      <protection hidden="1"/>
    </xf>
    <xf numFmtId="176" fontId="70" fillId="32" borderId="76" xfId="0" applyNumberFormat="1" applyFont="1" applyFill="1" applyBorder="1" applyAlignment="1" applyProtection="1">
      <alignment horizontal="right" vertical="center" wrapText="1"/>
      <protection hidden="1"/>
    </xf>
    <xf numFmtId="0" fontId="0" fillId="0" borderId="110" xfId="0" applyBorder="1" applyAlignment="1" applyProtection="1">
      <alignment vertical="center"/>
      <protection hidden="1"/>
    </xf>
    <xf numFmtId="0" fontId="0" fillId="0" borderId="20" xfId="0" applyBorder="1" applyAlignment="1" applyProtection="1">
      <alignment vertical="center"/>
      <protection hidden="1"/>
    </xf>
    <xf numFmtId="0" fontId="0" fillId="0" borderId="88" xfId="0" applyBorder="1" applyAlignment="1" applyProtection="1">
      <alignment vertical="center"/>
      <protection hidden="1"/>
    </xf>
    <xf numFmtId="0" fontId="28" fillId="0" borderId="156" xfId="0" applyFont="1" applyFill="1" applyBorder="1" applyAlignment="1" applyProtection="1">
      <alignment horizontal="left" vertical="top" wrapText="1"/>
      <protection hidden="1"/>
    </xf>
    <xf numFmtId="0" fontId="28" fillId="0" borderId="112" xfId="0" applyFont="1" applyFill="1" applyBorder="1" applyAlignment="1" applyProtection="1">
      <alignment horizontal="left" vertical="top" wrapText="1"/>
      <protection hidden="1"/>
    </xf>
    <xf numFmtId="0" fontId="32" fillId="32" borderId="20" xfId="0" applyFont="1" applyFill="1" applyBorder="1" applyAlignment="1" applyProtection="1">
      <alignment horizontal="center" wrapText="1"/>
      <protection hidden="1"/>
    </xf>
    <xf numFmtId="0" fontId="0" fillId="0" borderId="120" xfId="0" applyBorder="1" applyAlignment="1" applyProtection="1">
      <alignment horizontal="center" vertical="center" wrapText="1"/>
      <protection hidden="1"/>
    </xf>
    <xf numFmtId="176" fontId="70" fillId="32" borderId="53" xfId="0" applyNumberFormat="1" applyFont="1" applyFill="1" applyBorder="1" applyAlignment="1" applyProtection="1">
      <alignment horizontal="right" vertical="center" wrapText="1"/>
      <protection hidden="1"/>
    </xf>
    <xf numFmtId="0" fontId="79" fillId="0" borderId="114" xfId="0" applyFont="1" applyBorder="1" applyAlignment="1" applyProtection="1">
      <alignment horizontal="right" vertical="center" wrapText="1"/>
      <protection hidden="1"/>
    </xf>
    <xf numFmtId="0" fontId="0" fillId="0" borderId="120" xfId="0" applyBorder="1" applyAlignment="1" applyProtection="1">
      <alignment horizontal="right" vertical="center" wrapText="1"/>
      <protection hidden="1"/>
    </xf>
    <xf numFmtId="0" fontId="0" fillId="0" borderId="112" xfId="0" applyBorder="1" applyAlignment="1" applyProtection="1">
      <alignment horizontal="right" vertical="center" wrapText="1"/>
      <protection hidden="1"/>
    </xf>
    <xf numFmtId="0" fontId="32" fillId="54" borderId="79" xfId="0" applyFont="1" applyFill="1" applyBorder="1" applyAlignment="1" applyProtection="1">
      <alignment horizontal="left" vertical="top" wrapText="1"/>
      <protection hidden="1"/>
    </xf>
    <xf numFmtId="0" fontId="32" fillId="54" borderId="80" xfId="0" applyFont="1" applyFill="1" applyBorder="1" applyAlignment="1" applyProtection="1">
      <alignment horizontal="left" vertical="top" wrapText="1"/>
      <protection hidden="1"/>
    </xf>
    <xf numFmtId="0" fontId="28" fillId="0" borderId="88" xfId="0" applyFont="1" applyFill="1" applyBorder="1" applyAlignment="1" applyProtection="1">
      <alignment horizontal="left" vertical="top" wrapText="1"/>
      <protection hidden="1"/>
    </xf>
    <xf numFmtId="0" fontId="6" fillId="38" borderId="53" xfId="0" applyFont="1" applyFill="1" applyBorder="1" applyAlignment="1" applyProtection="1">
      <alignment horizontal="center" vertical="center"/>
      <protection hidden="1"/>
    </xf>
    <xf numFmtId="0" fontId="6" fillId="38" borderId="55" xfId="0" applyFont="1" applyFill="1" applyBorder="1" applyAlignment="1" applyProtection="1">
      <alignment horizontal="center" vertical="center"/>
      <protection hidden="1"/>
    </xf>
    <xf numFmtId="0" fontId="6" fillId="38" borderId="24" xfId="0" applyFont="1" applyFill="1" applyBorder="1" applyAlignment="1" applyProtection="1">
      <alignment horizontal="center" vertical="center"/>
      <protection hidden="1"/>
    </xf>
    <xf numFmtId="0" fontId="6" fillId="38" borderId="60" xfId="0" applyFont="1" applyFill="1" applyBorder="1" applyAlignment="1" applyProtection="1">
      <alignment horizontal="center" vertical="center"/>
      <protection hidden="1"/>
    </xf>
    <xf numFmtId="2" fontId="27" fillId="38" borderId="10" xfId="0" applyNumberFormat="1" applyFont="1" applyFill="1" applyBorder="1" applyAlignment="1" applyProtection="1">
      <alignment horizontal="center"/>
      <protection hidden="1"/>
    </xf>
    <xf numFmtId="2" fontId="27" fillId="38" borderId="23" xfId="0" applyNumberFormat="1" applyFont="1" applyFill="1" applyBorder="1" applyAlignment="1" applyProtection="1">
      <alignment horizontal="center"/>
      <protection hidden="1"/>
    </xf>
    <xf numFmtId="0" fontId="27" fillId="27" borderId="23" xfId="0" applyFont="1" applyFill="1" applyBorder="1" applyAlignment="1" applyProtection="1">
      <alignment horizontal="center" vertical="center"/>
      <protection locked="0"/>
    </xf>
    <xf numFmtId="0" fontId="27" fillId="27" borderId="61" xfId="0" applyFont="1" applyFill="1" applyBorder="1" applyAlignment="1" applyProtection="1">
      <alignment horizontal="center" vertical="center"/>
      <protection locked="0"/>
    </xf>
    <xf numFmtId="0" fontId="27" fillId="27" borderId="22" xfId="0" applyFont="1" applyFill="1" applyBorder="1" applyAlignment="1" applyProtection="1">
      <alignment horizontal="center" vertical="center"/>
      <protection locked="0"/>
    </xf>
    <xf numFmtId="0" fontId="27" fillId="24" borderId="61" xfId="0" applyFont="1" applyFill="1" applyBorder="1" applyAlignment="1">
      <alignment horizontal="center" vertical="center" wrapText="1"/>
    </xf>
    <xf numFmtId="0" fontId="27" fillId="24" borderId="20" xfId="0" applyFont="1" applyFill="1" applyBorder="1" applyAlignment="1">
      <alignment horizontal="center" vertical="center" wrapText="1"/>
    </xf>
    <xf numFmtId="0" fontId="27" fillId="24" borderId="10" xfId="0" applyFont="1" applyFill="1" applyBorder="1" applyAlignment="1">
      <alignment horizontal="center" vertical="center"/>
    </xf>
    <xf numFmtId="0" fontId="27" fillId="24" borderId="50" xfId="0" applyFont="1" applyFill="1" applyBorder="1" applyAlignment="1">
      <alignment horizontal="center" vertical="center"/>
    </xf>
    <xf numFmtId="0" fontId="27" fillId="24" borderId="52" xfId="0" applyFont="1" applyFill="1" applyBorder="1" applyAlignment="1">
      <alignment horizontal="center" vertical="center"/>
    </xf>
    <xf numFmtId="0" fontId="27" fillId="24" borderId="23" xfId="0" applyFont="1" applyFill="1" applyBorder="1" applyAlignment="1">
      <alignment horizontal="center" vertical="center" wrapText="1"/>
    </xf>
    <xf numFmtId="0" fontId="27" fillId="24" borderId="61" xfId="0" applyFont="1" applyFill="1" applyBorder="1" applyAlignment="1">
      <alignment horizontal="center" vertical="center"/>
    </xf>
    <xf numFmtId="0" fontId="27" fillId="24" borderId="22" xfId="0" applyFont="1" applyFill="1" applyBorder="1" applyAlignment="1">
      <alignment horizontal="center" vertical="center"/>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_070627LCCO2計算" xfId="44"/>
    <cellStyle name="標準_070627LCCO2計算_100308事業者別CO2排出係数シート案" xfId="45"/>
    <cellStyle name="標準_Book1" xfId="48"/>
    <cellStyle name="表示済みのハイパーリンク" xfId="46" builtinId="9"/>
    <cellStyle name="良い" xfId="47" builtinId="26" customBuiltin="1"/>
  </cellStyles>
  <dxfs count="93">
    <dxf>
      <fill>
        <patternFill>
          <bgColor indexed="41"/>
        </patternFill>
      </fill>
    </dxf>
    <dxf>
      <fill>
        <patternFill>
          <bgColor indexed="51"/>
        </patternFill>
      </fill>
    </dxf>
    <dxf>
      <fill>
        <patternFill>
          <bgColor indexed="10"/>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3"/>
        </patternFill>
      </fill>
    </dxf>
    <dxf>
      <fill>
        <patternFill>
          <bgColor indexed="42"/>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FFFF00"/>
        </patternFill>
      </fill>
    </dxf>
    <dxf>
      <fill>
        <patternFill>
          <bgColor indexed="10"/>
        </patternFill>
      </fill>
    </dxf>
    <dxf>
      <fill>
        <patternFill>
          <bgColor indexed="10"/>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34998626667073579"/>
        </patternFill>
      </fill>
    </dxf>
    <dxf>
      <fill>
        <patternFill>
          <bgColor indexed="27"/>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34998626667073579"/>
        </patternFill>
      </fill>
    </dxf>
    <dxf>
      <fill>
        <patternFill>
          <bgColor indexed="27"/>
        </patternFill>
      </fill>
    </dxf>
    <dxf>
      <fill>
        <patternFill>
          <bgColor theme="0" tint="-0.34998626667073579"/>
        </patternFill>
      </fill>
    </dxf>
    <dxf>
      <fill>
        <patternFill>
          <bgColor theme="0" tint="-0.34998626667073579"/>
        </patternFill>
      </fill>
    </dxf>
    <dxf>
      <fill>
        <patternFill>
          <bgColor indexed="22"/>
        </patternFill>
      </fill>
    </dxf>
    <dxf>
      <fill>
        <patternFill>
          <bgColor theme="0" tint="-0.34998626667073579"/>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ill>
        <patternFill patternType="lightGray">
          <bgColor indexed="65"/>
        </patternFill>
      </fill>
    </dxf>
    <dxf>
      <font>
        <condense val="0"/>
        <extend val="0"/>
      </font>
      <fill>
        <patternFill>
          <bgColor indexed="47"/>
        </patternFill>
      </fill>
    </dxf>
    <dxf>
      <font>
        <condense val="0"/>
        <extend val="0"/>
      </font>
      <fill>
        <patternFill>
          <bgColor indexed="47"/>
        </patternFill>
      </fill>
    </dxf>
    <dxf>
      <font>
        <condense val="0"/>
        <extend val="0"/>
      </font>
      <fill>
        <patternFill>
          <bgColor indexed="47"/>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27"/>
        </patternFill>
      </fill>
    </dxf>
  </dxfs>
  <tableStyles count="0" defaultTableStyle="TableStyleMedium2" defaultPivotStyle="PivotStyleLight16"/>
  <colors>
    <mruColors>
      <color rgb="FF00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100.xml.rels><?xml version="1.0" encoding="UTF-8" standalone="yes"?>
<Relationships xmlns="http://schemas.openxmlformats.org/package/2006/relationships"><Relationship Id="rId1" Type="http://schemas.openxmlformats.org/officeDocument/2006/relationships/image" Target="../media/image12.jpeg"/></Relationships>
</file>

<file path=xl/charts/_rels/chart101.xml.rels><?xml version="1.0" encoding="UTF-8" standalone="yes"?>
<Relationships xmlns="http://schemas.openxmlformats.org/package/2006/relationships"><Relationship Id="rId1" Type="http://schemas.openxmlformats.org/officeDocument/2006/relationships/image" Target="../media/image12.jpeg"/></Relationships>
</file>

<file path=xl/charts/_rels/chart102.xml.rels><?xml version="1.0" encoding="UTF-8" standalone="yes"?>
<Relationships xmlns="http://schemas.openxmlformats.org/package/2006/relationships"><Relationship Id="rId1" Type="http://schemas.openxmlformats.org/officeDocument/2006/relationships/image" Target="../media/image12.jpeg"/></Relationships>
</file>

<file path=xl/charts/_rels/chart103.xml.rels><?xml version="1.0" encoding="UTF-8" standalone="yes"?>
<Relationships xmlns="http://schemas.openxmlformats.org/package/2006/relationships"><Relationship Id="rId1" Type="http://schemas.openxmlformats.org/officeDocument/2006/relationships/image" Target="../media/image12.jpeg"/></Relationships>
</file>

<file path=xl/charts/_rels/chart104.xml.rels><?xml version="1.0" encoding="UTF-8" standalone="yes"?>
<Relationships xmlns="http://schemas.openxmlformats.org/package/2006/relationships"><Relationship Id="rId1" Type="http://schemas.openxmlformats.org/officeDocument/2006/relationships/image" Target="../media/image12.jpeg"/></Relationships>
</file>

<file path=xl/charts/_rels/chart105.xml.rels><?xml version="1.0" encoding="UTF-8" standalone="yes"?>
<Relationships xmlns="http://schemas.openxmlformats.org/package/2006/relationships"><Relationship Id="rId1" Type="http://schemas.openxmlformats.org/officeDocument/2006/relationships/image" Target="../media/image12.jpeg"/></Relationships>
</file>

<file path=xl/charts/_rels/chart106.xml.rels><?xml version="1.0" encoding="UTF-8" standalone="yes"?>
<Relationships xmlns="http://schemas.openxmlformats.org/package/2006/relationships"><Relationship Id="rId1" Type="http://schemas.openxmlformats.org/officeDocument/2006/relationships/image" Target="../media/image12.jpeg"/></Relationships>
</file>

<file path=xl/charts/_rels/chart107.xml.rels><?xml version="1.0" encoding="UTF-8" standalone="yes"?>
<Relationships xmlns="http://schemas.openxmlformats.org/package/2006/relationships"><Relationship Id="rId1" Type="http://schemas.openxmlformats.org/officeDocument/2006/relationships/image" Target="../media/image12.jpeg"/></Relationships>
</file>

<file path=xl/charts/_rels/chart108.xml.rels><?xml version="1.0" encoding="UTF-8" standalone="yes"?>
<Relationships xmlns="http://schemas.openxmlformats.org/package/2006/relationships"><Relationship Id="rId1" Type="http://schemas.openxmlformats.org/officeDocument/2006/relationships/image" Target="../media/image12.jpeg"/></Relationships>
</file>

<file path=xl/charts/_rels/chart109.xml.rels><?xml version="1.0" encoding="UTF-8" standalone="yes"?>
<Relationships xmlns="http://schemas.openxmlformats.org/package/2006/relationships"><Relationship Id="rId1" Type="http://schemas.openxmlformats.org/officeDocument/2006/relationships/image" Target="../media/image12.jpe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10.xml.rels><?xml version="1.0" encoding="UTF-8" standalone="yes"?>
<Relationships xmlns="http://schemas.openxmlformats.org/package/2006/relationships"><Relationship Id="rId1" Type="http://schemas.openxmlformats.org/officeDocument/2006/relationships/image" Target="../media/image12.jpeg"/></Relationships>
</file>

<file path=xl/charts/_rels/chart111.xml.rels><?xml version="1.0" encoding="UTF-8" standalone="yes"?>
<Relationships xmlns="http://schemas.openxmlformats.org/package/2006/relationships"><Relationship Id="rId1" Type="http://schemas.openxmlformats.org/officeDocument/2006/relationships/image" Target="../media/image12.jpeg"/></Relationships>
</file>

<file path=xl/charts/_rels/chart112.xml.rels><?xml version="1.0" encoding="UTF-8" standalone="yes"?>
<Relationships xmlns="http://schemas.openxmlformats.org/package/2006/relationships"><Relationship Id="rId1" Type="http://schemas.openxmlformats.org/officeDocument/2006/relationships/image" Target="../media/image12.jpeg"/></Relationships>
</file>

<file path=xl/charts/_rels/chart113.xml.rels><?xml version="1.0" encoding="UTF-8" standalone="yes"?>
<Relationships xmlns="http://schemas.openxmlformats.org/package/2006/relationships"><Relationship Id="rId1" Type="http://schemas.openxmlformats.org/officeDocument/2006/relationships/image" Target="../media/image12.jpeg"/></Relationships>
</file>

<file path=xl/charts/_rels/chart114.xml.rels><?xml version="1.0" encoding="UTF-8" standalone="yes"?>
<Relationships xmlns="http://schemas.openxmlformats.org/package/2006/relationships"><Relationship Id="rId1" Type="http://schemas.openxmlformats.org/officeDocument/2006/relationships/image" Target="../media/image12.jpeg"/></Relationships>
</file>

<file path=xl/charts/_rels/chart115.xml.rels><?xml version="1.0" encoding="UTF-8" standalone="yes"?>
<Relationships xmlns="http://schemas.openxmlformats.org/package/2006/relationships"><Relationship Id="rId1" Type="http://schemas.openxmlformats.org/officeDocument/2006/relationships/image" Target="../media/image12.jpeg"/></Relationships>
</file>

<file path=xl/charts/_rels/chart116.xml.rels><?xml version="1.0" encoding="UTF-8" standalone="yes"?>
<Relationships xmlns="http://schemas.openxmlformats.org/package/2006/relationships"><Relationship Id="rId1" Type="http://schemas.openxmlformats.org/officeDocument/2006/relationships/image" Target="../media/image12.jpeg"/></Relationships>
</file>

<file path=xl/charts/_rels/chart117.xml.rels><?xml version="1.0" encoding="UTF-8" standalone="yes"?>
<Relationships xmlns="http://schemas.openxmlformats.org/package/2006/relationships"><Relationship Id="rId1" Type="http://schemas.openxmlformats.org/officeDocument/2006/relationships/image" Target="../media/image12.jpeg"/></Relationships>
</file>

<file path=xl/charts/_rels/chart118.xml.rels><?xml version="1.0" encoding="UTF-8" standalone="yes"?>
<Relationships xmlns="http://schemas.openxmlformats.org/package/2006/relationships"><Relationship Id="rId1" Type="http://schemas.openxmlformats.org/officeDocument/2006/relationships/image" Target="../media/image12.jpeg"/></Relationships>
</file>

<file path=xl/charts/_rels/chart119.xml.rels><?xml version="1.0" encoding="UTF-8" standalone="yes"?>
<Relationships xmlns="http://schemas.openxmlformats.org/package/2006/relationships"><Relationship Id="rId1" Type="http://schemas.openxmlformats.org/officeDocument/2006/relationships/image" Target="../media/image12.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20.xml.rels><?xml version="1.0" encoding="UTF-8" standalone="yes"?>
<Relationships xmlns="http://schemas.openxmlformats.org/package/2006/relationships"><Relationship Id="rId1" Type="http://schemas.openxmlformats.org/officeDocument/2006/relationships/image" Target="../media/image12.jpeg"/></Relationships>
</file>

<file path=xl/charts/_rels/chart121.xml.rels><?xml version="1.0" encoding="UTF-8" standalone="yes"?>
<Relationships xmlns="http://schemas.openxmlformats.org/package/2006/relationships"><Relationship Id="rId1" Type="http://schemas.openxmlformats.org/officeDocument/2006/relationships/image" Target="../media/image12.jpeg"/></Relationships>
</file>

<file path=xl/charts/_rels/chart122.xml.rels><?xml version="1.0" encoding="UTF-8" standalone="yes"?>
<Relationships xmlns="http://schemas.openxmlformats.org/package/2006/relationships"><Relationship Id="rId1" Type="http://schemas.openxmlformats.org/officeDocument/2006/relationships/image" Target="../media/image12.jpeg"/></Relationships>
</file>

<file path=xl/charts/_rels/chart123.xml.rels><?xml version="1.0" encoding="UTF-8" standalone="yes"?>
<Relationships xmlns="http://schemas.openxmlformats.org/package/2006/relationships"><Relationship Id="rId1" Type="http://schemas.openxmlformats.org/officeDocument/2006/relationships/image" Target="../media/image12.jpeg"/></Relationships>
</file>

<file path=xl/charts/_rels/chart124.xml.rels><?xml version="1.0" encoding="UTF-8" standalone="yes"?>
<Relationships xmlns="http://schemas.openxmlformats.org/package/2006/relationships"><Relationship Id="rId1" Type="http://schemas.openxmlformats.org/officeDocument/2006/relationships/image" Target="../media/image12.jpeg"/></Relationships>
</file>

<file path=xl/charts/_rels/chart125.xml.rels><?xml version="1.0" encoding="UTF-8" standalone="yes"?>
<Relationships xmlns="http://schemas.openxmlformats.org/package/2006/relationships"><Relationship Id="rId1" Type="http://schemas.openxmlformats.org/officeDocument/2006/relationships/image" Target="../media/image12.jpeg"/></Relationships>
</file>

<file path=xl/charts/_rels/chart126.xml.rels><?xml version="1.0" encoding="UTF-8" standalone="yes"?>
<Relationships xmlns="http://schemas.openxmlformats.org/package/2006/relationships"><Relationship Id="rId1" Type="http://schemas.openxmlformats.org/officeDocument/2006/relationships/image" Target="../media/image12.jpeg"/></Relationships>
</file>

<file path=xl/charts/_rels/chart127.xml.rels><?xml version="1.0" encoding="UTF-8" standalone="yes"?>
<Relationships xmlns="http://schemas.openxmlformats.org/package/2006/relationships"><Relationship Id="rId1" Type="http://schemas.openxmlformats.org/officeDocument/2006/relationships/image" Target="../media/image12.jpeg"/></Relationships>
</file>

<file path=xl/charts/_rels/chart128.xml.rels><?xml version="1.0" encoding="UTF-8" standalone="yes"?>
<Relationships xmlns="http://schemas.openxmlformats.org/package/2006/relationships"><Relationship Id="rId1" Type="http://schemas.openxmlformats.org/officeDocument/2006/relationships/image" Target="../media/image12.jpeg"/></Relationships>
</file>

<file path=xl/charts/_rels/chart129.xml.rels><?xml version="1.0" encoding="UTF-8" standalone="yes"?>
<Relationships xmlns="http://schemas.openxmlformats.org/package/2006/relationships"><Relationship Id="rId1" Type="http://schemas.openxmlformats.org/officeDocument/2006/relationships/image" Target="../media/image12.jpeg"/></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30.xml.rels><?xml version="1.0" encoding="UTF-8" standalone="yes"?>
<Relationships xmlns="http://schemas.openxmlformats.org/package/2006/relationships"><Relationship Id="rId1" Type="http://schemas.openxmlformats.org/officeDocument/2006/relationships/image" Target="../media/image12.jpeg"/></Relationships>
</file>

<file path=xl/charts/_rels/chart131.xml.rels><?xml version="1.0" encoding="UTF-8" standalone="yes"?>
<Relationships xmlns="http://schemas.openxmlformats.org/package/2006/relationships"><Relationship Id="rId1" Type="http://schemas.openxmlformats.org/officeDocument/2006/relationships/image" Target="../media/image12.jpeg"/></Relationships>
</file>

<file path=xl/charts/_rels/chart132.xml.rels><?xml version="1.0" encoding="UTF-8" standalone="yes"?>
<Relationships xmlns="http://schemas.openxmlformats.org/package/2006/relationships"><Relationship Id="rId1" Type="http://schemas.openxmlformats.org/officeDocument/2006/relationships/image" Target="../media/image12.jpeg"/></Relationships>
</file>

<file path=xl/charts/_rels/chart133.xml.rels><?xml version="1.0" encoding="UTF-8" standalone="yes"?>
<Relationships xmlns="http://schemas.openxmlformats.org/package/2006/relationships"><Relationship Id="rId1" Type="http://schemas.openxmlformats.org/officeDocument/2006/relationships/image" Target="../media/image12.jpeg"/></Relationships>
</file>

<file path=xl/charts/_rels/chart134.xml.rels><?xml version="1.0" encoding="UTF-8" standalone="yes"?>
<Relationships xmlns="http://schemas.openxmlformats.org/package/2006/relationships"><Relationship Id="rId1" Type="http://schemas.openxmlformats.org/officeDocument/2006/relationships/image" Target="../media/image12.jpeg"/></Relationships>
</file>

<file path=xl/charts/_rels/chart135.xml.rels><?xml version="1.0" encoding="UTF-8" standalone="yes"?>
<Relationships xmlns="http://schemas.openxmlformats.org/package/2006/relationships"><Relationship Id="rId1" Type="http://schemas.openxmlformats.org/officeDocument/2006/relationships/image" Target="../media/image12.jpeg"/></Relationships>
</file>

<file path=xl/charts/_rels/chart136.xml.rels><?xml version="1.0" encoding="UTF-8" standalone="yes"?>
<Relationships xmlns="http://schemas.openxmlformats.org/package/2006/relationships"><Relationship Id="rId1" Type="http://schemas.openxmlformats.org/officeDocument/2006/relationships/image" Target="../media/image12.jpeg"/></Relationships>
</file>

<file path=xl/charts/_rels/chart137.xml.rels><?xml version="1.0" encoding="UTF-8" standalone="yes"?>
<Relationships xmlns="http://schemas.openxmlformats.org/package/2006/relationships"><Relationship Id="rId1" Type="http://schemas.openxmlformats.org/officeDocument/2006/relationships/image" Target="../media/image12.jpeg"/></Relationships>
</file>

<file path=xl/charts/_rels/chart138.xml.rels><?xml version="1.0" encoding="UTF-8" standalone="yes"?>
<Relationships xmlns="http://schemas.openxmlformats.org/package/2006/relationships"><Relationship Id="rId1" Type="http://schemas.openxmlformats.org/officeDocument/2006/relationships/image" Target="../media/image12.jpeg"/></Relationships>
</file>

<file path=xl/charts/_rels/chart139.xml.rels><?xml version="1.0" encoding="UTF-8" standalone="yes"?>
<Relationships xmlns="http://schemas.openxmlformats.org/package/2006/relationships"><Relationship Id="rId1" Type="http://schemas.openxmlformats.org/officeDocument/2006/relationships/image" Target="../media/image12.jpeg"/></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0.xml.rels><?xml version="1.0" encoding="UTF-8" standalone="yes"?>
<Relationships xmlns="http://schemas.openxmlformats.org/package/2006/relationships"><Relationship Id="rId1" Type="http://schemas.openxmlformats.org/officeDocument/2006/relationships/image" Target="../media/image13.jpeg"/></Relationships>
</file>

<file path=xl/charts/_rels/chart141.xml.rels><?xml version="1.0" encoding="UTF-8" standalone="yes"?>
<Relationships xmlns="http://schemas.openxmlformats.org/package/2006/relationships"><Relationship Id="rId1" Type="http://schemas.openxmlformats.org/officeDocument/2006/relationships/image" Target="../media/image13.jpeg"/></Relationships>
</file>

<file path=xl/charts/_rels/chart142.xml.rels><?xml version="1.0" encoding="UTF-8" standalone="yes"?>
<Relationships xmlns="http://schemas.openxmlformats.org/package/2006/relationships"><Relationship Id="rId1" Type="http://schemas.openxmlformats.org/officeDocument/2006/relationships/image" Target="../media/image13.jpeg"/></Relationships>
</file>

<file path=xl/charts/_rels/chart143.xml.rels><?xml version="1.0" encoding="UTF-8" standalone="yes"?>
<Relationships xmlns="http://schemas.openxmlformats.org/package/2006/relationships"><Relationship Id="rId1" Type="http://schemas.openxmlformats.org/officeDocument/2006/relationships/image" Target="../media/image12.jpeg"/></Relationships>
</file>

<file path=xl/charts/_rels/chart144.xml.rels><?xml version="1.0" encoding="UTF-8" standalone="yes"?>
<Relationships xmlns="http://schemas.openxmlformats.org/package/2006/relationships"><Relationship Id="rId1" Type="http://schemas.openxmlformats.org/officeDocument/2006/relationships/image" Target="../media/image12.jpeg"/></Relationships>
</file>

<file path=xl/charts/_rels/chart145.xml.rels><?xml version="1.0" encoding="UTF-8" standalone="yes"?>
<Relationships xmlns="http://schemas.openxmlformats.org/package/2006/relationships"><Relationship Id="rId1" Type="http://schemas.openxmlformats.org/officeDocument/2006/relationships/image" Target="../media/image12.jpeg"/></Relationships>
</file>

<file path=xl/charts/_rels/chart146.xml.rels><?xml version="1.0" encoding="UTF-8" standalone="yes"?>
<Relationships xmlns="http://schemas.openxmlformats.org/package/2006/relationships"><Relationship Id="rId1" Type="http://schemas.openxmlformats.org/officeDocument/2006/relationships/image" Target="../media/image12.jpeg"/></Relationships>
</file>

<file path=xl/charts/_rels/chart147.xml.rels><?xml version="1.0" encoding="UTF-8" standalone="yes"?>
<Relationships xmlns="http://schemas.openxmlformats.org/package/2006/relationships"><Relationship Id="rId1" Type="http://schemas.openxmlformats.org/officeDocument/2006/relationships/image" Target="../media/image12.jpeg"/></Relationships>
</file>

<file path=xl/charts/_rels/chart148.xml.rels><?xml version="1.0" encoding="UTF-8" standalone="yes"?>
<Relationships xmlns="http://schemas.openxmlformats.org/package/2006/relationships"><Relationship Id="rId1" Type="http://schemas.openxmlformats.org/officeDocument/2006/relationships/image" Target="../media/image12.jpeg"/></Relationships>
</file>

<file path=xl/charts/_rels/chart149.xml.rels><?xml version="1.0" encoding="UTF-8" standalone="yes"?>
<Relationships xmlns="http://schemas.openxmlformats.org/package/2006/relationships"><Relationship Id="rId1" Type="http://schemas.openxmlformats.org/officeDocument/2006/relationships/image" Target="../media/image12.jpe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0.xml.rels><?xml version="1.0" encoding="UTF-8" standalone="yes"?>
<Relationships xmlns="http://schemas.openxmlformats.org/package/2006/relationships"><Relationship Id="rId1" Type="http://schemas.openxmlformats.org/officeDocument/2006/relationships/image" Target="../media/image12.jpeg"/></Relationships>
</file>

<file path=xl/charts/_rels/chart151.xml.rels><?xml version="1.0" encoding="UTF-8" standalone="yes"?>
<Relationships xmlns="http://schemas.openxmlformats.org/package/2006/relationships"><Relationship Id="rId1" Type="http://schemas.openxmlformats.org/officeDocument/2006/relationships/image" Target="../media/image12.jpeg"/></Relationships>
</file>

<file path=xl/charts/_rels/chart152.xml.rels><?xml version="1.0" encoding="UTF-8" standalone="yes"?>
<Relationships xmlns="http://schemas.openxmlformats.org/package/2006/relationships"><Relationship Id="rId1" Type="http://schemas.openxmlformats.org/officeDocument/2006/relationships/image" Target="../media/image12.jpeg"/></Relationships>
</file>

<file path=xl/charts/_rels/chart153.xml.rels><?xml version="1.0" encoding="UTF-8" standalone="yes"?>
<Relationships xmlns="http://schemas.openxmlformats.org/package/2006/relationships"><Relationship Id="rId1" Type="http://schemas.openxmlformats.org/officeDocument/2006/relationships/image" Target="../media/image12.jpeg"/></Relationships>
</file>

<file path=xl/charts/_rels/chart154.xml.rels><?xml version="1.0" encoding="UTF-8" standalone="yes"?>
<Relationships xmlns="http://schemas.openxmlformats.org/package/2006/relationships"><Relationship Id="rId1" Type="http://schemas.openxmlformats.org/officeDocument/2006/relationships/image" Target="../media/image12.jpeg"/></Relationships>
</file>

<file path=xl/charts/_rels/chart155.xml.rels><?xml version="1.0" encoding="UTF-8" standalone="yes"?>
<Relationships xmlns="http://schemas.openxmlformats.org/package/2006/relationships"><Relationship Id="rId1" Type="http://schemas.openxmlformats.org/officeDocument/2006/relationships/image" Target="../media/image12.jpeg"/></Relationships>
</file>

<file path=xl/charts/_rels/chart156.xml.rels><?xml version="1.0" encoding="UTF-8" standalone="yes"?>
<Relationships xmlns="http://schemas.openxmlformats.org/package/2006/relationships"><Relationship Id="rId1" Type="http://schemas.openxmlformats.org/officeDocument/2006/relationships/image" Target="../media/image12.jpeg"/></Relationships>
</file>

<file path=xl/charts/_rels/chart157.xml.rels><?xml version="1.0" encoding="UTF-8" standalone="yes"?>
<Relationships xmlns="http://schemas.openxmlformats.org/package/2006/relationships"><Relationship Id="rId1" Type="http://schemas.openxmlformats.org/officeDocument/2006/relationships/image" Target="../media/image12.jpeg"/></Relationships>
</file>

<file path=xl/charts/_rels/chart158.xml.rels><?xml version="1.0" encoding="UTF-8" standalone="yes"?>
<Relationships xmlns="http://schemas.openxmlformats.org/package/2006/relationships"><Relationship Id="rId1" Type="http://schemas.openxmlformats.org/officeDocument/2006/relationships/image" Target="../media/image12.jpeg"/></Relationships>
</file>

<file path=xl/charts/_rels/chart159.xml.rels><?xml version="1.0" encoding="UTF-8" standalone="yes"?>
<Relationships xmlns="http://schemas.openxmlformats.org/package/2006/relationships"><Relationship Id="rId1" Type="http://schemas.openxmlformats.org/officeDocument/2006/relationships/image" Target="../media/image12.jpeg"/></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0.xml.rels><?xml version="1.0" encoding="UTF-8" standalone="yes"?>
<Relationships xmlns="http://schemas.openxmlformats.org/package/2006/relationships"><Relationship Id="rId1" Type="http://schemas.openxmlformats.org/officeDocument/2006/relationships/image" Target="../media/image12.jpeg"/></Relationships>
</file>

<file path=xl/charts/_rels/chart161.xml.rels><?xml version="1.0" encoding="UTF-8" standalone="yes"?>
<Relationships xmlns="http://schemas.openxmlformats.org/package/2006/relationships"><Relationship Id="rId1" Type="http://schemas.openxmlformats.org/officeDocument/2006/relationships/image" Target="../media/image12.jpeg"/></Relationships>
</file>

<file path=xl/charts/_rels/chart162.xml.rels><?xml version="1.0" encoding="UTF-8" standalone="yes"?>
<Relationships xmlns="http://schemas.openxmlformats.org/package/2006/relationships"><Relationship Id="rId1" Type="http://schemas.openxmlformats.org/officeDocument/2006/relationships/image" Target="../media/image12.jpeg"/></Relationships>
</file>

<file path=xl/charts/_rels/chart163.xml.rels><?xml version="1.0" encoding="UTF-8" standalone="yes"?>
<Relationships xmlns="http://schemas.openxmlformats.org/package/2006/relationships"><Relationship Id="rId1" Type="http://schemas.openxmlformats.org/officeDocument/2006/relationships/image" Target="../media/image12.jpeg"/></Relationships>
</file>

<file path=xl/charts/_rels/chart164.xml.rels><?xml version="1.0" encoding="UTF-8" standalone="yes"?>
<Relationships xmlns="http://schemas.openxmlformats.org/package/2006/relationships"><Relationship Id="rId1" Type="http://schemas.openxmlformats.org/officeDocument/2006/relationships/image" Target="../media/image12.jpeg"/></Relationships>
</file>

<file path=xl/charts/_rels/chart165.xml.rels><?xml version="1.0" encoding="UTF-8" standalone="yes"?>
<Relationships xmlns="http://schemas.openxmlformats.org/package/2006/relationships"><Relationship Id="rId1" Type="http://schemas.openxmlformats.org/officeDocument/2006/relationships/image" Target="../media/image12.jpeg"/></Relationships>
</file>

<file path=xl/charts/_rels/chart166.xml.rels><?xml version="1.0" encoding="UTF-8" standalone="yes"?>
<Relationships xmlns="http://schemas.openxmlformats.org/package/2006/relationships"><Relationship Id="rId1" Type="http://schemas.openxmlformats.org/officeDocument/2006/relationships/image" Target="../media/image12.jpeg"/></Relationships>
</file>

<file path=xl/charts/_rels/chart167.xml.rels><?xml version="1.0" encoding="UTF-8" standalone="yes"?>
<Relationships xmlns="http://schemas.openxmlformats.org/package/2006/relationships"><Relationship Id="rId1" Type="http://schemas.openxmlformats.org/officeDocument/2006/relationships/image" Target="../media/image12.jpeg"/></Relationships>
</file>

<file path=xl/charts/_rels/chart168.xml.rels><?xml version="1.0" encoding="UTF-8" standalone="yes"?>
<Relationships xmlns="http://schemas.openxmlformats.org/package/2006/relationships"><Relationship Id="rId1" Type="http://schemas.openxmlformats.org/officeDocument/2006/relationships/image" Target="../media/image12.jpeg"/></Relationships>
</file>

<file path=xl/charts/_rels/chart169.xml.rels><?xml version="1.0" encoding="UTF-8" standalone="yes"?>
<Relationships xmlns="http://schemas.openxmlformats.org/package/2006/relationships"><Relationship Id="rId1" Type="http://schemas.openxmlformats.org/officeDocument/2006/relationships/image" Target="../media/image12.jpeg"/></Relationships>
</file>

<file path=xl/charts/_rels/chart17.xml.rels><?xml version="1.0" encoding="UTF-8" standalone="yes"?>
<Relationships xmlns="http://schemas.openxmlformats.org/package/2006/relationships"><Relationship Id="rId1" Type="http://schemas.openxmlformats.org/officeDocument/2006/relationships/image" Target="../media/image2.png"/></Relationships>
</file>

<file path=xl/charts/_rels/chart170.xml.rels><?xml version="1.0" encoding="UTF-8" standalone="yes"?>
<Relationships xmlns="http://schemas.openxmlformats.org/package/2006/relationships"><Relationship Id="rId1" Type="http://schemas.openxmlformats.org/officeDocument/2006/relationships/image" Target="../media/image12.jpeg"/></Relationships>
</file>

<file path=xl/charts/_rels/chart171.xml.rels><?xml version="1.0" encoding="UTF-8" standalone="yes"?>
<Relationships xmlns="http://schemas.openxmlformats.org/package/2006/relationships"><Relationship Id="rId1" Type="http://schemas.openxmlformats.org/officeDocument/2006/relationships/image" Target="../media/image12.jpeg"/></Relationships>
</file>

<file path=xl/charts/_rels/chart172.xml.rels><?xml version="1.0" encoding="UTF-8" standalone="yes"?>
<Relationships xmlns="http://schemas.openxmlformats.org/package/2006/relationships"><Relationship Id="rId1" Type="http://schemas.openxmlformats.org/officeDocument/2006/relationships/image" Target="../media/image12.jpeg"/></Relationships>
</file>

<file path=xl/charts/_rels/chart173.xml.rels><?xml version="1.0" encoding="UTF-8" standalone="yes"?>
<Relationships xmlns="http://schemas.openxmlformats.org/package/2006/relationships"><Relationship Id="rId1" Type="http://schemas.openxmlformats.org/officeDocument/2006/relationships/image" Target="../media/image12.jpeg"/></Relationships>
</file>

<file path=xl/charts/_rels/chart174.xml.rels><?xml version="1.0" encoding="UTF-8" standalone="yes"?>
<Relationships xmlns="http://schemas.openxmlformats.org/package/2006/relationships"><Relationship Id="rId1" Type="http://schemas.openxmlformats.org/officeDocument/2006/relationships/image" Target="../media/image12.jpeg"/></Relationships>
</file>

<file path=xl/charts/_rels/chart175.xml.rels><?xml version="1.0" encoding="UTF-8" standalone="yes"?>
<Relationships xmlns="http://schemas.openxmlformats.org/package/2006/relationships"><Relationship Id="rId1" Type="http://schemas.openxmlformats.org/officeDocument/2006/relationships/image" Target="../media/image12.jpeg"/></Relationships>
</file>

<file path=xl/charts/_rels/chart176.xml.rels><?xml version="1.0" encoding="UTF-8" standalone="yes"?>
<Relationships xmlns="http://schemas.openxmlformats.org/package/2006/relationships"><Relationship Id="rId1" Type="http://schemas.openxmlformats.org/officeDocument/2006/relationships/image" Target="../media/image12.jpeg"/></Relationships>
</file>

<file path=xl/charts/_rels/chart177.xml.rels><?xml version="1.0" encoding="UTF-8" standalone="yes"?>
<Relationships xmlns="http://schemas.openxmlformats.org/package/2006/relationships"><Relationship Id="rId1" Type="http://schemas.openxmlformats.org/officeDocument/2006/relationships/image" Target="../media/image12.jpeg"/></Relationships>
</file>

<file path=xl/charts/_rels/chart178.xml.rels><?xml version="1.0" encoding="UTF-8" standalone="yes"?>
<Relationships xmlns="http://schemas.openxmlformats.org/package/2006/relationships"><Relationship Id="rId1" Type="http://schemas.openxmlformats.org/officeDocument/2006/relationships/image" Target="../media/image12.jpeg"/></Relationships>
</file>

<file path=xl/charts/_rels/chart179.xml.rels><?xml version="1.0" encoding="UTF-8" standalone="yes"?>
<Relationships xmlns="http://schemas.openxmlformats.org/package/2006/relationships"><Relationship Id="rId1" Type="http://schemas.openxmlformats.org/officeDocument/2006/relationships/image" Target="../media/image12.jpeg"/></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80.xml.rels><?xml version="1.0" encoding="UTF-8" standalone="yes"?>
<Relationships xmlns="http://schemas.openxmlformats.org/package/2006/relationships"><Relationship Id="rId1" Type="http://schemas.openxmlformats.org/officeDocument/2006/relationships/image" Target="../media/image12.jpeg"/></Relationships>
</file>

<file path=xl/charts/_rels/chart181.xml.rels><?xml version="1.0" encoding="UTF-8" standalone="yes"?>
<Relationships xmlns="http://schemas.openxmlformats.org/package/2006/relationships"><Relationship Id="rId1" Type="http://schemas.openxmlformats.org/officeDocument/2006/relationships/image" Target="../media/image12.jpeg"/></Relationships>
</file>

<file path=xl/charts/_rels/chart182.xml.rels><?xml version="1.0" encoding="UTF-8" standalone="yes"?>
<Relationships xmlns="http://schemas.openxmlformats.org/package/2006/relationships"><Relationship Id="rId1" Type="http://schemas.openxmlformats.org/officeDocument/2006/relationships/image" Target="../media/image12.jpeg"/></Relationships>
</file>

<file path=xl/charts/_rels/chart183.xml.rels><?xml version="1.0" encoding="UTF-8" standalone="yes"?>
<Relationships xmlns="http://schemas.openxmlformats.org/package/2006/relationships"><Relationship Id="rId1" Type="http://schemas.openxmlformats.org/officeDocument/2006/relationships/image" Target="../media/image12.jpeg"/></Relationships>
</file>

<file path=xl/charts/_rels/chart184.xml.rels><?xml version="1.0" encoding="UTF-8" standalone="yes"?>
<Relationships xmlns="http://schemas.openxmlformats.org/package/2006/relationships"><Relationship Id="rId1" Type="http://schemas.openxmlformats.org/officeDocument/2006/relationships/image" Target="../media/image12.jpeg"/></Relationships>
</file>

<file path=xl/charts/_rels/chart185.xml.rels><?xml version="1.0" encoding="UTF-8" standalone="yes"?>
<Relationships xmlns="http://schemas.openxmlformats.org/package/2006/relationships"><Relationship Id="rId1" Type="http://schemas.openxmlformats.org/officeDocument/2006/relationships/image" Target="../media/image12.jpeg"/></Relationships>
</file>

<file path=xl/charts/_rels/chart186.xml.rels><?xml version="1.0" encoding="UTF-8" standalone="yes"?>
<Relationships xmlns="http://schemas.openxmlformats.org/package/2006/relationships"><Relationship Id="rId1" Type="http://schemas.openxmlformats.org/officeDocument/2006/relationships/image" Target="../media/image12.jpeg"/></Relationships>
</file>

<file path=xl/charts/_rels/chart187.xml.rels><?xml version="1.0" encoding="UTF-8" standalone="yes"?>
<Relationships xmlns="http://schemas.openxmlformats.org/package/2006/relationships"><Relationship Id="rId1" Type="http://schemas.openxmlformats.org/officeDocument/2006/relationships/image" Target="../media/image12.jpeg"/></Relationships>
</file>

<file path=xl/charts/_rels/chart188.xml.rels><?xml version="1.0" encoding="UTF-8" standalone="yes"?>
<Relationships xmlns="http://schemas.openxmlformats.org/package/2006/relationships"><Relationship Id="rId1" Type="http://schemas.openxmlformats.org/officeDocument/2006/relationships/image" Target="../media/image12.jpeg"/></Relationships>
</file>

<file path=xl/charts/_rels/chart189.xml.rels><?xml version="1.0" encoding="UTF-8" standalone="yes"?>
<Relationships xmlns="http://schemas.openxmlformats.org/package/2006/relationships"><Relationship Id="rId1" Type="http://schemas.openxmlformats.org/officeDocument/2006/relationships/image" Target="../media/image12.jpeg"/></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0.xml.rels><?xml version="1.0" encoding="UTF-8" standalone="yes"?>
<Relationships xmlns="http://schemas.openxmlformats.org/package/2006/relationships"><Relationship Id="rId1" Type="http://schemas.openxmlformats.org/officeDocument/2006/relationships/image" Target="../media/image12.jpeg"/></Relationships>
</file>

<file path=xl/charts/_rels/chart191.xml.rels><?xml version="1.0" encoding="UTF-8" standalone="yes"?>
<Relationships xmlns="http://schemas.openxmlformats.org/package/2006/relationships"><Relationship Id="rId1" Type="http://schemas.openxmlformats.org/officeDocument/2006/relationships/image" Target="../media/image12.jpeg"/></Relationships>
</file>

<file path=xl/charts/_rels/chart192.xml.rels><?xml version="1.0" encoding="UTF-8" standalone="yes"?>
<Relationships xmlns="http://schemas.openxmlformats.org/package/2006/relationships"><Relationship Id="rId1" Type="http://schemas.openxmlformats.org/officeDocument/2006/relationships/image" Target="../media/image12.jpeg"/></Relationships>
</file>

<file path=xl/charts/_rels/chart193.xml.rels><?xml version="1.0" encoding="UTF-8" standalone="yes"?>
<Relationships xmlns="http://schemas.openxmlformats.org/package/2006/relationships"><Relationship Id="rId1" Type="http://schemas.openxmlformats.org/officeDocument/2006/relationships/image" Target="../media/image13.jpeg"/></Relationships>
</file>

<file path=xl/charts/_rels/chart194.xml.rels><?xml version="1.0" encoding="UTF-8" standalone="yes"?>
<Relationships xmlns="http://schemas.openxmlformats.org/package/2006/relationships"><Relationship Id="rId1" Type="http://schemas.openxmlformats.org/officeDocument/2006/relationships/image" Target="../media/image13.jpeg"/></Relationships>
</file>

<file path=xl/charts/_rels/chart195.xml.rels><?xml version="1.0" encoding="UTF-8" standalone="yes"?>
<Relationships xmlns="http://schemas.openxmlformats.org/package/2006/relationships"><Relationship Id="rId1" Type="http://schemas.openxmlformats.org/officeDocument/2006/relationships/image" Target="../media/image13.jpeg"/></Relationships>
</file>

<file path=xl/charts/_rels/chart196.xml.rels><?xml version="1.0" encoding="UTF-8" standalone="yes"?>
<Relationships xmlns="http://schemas.openxmlformats.org/package/2006/relationships"><Relationship Id="rId1" Type="http://schemas.openxmlformats.org/officeDocument/2006/relationships/image" Target="../media/image13.jpeg"/></Relationships>
</file>

<file path=xl/charts/_rels/chart197.xml.rels><?xml version="1.0" encoding="UTF-8" standalone="yes"?>
<Relationships xmlns="http://schemas.openxmlformats.org/package/2006/relationships"><Relationship Id="rId1" Type="http://schemas.openxmlformats.org/officeDocument/2006/relationships/image" Target="../media/image13.jpeg"/></Relationships>
</file>

<file path=xl/charts/_rels/chart198.xml.rels><?xml version="1.0" encoding="UTF-8" standalone="yes"?>
<Relationships xmlns="http://schemas.openxmlformats.org/package/2006/relationships"><Relationship Id="rId1" Type="http://schemas.openxmlformats.org/officeDocument/2006/relationships/image" Target="../media/image13.jpeg"/></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33.xml.rels><?xml version="1.0" encoding="UTF-8" standalone="yes"?>
<Relationships xmlns="http://schemas.openxmlformats.org/package/2006/relationships"><Relationship Id="rId1" Type="http://schemas.openxmlformats.org/officeDocument/2006/relationships/image" Target="../media/image2.png"/></Relationships>
</file>

<file path=xl/charts/_rels/chart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6.png"/><Relationship Id="rId1" Type="http://schemas.openxmlformats.org/officeDocument/2006/relationships/image" Target="../media/image5.jpeg"/></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7.xml.rels><?xml version="1.0" encoding="UTF-8" standalone="yes"?>
<Relationships xmlns="http://schemas.openxmlformats.org/package/2006/relationships"><Relationship Id="rId1" Type="http://schemas.openxmlformats.org/officeDocument/2006/relationships/image" Target="../media/image12.jpeg"/></Relationships>
</file>

<file path=xl/charts/_rels/chart38.xml.rels><?xml version="1.0" encoding="UTF-8" standalone="yes"?>
<Relationships xmlns="http://schemas.openxmlformats.org/package/2006/relationships"><Relationship Id="rId1" Type="http://schemas.openxmlformats.org/officeDocument/2006/relationships/image" Target="../media/image12.jpeg"/></Relationships>
</file>

<file path=xl/charts/_rels/chart39.xml.rels><?xml version="1.0" encoding="UTF-8" standalone="yes"?>
<Relationships xmlns="http://schemas.openxmlformats.org/package/2006/relationships"><Relationship Id="rId1" Type="http://schemas.openxmlformats.org/officeDocument/2006/relationships/image" Target="../media/image12.jpe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image" Target="../media/image12.jpeg"/></Relationships>
</file>

<file path=xl/charts/_rels/chart41.xml.rels><?xml version="1.0" encoding="UTF-8" standalone="yes"?>
<Relationships xmlns="http://schemas.openxmlformats.org/package/2006/relationships"><Relationship Id="rId1" Type="http://schemas.openxmlformats.org/officeDocument/2006/relationships/image" Target="../media/image12.jpeg"/></Relationships>
</file>

<file path=xl/charts/_rels/chart42.xml.rels><?xml version="1.0" encoding="UTF-8" standalone="yes"?>
<Relationships xmlns="http://schemas.openxmlformats.org/package/2006/relationships"><Relationship Id="rId1" Type="http://schemas.openxmlformats.org/officeDocument/2006/relationships/image" Target="../media/image12.jpeg"/></Relationships>
</file>

<file path=xl/charts/_rels/chart43.xml.rels><?xml version="1.0" encoding="UTF-8" standalone="yes"?>
<Relationships xmlns="http://schemas.openxmlformats.org/package/2006/relationships"><Relationship Id="rId1" Type="http://schemas.openxmlformats.org/officeDocument/2006/relationships/image" Target="../media/image12.jpeg"/></Relationships>
</file>

<file path=xl/charts/_rels/chart44.xml.rels><?xml version="1.0" encoding="UTF-8" standalone="yes"?>
<Relationships xmlns="http://schemas.openxmlformats.org/package/2006/relationships"><Relationship Id="rId1" Type="http://schemas.openxmlformats.org/officeDocument/2006/relationships/image" Target="../media/image12.jpeg"/></Relationships>
</file>

<file path=xl/charts/_rels/chart45.xml.rels><?xml version="1.0" encoding="UTF-8" standalone="yes"?>
<Relationships xmlns="http://schemas.openxmlformats.org/package/2006/relationships"><Relationship Id="rId1" Type="http://schemas.openxmlformats.org/officeDocument/2006/relationships/image" Target="../media/image12.jpeg"/></Relationships>
</file>

<file path=xl/charts/_rels/chart46.xml.rels><?xml version="1.0" encoding="UTF-8" standalone="yes"?>
<Relationships xmlns="http://schemas.openxmlformats.org/package/2006/relationships"><Relationship Id="rId1" Type="http://schemas.openxmlformats.org/officeDocument/2006/relationships/image" Target="../media/image12.jpeg"/></Relationships>
</file>

<file path=xl/charts/_rels/chart47.xml.rels><?xml version="1.0" encoding="UTF-8" standalone="yes"?>
<Relationships xmlns="http://schemas.openxmlformats.org/package/2006/relationships"><Relationship Id="rId1" Type="http://schemas.openxmlformats.org/officeDocument/2006/relationships/image" Target="../media/image12.jpeg"/></Relationships>
</file>

<file path=xl/charts/_rels/chart48.xml.rels><?xml version="1.0" encoding="UTF-8" standalone="yes"?>
<Relationships xmlns="http://schemas.openxmlformats.org/package/2006/relationships"><Relationship Id="rId1" Type="http://schemas.openxmlformats.org/officeDocument/2006/relationships/image" Target="../media/image12.jpeg"/></Relationships>
</file>

<file path=xl/charts/_rels/chart49.xml.rels><?xml version="1.0" encoding="UTF-8" standalone="yes"?>
<Relationships xmlns="http://schemas.openxmlformats.org/package/2006/relationships"><Relationship Id="rId1" Type="http://schemas.openxmlformats.org/officeDocument/2006/relationships/image" Target="../media/image12.jpeg"/></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0.xml.rels><?xml version="1.0" encoding="UTF-8" standalone="yes"?>
<Relationships xmlns="http://schemas.openxmlformats.org/package/2006/relationships"><Relationship Id="rId1" Type="http://schemas.openxmlformats.org/officeDocument/2006/relationships/image" Target="../media/image12.jpeg"/></Relationships>
</file>

<file path=xl/charts/_rels/chart51.xml.rels><?xml version="1.0" encoding="UTF-8" standalone="yes"?>
<Relationships xmlns="http://schemas.openxmlformats.org/package/2006/relationships"><Relationship Id="rId1" Type="http://schemas.openxmlformats.org/officeDocument/2006/relationships/image" Target="../media/image12.jpeg"/></Relationships>
</file>

<file path=xl/charts/_rels/chart52.xml.rels><?xml version="1.0" encoding="UTF-8" standalone="yes"?>
<Relationships xmlns="http://schemas.openxmlformats.org/package/2006/relationships"><Relationship Id="rId1" Type="http://schemas.openxmlformats.org/officeDocument/2006/relationships/image" Target="../media/image12.jpeg"/></Relationships>
</file>

<file path=xl/charts/_rels/chart53.xml.rels><?xml version="1.0" encoding="UTF-8" standalone="yes"?>
<Relationships xmlns="http://schemas.openxmlformats.org/package/2006/relationships"><Relationship Id="rId1" Type="http://schemas.openxmlformats.org/officeDocument/2006/relationships/image" Target="../media/image12.jpeg"/></Relationships>
</file>

<file path=xl/charts/_rels/chart54.xml.rels><?xml version="1.0" encoding="UTF-8" standalone="yes"?>
<Relationships xmlns="http://schemas.openxmlformats.org/package/2006/relationships"><Relationship Id="rId1" Type="http://schemas.openxmlformats.org/officeDocument/2006/relationships/image" Target="../media/image12.jpeg"/></Relationships>
</file>

<file path=xl/charts/_rels/chart55.xml.rels><?xml version="1.0" encoding="UTF-8" standalone="yes"?>
<Relationships xmlns="http://schemas.openxmlformats.org/package/2006/relationships"><Relationship Id="rId1" Type="http://schemas.openxmlformats.org/officeDocument/2006/relationships/image" Target="../media/image12.jpeg"/></Relationships>
</file>

<file path=xl/charts/_rels/chart56.xml.rels><?xml version="1.0" encoding="UTF-8" standalone="yes"?>
<Relationships xmlns="http://schemas.openxmlformats.org/package/2006/relationships"><Relationship Id="rId1" Type="http://schemas.openxmlformats.org/officeDocument/2006/relationships/image" Target="../media/image12.jpeg"/></Relationships>
</file>

<file path=xl/charts/_rels/chart57.xml.rels><?xml version="1.0" encoding="UTF-8" standalone="yes"?>
<Relationships xmlns="http://schemas.openxmlformats.org/package/2006/relationships"><Relationship Id="rId1" Type="http://schemas.openxmlformats.org/officeDocument/2006/relationships/image" Target="../media/image12.jpeg"/></Relationships>
</file>

<file path=xl/charts/_rels/chart58.xml.rels><?xml version="1.0" encoding="UTF-8" standalone="yes"?>
<Relationships xmlns="http://schemas.openxmlformats.org/package/2006/relationships"><Relationship Id="rId1" Type="http://schemas.openxmlformats.org/officeDocument/2006/relationships/image" Target="../media/image12.jpeg"/></Relationships>
</file>

<file path=xl/charts/_rels/chart59.xml.rels><?xml version="1.0" encoding="UTF-8" standalone="yes"?>
<Relationships xmlns="http://schemas.openxmlformats.org/package/2006/relationships"><Relationship Id="rId1" Type="http://schemas.openxmlformats.org/officeDocument/2006/relationships/image" Target="../media/image12.jpeg"/></Relationships>
</file>

<file path=xl/charts/_rels/chart6.xml.rels><?xml version="1.0" encoding="UTF-8" standalone="yes"?>
<Relationships xmlns="http://schemas.openxmlformats.org/package/2006/relationships"><Relationship Id="rId1" Type="http://schemas.openxmlformats.org/officeDocument/2006/relationships/image" Target="../media/image2.png"/></Relationships>
</file>

<file path=xl/charts/_rels/chart60.xml.rels><?xml version="1.0" encoding="UTF-8" standalone="yes"?>
<Relationships xmlns="http://schemas.openxmlformats.org/package/2006/relationships"><Relationship Id="rId1" Type="http://schemas.openxmlformats.org/officeDocument/2006/relationships/image" Target="../media/image12.jpeg"/></Relationships>
</file>

<file path=xl/charts/_rels/chart61.xml.rels><?xml version="1.0" encoding="UTF-8" standalone="yes"?>
<Relationships xmlns="http://schemas.openxmlformats.org/package/2006/relationships"><Relationship Id="rId1" Type="http://schemas.openxmlformats.org/officeDocument/2006/relationships/image" Target="../media/image12.jpeg"/></Relationships>
</file>

<file path=xl/charts/_rels/chart62.xml.rels><?xml version="1.0" encoding="UTF-8" standalone="yes"?>
<Relationships xmlns="http://schemas.openxmlformats.org/package/2006/relationships"><Relationship Id="rId1" Type="http://schemas.openxmlformats.org/officeDocument/2006/relationships/image" Target="../media/image12.jpeg"/></Relationships>
</file>

<file path=xl/charts/_rels/chart63.xml.rels><?xml version="1.0" encoding="UTF-8" standalone="yes"?>
<Relationships xmlns="http://schemas.openxmlformats.org/package/2006/relationships"><Relationship Id="rId1" Type="http://schemas.openxmlformats.org/officeDocument/2006/relationships/image" Target="../media/image12.jpeg"/></Relationships>
</file>

<file path=xl/charts/_rels/chart64.xml.rels><?xml version="1.0" encoding="UTF-8" standalone="yes"?>
<Relationships xmlns="http://schemas.openxmlformats.org/package/2006/relationships"><Relationship Id="rId1" Type="http://schemas.openxmlformats.org/officeDocument/2006/relationships/image" Target="../media/image12.jpeg"/></Relationships>
</file>

<file path=xl/charts/_rels/chart65.xml.rels><?xml version="1.0" encoding="UTF-8" standalone="yes"?>
<Relationships xmlns="http://schemas.openxmlformats.org/package/2006/relationships"><Relationship Id="rId1" Type="http://schemas.openxmlformats.org/officeDocument/2006/relationships/image" Target="../media/image12.jpeg"/></Relationships>
</file>

<file path=xl/charts/_rels/chart66.xml.rels><?xml version="1.0" encoding="UTF-8" standalone="yes"?>
<Relationships xmlns="http://schemas.openxmlformats.org/package/2006/relationships"><Relationship Id="rId1" Type="http://schemas.openxmlformats.org/officeDocument/2006/relationships/image" Target="../media/image12.jpeg"/></Relationships>
</file>

<file path=xl/charts/_rels/chart67.xml.rels><?xml version="1.0" encoding="UTF-8" standalone="yes"?>
<Relationships xmlns="http://schemas.openxmlformats.org/package/2006/relationships"><Relationship Id="rId1" Type="http://schemas.openxmlformats.org/officeDocument/2006/relationships/image" Target="../media/image12.jpeg"/></Relationships>
</file>

<file path=xl/charts/_rels/chart68.xml.rels><?xml version="1.0" encoding="UTF-8" standalone="yes"?>
<Relationships xmlns="http://schemas.openxmlformats.org/package/2006/relationships"><Relationship Id="rId1" Type="http://schemas.openxmlformats.org/officeDocument/2006/relationships/image" Target="../media/image12.jpeg"/></Relationships>
</file>

<file path=xl/charts/_rels/chart69.xml.rels><?xml version="1.0" encoding="UTF-8" standalone="yes"?>
<Relationships xmlns="http://schemas.openxmlformats.org/package/2006/relationships"><Relationship Id="rId1" Type="http://schemas.openxmlformats.org/officeDocument/2006/relationships/image" Target="../media/image12.jpeg"/></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0.xml.rels><?xml version="1.0" encoding="UTF-8" standalone="yes"?>
<Relationships xmlns="http://schemas.openxmlformats.org/package/2006/relationships"><Relationship Id="rId1" Type="http://schemas.openxmlformats.org/officeDocument/2006/relationships/image" Target="../media/image12.jpeg"/></Relationships>
</file>

<file path=xl/charts/_rels/chart71.xml.rels><?xml version="1.0" encoding="UTF-8" standalone="yes"?>
<Relationships xmlns="http://schemas.openxmlformats.org/package/2006/relationships"><Relationship Id="rId1" Type="http://schemas.openxmlformats.org/officeDocument/2006/relationships/image" Target="../media/image12.jpeg"/></Relationships>
</file>

<file path=xl/charts/_rels/chart72.xml.rels><?xml version="1.0" encoding="UTF-8" standalone="yes"?>
<Relationships xmlns="http://schemas.openxmlformats.org/package/2006/relationships"><Relationship Id="rId1" Type="http://schemas.openxmlformats.org/officeDocument/2006/relationships/image" Target="../media/image12.jpeg"/></Relationships>
</file>

<file path=xl/charts/_rels/chart73.xml.rels><?xml version="1.0" encoding="UTF-8" standalone="yes"?>
<Relationships xmlns="http://schemas.openxmlformats.org/package/2006/relationships"><Relationship Id="rId1" Type="http://schemas.openxmlformats.org/officeDocument/2006/relationships/image" Target="../media/image12.jpeg"/></Relationships>
</file>

<file path=xl/charts/_rels/chart74.xml.rels><?xml version="1.0" encoding="UTF-8" standalone="yes"?>
<Relationships xmlns="http://schemas.openxmlformats.org/package/2006/relationships"><Relationship Id="rId1" Type="http://schemas.openxmlformats.org/officeDocument/2006/relationships/image" Target="../media/image12.jpeg"/></Relationships>
</file>

<file path=xl/charts/_rels/chart75.xml.rels><?xml version="1.0" encoding="UTF-8" standalone="yes"?>
<Relationships xmlns="http://schemas.openxmlformats.org/package/2006/relationships"><Relationship Id="rId1" Type="http://schemas.openxmlformats.org/officeDocument/2006/relationships/image" Target="../media/image12.jpeg"/></Relationships>
</file>

<file path=xl/charts/_rels/chart76.xml.rels><?xml version="1.0" encoding="UTF-8" standalone="yes"?>
<Relationships xmlns="http://schemas.openxmlformats.org/package/2006/relationships"><Relationship Id="rId1" Type="http://schemas.openxmlformats.org/officeDocument/2006/relationships/image" Target="../media/image12.jpeg"/></Relationships>
</file>

<file path=xl/charts/_rels/chart77.xml.rels><?xml version="1.0" encoding="UTF-8" standalone="yes"?>
<Relationships xmlns="http://schemas.openxmlformats.org/package/2006/relationships"><Relationship Id="rId1" Type="http://schemas.openxmlformats.org/officeDocument/2006/relationships/image" Target="../media/image12.jpeg"/></Relationships>
</file>

<file path=xl/charts/_rels/chart78.xml.rels><?xml version="1.0" encoding="UTF-8" standalone="yes"?>
<Relationships xmlns="http://schemas.openxmlformats.org/package/2006/relationships"><Relationship Id="rId1" Type="http://schemas.openxmlformats.org/officeDocument/2006/relationships/image" Target="../media/image12.jpeg"/></Relationships>
</file>

<file path=xl/charts/_rels/chart79.xml.rels><?xml version="1.0" encoding="UTF-8" standalone="yes"?>
<Relationships xmlns="http://schemas.openxmlformats.org/package/2006/relationships"><Relationship Id="rId1" Type="http://schemas.openxmlformats.org/officeDocument/2006/relationships/image" Target="../media/image12.jpe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0.xml.rels><?xml version="1.0" encoding="UTF-8" standalone="yes"?>
<Relationships xmlns="http://schemas.openxmlformats.org/package/2006/relationships"><Relationship Id="rId1" Type="http://schemas.openxmlformats.org/officeDocument/2006/relationships/image" Target="../media/image12.jpeg"/></Relationships>
</file>

<file path=xl/charts/_rels/chart81.xml.rels><?xml version="1.0" encoding="UTF-8" standalone="yes"?>
<Relationships xmlns="http://schemas.openxmlformats.org/package/2006/relationships"><Relationship Id="rId1" Type="http://schemas.openxmlformats.org/officeDocument/2006/relationships/image" Target="../media/image12.jpeg"/></Relationships>
</file>

<file path=xl/charts/_rels/chart82.xml.rels><?xml version="1.0" encoding="UTF-8" standalone="yes"?>
<Relationships xmlns="http://schemas.openxmlformats.org/package/2006/relationships"><Relationship Id="rId1" Type="http://schemas.openxmlformats.org/officeDocument/2006/relationships/image" Target="../media/image12.jpeg"/></Relationships>
</file>

<file path=xl/charts/_rels/chart83.xml.rels><?xml version="1.0" encoding="UTF-8" standalone="yes"?>
<Relationships xmlns="http://schemas.openxmlformats.org/package/2006/relationships"><Relationship Id="rId1" Type="http://schemas.openxmlformats.org/officeDocument/2006/relationships/image" Target="../media/image12.jpeg"/></Relationships>
</file>

<file path=xl/charts/_rels/chart84.xml.rels><?xml version="1.0" encoding="UTF-8" standalone="yes"?>
<Relationships xmlns="http://schemas.openxmlformats.org/package/2006/relationships"><Relationship Id="rId1" Type="http://schemas.openxmlformats.org/officeDocument/2006/relationships/image" Target="../media/image12.jpeg"/></Relationships>
</file>

<file path=xl/charts/_rels/chart85.xml.rels><?xml version="1.0" encoding="UTF-8" standalone="yes"?>
<Relationships xmlns="http://schemas.openxmlformats.org/package/2006/relationships"><Relationship Id="rId1" Type="http://schemas.openxmlformats.org/officeDocument/2006/relationships/image" Target="../media/image12.jpeg"/></Relationships>
</file>

<file path=xl/charts/_rels/chart86.xml.rels><?xml version="1.0" encoding="UTF-8" standalone="yes"?>
<Relationships xmlns="http://schemas.openxmlformats.org/package/2006/relationships"><Relationship Id="rId1" Type="http://schemas.openxmlformats.org/officeDocument/2006/relationships/image" Target="../media/image12.jpeg"/></Relationships>
</file>

<file path=xl/charts/_rels/chart87.xml.rels><?xml version="1.0" encoding="UTF-8" standalone="yes"?>
<Relationships xmlns="http://schemas.openxmlformats.org/package/2006/relationships"><Relationship Id="rId1" Type="http://schemas.openxmlformats.org/officeDocument/2006/relationships/image" Target="../media/image13.jpeg"/></Relationships>
</file>

<file path=xl/charts/_rels/chart88.xml.rels><?xml version="1.0" encoding="UTF-8" standalone="yes"?>
<Relationships xmlns="http://schemas.openxmlformats.org/package/2006/relationships"><Relationship Id="rId1" Type="http://schemas.openxmlformats.org/officeDocument/2006/relationships/image" Target="../media/image13.jpeg"/></Relationships>
</file>

<file path=xl/charts/_rels/chart89.xml.rels><?xml version="1.0" encoding="UTF-8" standalone="yes"?>
<Relationships xmlns="http://schemas.openxmlformats.org/package/2006/relationships"><Relationship Id="rId1" Type="http://schemas.openxmlformats.org/officeDocument/2006/relationships/image" Target="../media/image13.jpeg"/></Relationships>
</file>

<file path=xl/charts/_rels/chart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charts/_rels/chart90.xml.rels><?xml version="1.0" encoding="UTF-8" standalone="yes"?>
<Relationships xmlns="http://schemas.openxmlformats.org/package/2006/relationships"><Relationship Id="rId1" Type="http://schemas.openxmlformats.org/officeDocument/2006/relationships/image" Target="../media/image12.jpeg"/></Relationships>
</file>

<file path=xl/charts/_rels/chart91.xml.rels><?xml version="1.0" encoding="UTF-8" standalone="yes"?>
<Relationships xmlns="http://schemas.openxmlformats.org/package/2006/relationships"><Relationship Id="rId1" Type="http://schemas.openxmlformats.org/officeDocument/2006/relationships/image" Target="../media/image12.jpeg"/></Relationships>
</file>

<file path=xl/charts/_rels/chart92.xml.rels><?xml version="1.0" encoding="UTF-8" standalone="yes"?>
<Relationships xmlns="http://schemas.openxmlformats.org/package/2006/relationships"><Relationship Id="rId1" Type="http://schemas.openxmlformats.org/officeDocument/2006/relationships/image" Target="../media/image12.jpeg"/></Relationships>
</file>

<file path=xl/charts/_rels/chart93.xml.rels><?xml version="1.0" encoding="UTF-8" standalone="yes"?>
<Relationships xmlns="http://schemas.openxmlformats.org/package/2006/relationships"><Relationship Id="rId1" Type="http://schemas.openxmlformats.org/officeDocument/2006/relationships/image" Target="../media/image12.jpeg"/></Relationships>
</file>

<file path=xl/charts/_rels/chart94.xml.rels><?xml version="1.0" encoding="UTF-8" standalone="yes"?>
<Relationships xmlns="http://schemas.openxmlformats.org/package/2006/relationships"><Relationship Id="rId1" Type="http://schemas.openxmlformats.org/officeDocument/2006/relationships/image" Target="../media/image12.jpeg"/></Relationships>
</file>

<file path=xl/charts/_rels/chart95.xml.rels><?xml version="1.0" encoding="UTF-8" standalone="yes"?>
<Relationships xmlns="http://schemas.openxmlformats.org/package/2006/relationships"><Relationship Id="rId1" Type="http://schemas.openxmlformats.org/officeDocument/2006/relationships/image" Target="../media/image12.jpeg"/></Relationships>
</file>

<file path=xl/charts/_rels/chart96.xml.rels><?xml version="1.0" encoding="UTF-8" standalone="yes"?>
<Relationships xmlns="http://schemas.openxmlformats.org/package/2006/relationships"><Relationship Id="rId1" Type="http://schemas.openxmlformats.org/officeDocument/2006/relationships/image" Target="../media/image12.jpeg"/></Relationships>
</file>

<file path=xl/charts/_rels/chart97.xml.rels><?xml version="1.0" encoding="UTF-8" standalone="yes"?>
<Relationships xmlns="http://schemas.openxmlformats.org/package/2006/relationships"><Relationship Id="rId1" Type="http://schemas.openxmlformats.org/officeDocument/2006/relationships/image" Target="../media/image12.jpeg"/></Relationships>
</file>

<file path=xl/charts/_rels/chart98.xml.rels><?xml version="1.0" encoding="UTF-8" standalone="yes"?>
<Relationships xmlns="http://schemas.openxmlformats.org/package/2006/relationships"><Relationship Id="rId1" Type="http://schemas.openxmlformats.org/officeDocument/2006/relationships/image" Target="../media/image12.jpeg"/></Relationships>
</file>

<file path=xl/charts/_rels/chart99.xml.rels><?xml version="1.0" encoding="UTF-8" standalone="yes"?>
<Relationships xmlns="http://schemas.openxmlformats.org/package/2006/relationships"><Relationship Id="rId1" Type="http://schemas.openxmlformats.org/officeDocument/2006/relationships/image" Target="../media/image12.jpeg"/></Relationships>
</file>

<file path=xl/charts/chart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3333817742151123E-2"/>
          <c:w val="0.91639871382636651"/>
          <c:h val="0.72619469746731746"/>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'結果(改修後)'!$X$59:$X$61</c:f>
              <c:strCache>
                <c:ptCount val="3"/>
                <c:pt idx="0">
                  <c:v>地球温暖化への配慮</c:v>
                </c:pt>
                <c:pt idx="1">
                  <c:v>地域環境への配慮</c:v>
                </c:pt>
                <c:pt idx="2">
                  <c:v>周辺環境への配慮</c:v>
                </c:pt>
              </c:strCache>
            </c:strRef>
          </c:cat>
          <c:val>
            <c:numRef>
              <c:f>'結果(改修後)'!$Y$59:$Y$61</c:f>
              <c:numCache>
                <c:formatCode>0.0_ </c:formatCode>
                <c:ptCount val="3"/>
                <c:pt idx="0">
                  <c:v>0</c:v>
                </c:pt>
                <c:pt idx="1">
                  <c:v>0</c:v>
                </c:pt>
                <c:pt idx="2">
                  <c:v>0</c:v>
                </c:pt>
              </c:numCache>
            </c:numRef>
          </c:val>
        </c:ser>
        <c:dLbls>
          <c:showVal val="1"/>
        </c:dLbls>
        <c:gapWidth val="70"/>
        <c:axId val="79608064"/>
        <c:axId val="79613952"/>
      </c:barChart>
      <c:catAx>
        <c:axId val="79608064"/>
        <c:scaling>
          <c:orientation val="minMax"/>
        </c:scaling>
        <c:axPos val="b"/>
        <c:numFmt formatCode="General" sourceLinked="1"/>
        <c:majorTickMark val="none"/>
        <c:tickLblPos val="none"/>
        <c:spPr>
          <a:ln w="3175">
            <a:solidFill>
              <a:srgbClr val="000000"/>
            </a:solidFill>
            <a:prstDash val="solid"/>
          </a:ln>
        </c:spPr>
        <c:crossAx val="79613952"/>
        <c:crossesAt val="0"/>
        <c:auto val="1"/>
        <c:lblAlgn val="ctr"/>
        <c:lblOffset val="100"/>
        <c:tickMarkSkip val="1"/>
      </c:catAx>
      <c:valAx>
        <c:axId val="79613952"/>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9608064"/>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74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'結果(改修後)'!$R$35</c:f>
              <c:strCache>
                <c:ptCount val="1"/>
                <c:pt idx="0">
                  <c:v>Rank(green star)</c:v>
                </c:pt>
              </c:strCache>
            </c:strRef>
          </c:cat>
          <c:val>
            <c:numRef>
              <c:f>'結果(改修後)'!$S$35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'結果(改修後)'!$R$35</c:f>
              <c:strCache>
                <c:ptCount val="1"/>
                <c:pt idx="0">
                  <c:v>Rank(green star)</c:v>
                </c:pt>
              </c:strCache>
            </c:strRef>
          </c:cat>
          <c:val>
            <c:numRef>
              <c:f>'結果(改修後)'!$S$36</c:f>
              <c:numCache>
                <c:formatCode>#,##0.0;[Red]\-#,##0.0</c:formatCode>
                <c:ptCount val="1"/>
                <c:pt idx="0">
                  <c:v>0</c:v>
                </c:pt>
              </c:numCache>
            </c:numRef>
          </c:val>
        </c:ser>
        <c:gapWidth val="50"/>
        <c:overlap val="100"/>
        <c:axId val="90337664"/>
        <c:axId val="90339200"/>
      </c:barChart>
      <c:catAx>
        <c:axId val="90337664"/>
        <c:scaling>
          <c:orientation val="minMax"/>
        </c:scaling>
        <c:delete val="1"/>
        <c:axPos val="l"/>
        <c:numFmt formatCode="General" sourceLinked="1"/>
        <c:tickLblPos val="none"/>
        <c:crossAx val="90339200"/>
        <c:crosses val="autoZero"/>
        <c:auto val="1"/>
        <c:lblAlgn val="ctr"/>
        <c:lblOffset val="100"/>
      </c:catAx>
      <c:valAx>
        <c:axId val="90339200"/>
        <c:scaling>
          <c:orientation val="minMax"/>
        </c:scaling>
        <c:delete val="1"/>
        <c:axPos val="b"/>
        <c:numFmt formatCode="0%" sourceLinked="1"/>
        <c:tickLblPos val="none"/>
        <c:crossAx val="90337664"/>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178944"/>
        <c:axId val="116180480"/>
      </c:barChart>
      <c:catAx>
        <c:axId val="116178944"/>
        <c:scaling>
          <c:orientation val="minMax"/>
        </c:scaling>
        <c:delete val="1"/>
        <c:axPos val="l"/>
        <c:tickLblPos val="none"/>
        <c:crossAx val="116180480"/>
        <c:crossesAt val="0"/>
        <c:auto val="1"/>
        <c:lblAlgn val="ctr"/>
        <c:lblOffset val="100"/>
      </c:catAx>
      <c:valAx>
        <c:axId val="1161804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1789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203904"/>
        <c:axId val="116205440"/>
      </c:barChart>
      <c:catAx>
        <c:axId val="116203904"/>
        <c:scaling>
          <c:orientation val="minMax"/>
        </c:scaling>
        <c:delete val="1"/>
        <c:axPos val="l"/>
        <c:tickLblPos val="none"/>
        <c:crossAx val="116205440"/>
        <c:crossesAt val="0"/>
        <c:auto val="1"/>
        <c:lblAlgn val="ctr"/>
        <c:lblOffset val="100"/>
      </c:catAx>
      <c:valAx>
        <c:axId val="1162054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2039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228864"/>
        <c:axId val="116230400"/>
      </c:barChart>
      <c:catAx>
        <c:axId val="116228864"/>
        <c:scaling>
          <c:orientation val="minMax"/>
        </c:scaling>
        <c:delete val="1"/>
        <c:axPos val="l"/>
        <c:tickLblPos val="none"/>
        <c:crossAx val="116230400"/>
        <c:crossesAt val="0"/>
        <c:auto val="1"/>
        <c:lblAlgn val="ctr"/>
        <c:lblOffset val="100"/>
      </c:catAx>
      <c:valAx>
        <c:axId val="1162304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2288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257920"/>
        <c:axId val="116259456"/>
      </c:barChart>
      <c:catAx>
        <c:axId val="116257920"/>
        <c:scaling>
          <c:orientation val="minMax"/>
        </c:scaling>
        <c:delete val="1"/>
        <c:axPos val="l"/>
        <c:tickLblPos val="none"/>
        <c:crossAx val="116259456"/>
        <c:crossesAt val="0"/>
        <c:auto val="1"/>
        <c:lblAlgn val="ctr"/>
        <c:lblOffset val="100"/>
      </c:catAx>
      <c:valAx>
        <c:axId val="1162594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2579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090368"/>
        <c:axId val="116091904"/>
      </c:barChart>
      <c:catAx>
        <c:axId val="116090368"/>
        <c:scaling>
          <c:orientation val="minMax"/>
        </c:scaling>
        <c:delete val="1"/>
        <c:axPos val="l"/>
        <c:tickLblPos val="none"/>
        <c:crossAx val="116091904"/>
        <c:crossesAt val="0"/>
        <c:auto val="1"/>
        <c:lblAlgn val="ctr"/>
        <c:lblOffset val="100"/>
      </c:catAx>
      <c:valAx>
        <c:axId val="11609190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0903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6107136"/>
        <c:axId val="116108672"/>
      </c:barChart>
      <c:catAx>
        <c:axId val="116107136"/>
        <c:scaling>
          <c:orientation val="minMax"/>
        </c:scaling>
        <c:delete val="1"/>
        <c:axPos val="l"/>
        <c:tickLblPos val="none"/>
        <c:crossAx val="116108672"/>
        <c:crossesAt val="0"/>
        <c:auto val="1"/>
        <c:lblAlgn val="ctr"/>
        <c:lblOffset val="100"/>
      </c:catAx>
      <c:valAx>
        <c:axId val="1161086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1071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7586176"/>
        <c:axId val="117592064"/>
      </c:barChart>
      <c:catAx>
        <c:axId val="117586176"/>
        <c:scaling>
          <c:orientation val="minMax"/>
        </c:scaling>
        <c:delete val="1"/>
        <c:axPos val="l"/>
        <c:tickLblPos val="none"/>
        <c:crossAx val="117592064"/>
        <c:crossesAt val="0"/>
        <c:auto val="1"/>
        <c:lblAlgn val="ctr"/>
        <c:lblOffset val="100"/>
      </c:catAx>
      <c:valAx>
        <c:axId val="1175920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5861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7602944"/>
        <c:axId val="117604736"/>
      </c:barChart>
      <c:catAx>
        <c:axId val="117602944"/>
        <c:scaling>
          <c:orientation val="minMax"/>
        </c:scaling>
        <c:delete val="1"/>
        <c:axPos val="l"/>
        <c:tickLblPos val="none"/>
        <c:crossAx val="117604736"/>
        <c:crossesAt val="0"/>
        <c:auto val="1"/>
        <c:lblAlgn val="ctr"/>
        <c:lblOffset val="100"/>
      </c:catAx>
      <c:valAx>
        <c:axId val="1176047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6029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7853184"/>
        <c:axId val="117859072"/>
      </c:barChart>
      <c:catAx>
        <c:axId val="117853184"/>
        <c:scaling>
          <c:orientation val="minMax"/>
        </c:scaling>
        <c:delete val="1"/>
        <c:axPos val="l"/>
        <c:tickLblPos val="none"/>
        <c:crossAx val="117859072"/>
        <c:crossesAt val="0"/>
        <c:auto val="1"/>
        <c:lblAlgn val="ctr"/>
        <c:lblOffset val="100"/>
      </c:catAx>
      <c:valAx>
        <c:axId val="1178590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8531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7865856"/>
        <c:axId val="117892224"/>
      </c:barChart>
      <c:catAx>
        <c:axId val="117865856"/>
        <c:scaling>
          <c:orientation val="minMax"/>
        </c:scaling>
        <c:delete val="1"/>
        <c:axPos val="l"/>
        <c:tickLblPos val="none"/>
        <c:crossAx val="117892224"/>
        <c:crossesAt val="0"/>
        <c:auto val="1"/>
        <c:lblAlgn val="ctr"/>
        <c:lblOffset val="100"/>
      </c:catAx>
      <c:valAx>
        <c:axId val="1178922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8658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3435214089363102E-2"/>
          <c:y val="0.13294797687861271"/>
          <c:w val="0.89694823650002431"/>
          <c:h val="0.68208092485549132"/>
        </c:manualLayout>
      </c:layout>
      <c:barChart>
        <c:barDir val="bar"/>
        <c:grouping val="stacked"/>
        <c:ser>
          <c:idx val="0"/>
          <c:order val="0"/>
          <c:tx>
            <c:strRef>
              <c:f>'結果(改修後)'!$S$38</c:f>
              <c:strCache>
                <c:ptCount val="1"/>
                <c:pt idx="0">
                  <c:v>建設</c:v>
                </c:pt>
              </c:strCache>
            </c:strRef>
          </c:tx>
          <c:spPr>
            <a:solidFill>
              <a:srgbClr val="9999FF"/>
            </a:solidFill>
            <a:ln w="12700">
              <a:solidFill>
                <a:srgbClr val="000000"/>
              </a:solidFill>
              <a:prstDash val="solid"/>
            </a:ln>
          </c:spPr>
          <c:dPt>
            <c:idx val="0"/>
            <c:spPr>
              <a:solidFill>
                <a:srgbClr val="9999FF"/>
              </a:solidFill>
              <a:ln w="12700">
                <a:solidFill>
                  <a:srgbClr val="000000"/>
                </a:solidFill>
                <a:prstDash val="sysDash"/>
              </a:ln>
            </c:spPr>
          </c:dPt>
          <c:val>
            <c:numRef>
              <c:f>'結果(改修後)'!$S$39:$S$42</c:f>
              <c:numCache>
                <c:formatCode>General</c:formatCode>
                <c:ptCount val="4"/>
                <c:pt idx="0">
                  <c:v>0</c:v>
                </c:pt>
                <c:pt idx="1">
                  <c:v>0</c:v>
                </c:pt>
              </c:numCache>
            </c:numRef>
          </c:val>
        </c:ser>
        <c:ser>
          <c:idx val="1"/>
          <c:order val="1"/>
          <c:tx>
            <c:strRef>
              <c:f>'結果(改修後)'!$T$38</c:f>
              <c:strCache>
                <c:ptCount val="1"/>
                <c:pt idx="0">
                  <c:v>修繕・更新・解体</c:v>
                </c:pt>
              </c:strCache>
            </c:strRef>
          </c:tx>
          <c:spPr>
            <a:solidFill>
              <a:srgbClr val="99CC00"/>
            </a:solidFill>
            <a:ln w="12700">
              <a:solidFill>
                <a:srgbClr val="000000"/>
              </a:solidFill>
              <a:prstDash val="solid"/>
            </a:ln>
          </c:spPr>
          <c:dPt>
            <c:idx val="0"/>
            <c:spPr>
              <a:solidFill>
                <a:srgbClr val="99CC00"/>
              </a:solidFill>
              <a:ln w="12700">
                <a:solidFill>
                  <a:srgbClr val="000000"/>
                </a:solidFill>
                <a:prstDash val="sysDash"/>
              </a:ln>
            </c:spPr>
          </c:dPt>
          <c:val>
            <c:numRef>
              <c:f>'結果(改修後)'!$T$39:$T$42</c:f>
              <c:numCache>
                <c:formatCode>General</c:formatCode>
                <c:ptCount val="4"/>
                <c:pt idx="0">
                  <c:v>0</c:v>
                </c:pt>
                <c:pt idx="1">
                  <c:v>0</c:v>
                </c:pt>
              </c:numCache>
            </c:numRef>
          </c:val>
        </c:ser>
        <c:ser>
          <c:idx val="2"/>
          <c:order val="2"/>
          <c:tx>
            <c:strRef>
              <c:f>'結果(改修後)'!$U$38</c:f>
              <c:strCache>
                <c:ptCount val="1"/>
                <c:pt idx="0">
                  <c:v>運用</c:v>
                </c:pt>
              </c:strCache>
            </c:strRef>
          </c:tx>
          <c:spPr>
            <a:solidFill>
              <a:srgbClr val="FFFFCC"/>
            </a:solidFill>
            <a:ln w="12700">
              <a:solidFill>
                <a:srgbClr val="000000"/>
              </a:solidFill>
              <a:prstDash val="solid"/>
            </a:ln>
          </c:spPr>
          <c:dPt>
            <c:idx val="0"/>
            <c:spPr>
              <a:solidFill>
                <a:srgbClr val="FFFFCC"/>
              </a:solidFill>
              <a:ln w="12700">
                <a:solidFill>
                  <a:srgbClr val="000000"/>
                </a:solidFill>
                <a:prstDash val="sysDash"/>
              </a:ln>
            </c:spPr>
          </c:dPt>
          <c:val>
            <c:numRef>
              <c:f>'結果(改修後)'!$U$39:$U$42</c:f>
              <c:numCache>
                <c:formatCode>General</c:formatCode>
                <c:ptCount val="4"/>
                <c:pt idx="0">
                  <c:v>0</c:v>
                </c:pt>
                <c:pt idx="1">
                  <c:v>0</c:v>
                </c:pt>
              </c:numCache>
            </c:numRef>
          </c:val>
        </c:ser>
        <c:ser>
          <c:idx val="3"/>
          <c:order val="3"/>
          <c:tx>
            <c:strRef>
              <c:f>'結果(改修後)'!$V$38</c:f>
              <c:strCache>
                <c:ptCount val="1"/>
                <c:pt idx="0">
                  <c:v>オンサイト</c:v>
                </c:pt>
              </c:strCache>
            </c:strRef>
          </c:tx>
          <c:spPr>
            <a:solidFill>
              <a:srgbClr val="969696"/>
            </a:solidFill>
            <a:ln w="12700">
              <a:solidFill>
                <a:srgbClr val="000000"/>
              </a:solidFill>
              <a:prstDash val="solid"/>
            </a:ln>
          </c:spPr>
          <c:val>
            <c:numRef>
              <c:f>'結果(改修後)'!$V$39:$V$42</c:f>
              <c:numCache>
                <c:formatCode>General</c:formatCode>
                <c:ptCount val="4"/>
                <c:pt idx="2">
                  <c:v>0</c:v>
                </c:pt>
              </c:numCache>
            </c:numRef>
          </c:val>
        </c:ser>
        <c:ser>
          <c:idx val="4"/>
          <c:order val="4"/>
          <c:tx>
            <c:strRef>
              <c:f>'結果(改修後)'!$W$38</c:f>
              <c:strCache>
                <c:ptCount val="1"/>
                <c:pt idx="0">
                  <c:v>オフサイト</c:v>
                </c:pt>
              </c:strCache>
            </c:strRef>
          </c:tx>
          <c:spPr>
            <a:pattFill prst="pct60">
              <a:fgClr>
                <a:srgbClr val="C0C0C0"/>
              </a:fgClr>
              <a:bgClr>
                <a:srgbClr val="FFFFFF"/>
              </a:bgClr>
            </a:pattFill>
            <a:ln w="12700">
              <a:solidFill>
                <a:srgbClr val="000000"/>
              </a:solidFill>
              <a:prstDash val="solid"/>
            </a:ln>
          </c:spPr>
          <c:val>
            <c:numRef>
              <c:f>'結果(改修後)'!$W$39:$W$42</c:f>
              <c:numCache>
                <c:formatCode>General</c:formatCode>
                <c:ptCount val="4"/>
                <c:pt idx="3">
                  <c:v>0</c:v>
                </c:pt>
              </c:numCache>
            </c:numRef>
          </c:val>
        </c:ser>
        <c:gapWidth val="50"/>
        <c:overlap val="100"/>
        <c:axId val="90399872"/>
        <c:axId val="90401408"/>
      </c:barChart>
      <c:catAx>
        <c:axId val="90399872"/>
        <c:scaling>
          <c:orientation val="maxMin"/>
        </c:scaling>
        <c:delete val="1"/>
        <c:axPos val="l"/>
        <c:tickLblPos val="none"/>
        <c:crossAx val="90401408"/>
        <c:crosses val="autoZero"/>
        <c:auto val="1"/>
        <c:lblAlgn val="ctr"/>
        <c:lblOffset val="100"/>
      </c:catAx>
      <c:valAx>
        <c:axId val="90401408"/>
        <c:scaling>
          <c:orientation val="minMax"/>
        </c:scaling>
        <c:axPos val="b"/>
        <c:majorGridlines>
          <c:spPr>
            <a:ln w="3175">
              <a:solidFill>
                <a:srgbClr val="80808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0399872"/>
        <c:crosses val="max"/>
        <c:crossBetween val="between"/>
      </c:valAx>
      <c:spPr>
        <a:noFill/>
        <a:ln w="3175">
          <a:solidFill>
            <a:srgbClr val="000000"/>
          </a:solidFill>
          <a:prstDash val="solid"/>
        </a:ln>
      </c:spPr>
    </c:plotArea>
    <c:legend>
      <c:legendPos val="t"/>
      <c:layout>
        <c:manualLayout>
          <c:xMode val="edge"/>
          <c:yMode val="edge"/>
          <c:x val="3.43512090574477E-2"/>
          <c:y val="2.8901734104046239E-2"/>
          <c:w val="0.950383450589387"/>
          <c:h val="8.0924855491329661E-2"/>
        </c:manualLayout>
      </c:layout>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0"/>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7796864"/>
        <c:axId val="117798400"/>
      </c:barChart>
      <c:catAx>
        <c:axId val="117796864"/>
        <c:scaling>
          <c:orientation val="minMax"/>
        </c:scaling>
        <c:delete val="1"/>
        <c:axPos val="l"/>
        <c:tickLblPos val="none"/>
        <c:crossAx val="117798400"/>
        <c:crossesAt val="0"/>
        <c:auto val="1"/>
        <c:lblAlgn val="ctr"/>
        <c:lblOffset val="100"/>
      </c:catAx>
      <c:valAx>
        <c:axId val="1177984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7968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7821824"/>
        <c:axId val="117823360"/>
      </c:barChart>
      <c:catAx>
        <c:axId val="117821824"/>
        <c:scaling>
          <c:orientation val="minMax"/>
        </c:scaling>
        <c:delete val="1"/>
        <c:axPos val="l"/>
        <c:tickLblPos val="none"/>
        <c:crossAx val="117823360"/>
        <c:crossesAt val="0"/>
        <c:auto val="1"/>
        <c:lblAlgn val="ctr"/>
        <c:lblOffset val="100"/>
      </c:catAx>
      <c:valAx>
        <c:axId val="1178233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8218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7908224"/>
        <c:axId val="117909760"/>
      </c:barChart>
      <c:catAx>
        <c:axId val="117908224"/>
        <c:scaling>
          <c:orientation val="minMax"/>
        </c:scaling>
        <c:delete val="1"/>
        <c:axPos val="l"/>
        <c:tickLblPos val="none"/>
        <c:crossAx val="117909760"/>
        <c:crossesAt val="0"/>
        <c:auto val="1"/>
        <c:lblAlgn val="ctr"/>
        <c:lblOffset val="100"/>
      </c:catAx>
      <c:valAx>
        <c:axId val="1179097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9082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7933184"/>
        <c:axId val="117934720"/>
      </c:barChart>
      <c:catAx>
        <c:axId val="117933184"/>
        <c:scaling>
          <c:orientation val="minMax"/>
        </c:scaling>
        <c:delete val="1"/>
        <c:axPos val="l"/>
        <c:tickLblPos val="none"/>
        <c:crossAx val="117934720"/>
        <c:crossesAt val="0"/>
        <c:auto val="1"/>
        <c:lblAlgn val="ctr"/>
        <c:lblOffset val="100"/>
      </c:catAx>
      <c:valAx>
        <c:axId val="1179347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9331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7966720"/>
        <c:axId val="117968256"/>
      </c:barChart>
      <c:catAx>
        <c:axId val="117966720"/>
        <c:scaling>
          <c:orientation val="minMax"/>
        </c:scaling>
        <c:delete val="1"/>
        <c:axPos val="l"/>
        <c:tickLblPos val="none"/>
        <c:crossAx val="117968256"/>
        <c:crossesAt val="0"/>
        <c:auto val="1"/>
        <c:lblAlgn val="ctr"/>
        <c:lblOffset val="100"/>
      </c:catAx>
      <c:valAx>
        <c:axId val="1179682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9667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7983488"/>
        <c:axId val="118009856"/>
      </c:barChart>
      <c:catAx>
        <c:axId val="117983488"/>
        <c:scaling>
          <c:orientation val="minMax"/>
        </c:scaling>
        <c:delete val="1"/>
        <c:axPos val="l"/>
        <c:tickLblPos val="none"/>
        <c:crossAx val="118009856"/>
        <c:crossesAt val="0"/>
        <c:auto val="1"/>
        <c:lblAlgn val="ctr"/>
        <c:lblOffset val="100"/>
      </c:catAx>
      <c:valAx>
        <c:axId val="1180098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798348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9151232"/>
        <c:axId val="119157120"/>
      </c:barChart>
      <c:catAx>
        <c:axId val="119151232"/>
        <c:scaling>
          <c:orientation val="minMax"/>
        </c:scaling>
        <c:delete val="1"/>
        <c:axPos val="l"/>
        <c:tickLblPos val="none"/>
        <c:crossAx val="119157120"/>
        <c:crossesAt val="0"/>
        <c:auto val="1"/>
        <c:lblAlgn val="ctr"/>
        <c:lblOffset val="100"/>
      </c:catAx>
      <c:valAx>
        <c:axId val="1191571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1512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9168000"/>
        <c:axId val="119177984"/>
      </c:barChart>
      <c:catAx>
        <c:axId val="119168000"/>
        <c:scaling>
          <c:orientation val="minMax"/>
        </c:scaling>
        <c:delete val="1"/>
        <c:axPos val="l"/>
        <c:tickLblPos val="none"/>
        <c:crossAx val="119177984"/>
        <c:crossesAt val="0"/>
        <c:auto val="1"/>
        <c:lblAlgn val="ctr"/>
        <c:lblOffset val="100"/>
      </c:catAx>
      <c:valAx>
        <c:axId val="11917798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1680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9201152"/>
        <c:axId val="119223424"/>
      </c:barChart>
      <c:catAx>
        <c:axId val="119201152"/>
        <c:scaling>
          <c:orientation val="minMax"/>
        </c:scaling>
        <c:delete val="1"/>
        <c:axPos val="l"/>
        <c:tickLblPos val="none"/>
        <c:crossAx val="119223424"/>
        <c:crossesAt val="0"/>
        <c:auto val="1"/>
        <c:lblAlgn val="ctr"/>
        <c:lblOffset val="100"/>
      </c:catAx>
      <c:valAx>
        <c:axId val="1192234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20115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9255040"/>
        <c:axId val="119256576"/>
      </c:barChart>
      <c:catAx>
        <c:axId val="119255040"/>
        <c:scaling>
          <c:orientation val="minMax"/>
        </c:scaling>
        <c:delete val="1"/>
        <c:axPos val="l"/>
        <c:tickLblPos val="none"/>
        <c:crossAx val="119256576"/>
        <c:crossesAt val="0"/>
        <c:auto val="1"/>
        <c:lblAlgn val="ctr"/>
        <c:lblOffset val="100"/>
      </c:catAx>
      <c:valAx>
        <c:axId val="11925657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25504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3333817742151123E-2"/>
          <c:w val="0.91639871382636651"/>
          <c:h val="0.72619469746731746"/>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4"/>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5"/>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'結果(改修前)'!$X$59:$X$61</c:f>
              <c:strCache>
                <c:ptCount val="3"/>
                <c:pt idx="0">
                  <c:v>地球温暖化への配慮</c:v>
                </c:pt>
                <c:pt idx="1">
                  <c:v>地域環境への配慮</c:v>
                </c:pt>
                <c:pt idx="2">
                  <c:v>周辺環境への配慮</c:v>
                </c:pt>
              </c:strCache>
            </c:strRef>
          </c:cat>
          <c:val>
            <c:numRef>
              <c:f>'結果(改修前)'!$Y$59:$Y$61</c:f>
              <c:numCache>
                <c:formatCode>0.0_ </c:formatCode>
                <c:ptCount val="3"/>
                <c:pt idx="0">
                  <c:v>0</c:v>
                </c:pt>
                <c:pt idx="1">
                  <c:v>0</c:v>
                </c:pt>
                <c:pt idx="2">
                  <c:v>0</c:v>
                </c:pt>
              </c:numCache>
            </c:numRef>
          </c:val>
        </c:ser>
        <c:dLbls>
          <c:showVal val="1"/>
        </c:dLbls>
        <c:gapWidth val="70"/>
        <c:axId val="90779008"/>
        <c:axId val="90780800"/>
      </c:barChart>
      <c:catAx>
        <c:axId val="90779008"/>
        <c:scaling>
          <c:orientation val="minMax"/>
        </c:scaling>
        <c:axPos val="b"/>
        <c:numFmt formatCode="General" sourceLinked="1"/>
        <c:majorTickMark val="none"/>
        <c:tickLblPos val="none"/>
        <c:spPr>
          <a:ln w="3175">
            <a:solidFill>
              <a:srgbClr val="000000"/>
            </a:solidFill>
            <a:prstDash val="solid"/>
          </a:ln>
        </c:spPr>
        <c:crossAx val="90780800"/>
        <c:crossesAt val="0"/>
        <c:auto val="1"/>
        <c:lblAlgn val="ctr"/>
        <c:lblOffset val="100"/>
        <c:tickMarkSkip val="1"/>
      </c:catAx>
      <c:valAx>
        <c:axId val="9078080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779008"/>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357440"/>
        <c:axId val="119358976"/>
      </c:barChart>
      <c:catAx>
        <c:axId val="119357440"/>
        <c:scaling>
          <c:orientation val="minMax"/>
        </c:scaling>
        <c:delete val="1"/>
        <c:axPos val="l"/>
        <c:tickLblPos val="none"/>
        <c:crossAx val="119358976"/>
        <c:crossesAt val="0"/>
        <c:auto val="1"/>
        <c:lblAlgn val="ctr"/>
        <c:lblOffset val="100"/>
      </c:catAx>
      <c:valAx>
        <c:axId val="11935897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35744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382400"/>
        <c:axId val="119383936"/>
      </c:barChart>
      <c:catAx>
        <c:axId val="119382400"/>
        <c:scaling>
          <c:orientation val="minMax"/>
        </c:scaling>
        <c:delete val="1"/>
        <c:axPos val="l"/>
        <c:tickLblPos val="none"/>
        <c:crossAx val="119383936"/>
        <c:crossesAt val="0"/>
        <c:auto val="1"/>
        <c:lblAlgn val="ctr"/>
        <c:lblOffset val="100"/>
      </c:catAx>
      <c:valAx>
        <c:axId val="1193839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3824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403264"/>
        <c:axId val="119404800"/>
      </c:barChart>
      <c:catAx>
        <c:axId val="119403264"/>
        <c:scaling>
          <c:orientation val="minMax"/>
        </c:scaling>
        <c:delete val="1"/>
        <c:axPos val="l"/>
        <c:tickLblPos val="none"/>
        <c:crossAx val="119404800"/>
        <c:crossesAt val="0"/>
        <c:auto val="1"/>
        <c:lblAlgn val="ctr"/>
        <c:lblOffset val="100"/>
      </c:catAx>
      <c:valAx>
        <c:axId val="1194048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4032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297152"/>
        <c:axId val="119298688"/>
      </c:barChart>
      <c:catAx>
        <c:axId val="119297152"/>
        <c:scaling>
          <c:orientation val="minMax"/>
        </c:scaling>
        <c:delete val="1"/>
        <c:axPos val="l"/>
        <c:tickLblPos val="none"/>
        <c:crossAx val="119298688"/>
        <c:crossesAt val="0"/>
        <c:auto val="1"/>
        <c:lblAlgn val="ctr"/>
        <c:lblOffset val="100"/>
      </c:catAx>
      <c:valAx>
        <c:axId val="11929868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29715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334400"/>
        <c:axId val="119335936"/>
      </c:barChart>
      <c:catAx>
        <c:axId val="119334400"/>
        <c:scaling>
          <c:orientation val="minMax"/>
        </c:scaling>
        <c:delete val="1"/>
        <c:axPos val="l"/>
        <c:tickLblPos val="none"/>
        <c:crossAx val="119335936"/>
        <c:crossesAt val="0"/>
        <c:auto val="1"/>
        <c:lblAlgn val="ctr"/>
        <c:lblOffset val="100"/>
      </c:catAx>
      <c:valAx>
        <c:axId val="1193359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3344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9437184"/>
        <c:axId val="119438720"/>
      </c:barChart>
      <c:catAx>
        <c:axId val="119437184"/>
        <c:scaling>
          <c:orientation val="minMax"/>
        </c:scaling>
        <c:delete val="1"/>
        <c:axPos val="l"/>
        <c:tickLblPos val="none"/>
        <c:crossAx val="119438720"/>
        <c:crossesAt val="0"/>
        <c:auto val="1"/>
        <c:lblAlgn val="ctr"/>
        <c:lblOffset val="100"/>
      </c:catAx>
      <c:valAx>
        <c:axId val="1194387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4371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9466240"/>
        <c:axId val="119537664"/>
      </c:barChart>
      <c:catAx>
        <c:axId val="119466240"/>
        <c:scaling>
          <c:orientation val="minMax"/>
        </c:scaling>
        <c:delete val="1"/>
        <c:axPos val="l"/>
        <c:tickLblPos val="none"/>
        <c:crossAx val="119537664"/>
        <c:crossesAt val="0"/>
        <c:auto val="1"/>
        <c:lblAlgn val="ctr"/>
        <c:lblOffset val="100"/>
      </c:catAx>
      <c:valAx>
        <c:axId val="1195376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46624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9552640"/>
        <c:axId val="119558528"/>
      </c:barChart>
      <c:catAx>
        <c:axId val="119552640"/>
        <c:scaling>
          <c:orientation val="minMax"/>
        </c:scaling>
        <c:delete val="1"/>
        <c:axPos val="l"/>
        <c:tickLblPos val="none"/>
        <c:crossAx val="119558528"/>
        <c:crossesAt val="0"/>
        <c:auto val="1"/>
        <c:lblAlgn val="ctr"/>
        <c:lblOffset val="100"/>
      </c:catAx>
      <c:valAx>
        <c:axId val="1195585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55264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9573504"/>
        <c:axId val="119579392"/>
      </c:barChart>
      <c:catAx>
        <c:axId val="119573504"/>
        <c:scaling>
          <c:orientation val="minMax"/>
        </c:scaling>
        <c:delete val="1"/>
        <c:axPos val="l"/>
        <c:tickLblPos val="none"/>
        <c:crossAx val="119579392"/>
        <c:crossesAt val="0"/>
        <c:auto val="1"/>
        <c:lblAlgn val="ctr"/>
        <c:lblOffset val="100"/>
      </c:catAx>
      <c:valAx>
        <c:axId val="1195793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5735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9680384"/>
        <c:axId val="119686272"/>
      </c:barChart>
      <c:catAx>
        <c:axId val="119680384"/>
        <c:scaling>
          <c:orientation val="minMax"/>
        </c:scaling>
        <c:delete val="1"/>
        <c:axPos val="l"/>
        <c:tickLblPos val="none"/>
        <c:crossAx val="119686272"/>
        <c:crossesAt val="0"/>
        <c:auto val="1"/>
        <c:lblAlgn val="ctr"/>
        <c:lblOffset val="100"/>
      </c:catAx>
      <c:valAx>
        <c:axId val="1196862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6803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3954983922829592E-2"/>
          <c:y val="8.2840476032255514E-2"/>
          <c:w val="0.909967845659164"/>
          <c:h val="0.72781275371195886"/>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'結果(改修前)'!$U$59:$U$61</c:f>
              <c:strCache>
                <c:ptCount val="3"/>
                <c:pt idx="0">
                  <c:v>水資源</c:v>
                </c:pt>
                <c:pt idx="1">
                  <c:v>非再生性材料の削減</c:v>
                </c:pt>
                <c:pt idx="2">
                  <c:v>汚染物質回避</c:v>
                </c:pt>
              </c:strCache>
            </c:strRef>
          </c:cat>
          <c:val>
            <c:numRef>
              <c:f>'結果(改修前)'!$V$59:$V$61</c:f>
              <c:numCache>
                <c:formatCode>0.0_ </c:formatCode>
                <c:ptCount val="3"/>
                <c:pt idx="0">
                  <c:v>0</c:v>
                </c:pt>
                <c:pt idx="1">
                  <c:v>0</c:v>
                </c:pt>
                <c:pt idx="2">
                  <c:v>0</c:v>
                </c:pt>
              </c:numCache>
            </c:numRef>
          </c:val>
        </c:ser>
        <c:dLbls>
          <c:showVal val="1"/>
        </c:dLbls>
        <c:gapWidth val="70"/>
        <c:axId val="90806144"/>
        <c:axId val="90807680"/>
      </c:barChart>
      <c:catAx>
        <c:axId val="90806144"/>
        <c:scaling>
          <c:orientation val="minMax"/>
        </c:scaling>
        <c:axPos val="b"/>
        <c:numFmt formatCode="General" sourceLinked="1"/>
        <c:majorTickMark val="none"/>
        <c:tickLblPos val="none"/>
        <c:spPr>
          <a:ln w="3175">
            <a:solidFill>
              <a:srgbClr val="000000"/>
            </a:solidFill>
            <a:prstDash val="solid"/>
          </a:ln>
        </c:spPr>
        <c:crossAx val="90807680"/>
        <c:crossesAt val="0"/>
        <c:auto val="1"/>
        <c:lblAlgn val="ctr"/>
        <c:lblOffset val="100"/>
        <c:tickMarkSkip val="1"/>
      </c:catAx>
      <c:valAx>
        <c:axId val="9080768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806144"/>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horizontalDpi="-3" verticalDpi="-3"/>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721984"/>
        <c:axId val="119723520"/>
      </c:barChart>
      <c:catAx>
        <c:axId val="119721984"/>
        <c:scaling>
          <c:orientation val="minMax"/>
        </c:scaling>
        <c:delete val="1"/>
        <c:axPos val="l"/>
        <c:tickLblPos val="none"/>
        <c:crossAx val="119723520"/>
        <c:crossesAt val="0"/>
        <c:auto val="1"/>
        <c:lblAlgn val="ctr"/>
        <c:lblOffset val="100"/>
      </c:catAx>
      <c:valAx>
        <c:axId val="1197235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7219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607680"/>
        <c:axId val="119609216"/>
      </c:barChart>
      <c:catAx>
        <c:axId val="119607680"/>
        <c:scaling>
          <c:orientation val="minMax"/>
        </c:scaling>
        <c:delete val="1"/>
        <c:axPos val="l"/>
        <c:tickLblPos val="none"/>
        <c:crossAx val="119609216"/>
        <c:crossesAt val="0"/>
        <c:auto val="1"/>
        <c:lblAlgn val="ctr"/>
        <c:lblOffset val="100"/>
      </c:catAx>
      <c:valAx>
        <c:axId val="1196092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6076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653120"/>
        <c:axId val="119654656"/>
      </c:barChart>
      <c:catAx>
        <c:axId val="119653120"/>
        <c:scaling>
          <c:orientation val="minMax"/>
        </c:scaling>
        <c:delete val="1"/>
        <c:axPos val="l"/>
        <c:tickLblPos val="none"/>
        <c:crossAx val="119654656"/>
        <c:crossesAt val="0"/>
        <c:auto val="1"/>
        <c:lblAlgn val="ctr"/>
        <c:lblOffset val="100"/>
      </c:catAx>
      <c:valAx>
        <c:axId val="1196546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6531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743616"/>
        <c:axId val="119745152"/>
      </c:barChart>
      <c:catAx>
        <c:axId val="119743616"/>
        <c:scaling>
          <c:orientation val="minMax"/>
        </c:scaling>
        <c:delete val="1"/>
        <c:axPos val="l"/>
        <c:tickLblPos val="none"/>
        <c:crossAx val="119745152"/>
        <c:crossesAt val="0"/>
        <c:auto val="1"/>
        <c:lblAlgn val="ctr"/>
        <c:lblOffset val="100"/>
      </c:catAx>
      <c:valAx>
        <c:axId val="11974515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74361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764480"/>
        <c:axId val="119766016"/>
      </c:barChart>
      <c:catAx>
        <c:axId val="119764480"/>
        <c:scaling>
          <c:orientation val="minMax"/>
        </c:scaling>
        <c:delete val="1"/>
        <c:axPos val="l"/>
        <c:tickLblPos val="none"/>
        <c:crossAx val="119766016"/>
        <c:crossesAt val="0"/>
        <c:auto val="1"/>
        <c:lblAlgn val="ctr"/>
        <c:lblOffset val="100"/>
      </c:catAx>
      <c:valAx>
        <c:axId val="1197660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7644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871360"/>
        <c:axId val="119872896"/>
      </c:barChart>
      <c:catAx>
        <c:axId val="119871360"/>
        <c:scaling>
          <c:orientation val="minMax"/>
        </c:scaling>
        <c:delete val="1"/>
        <c:axPos val="l"/>
        <c:tickLblPos val="none"/>
        <c:crossAx val="119872896"/>
        <c:crossesAt val="0"/>
        <c:auto val="1"/>
        <c:lblAlgn val="ctr"/>
        <c:lblOffset val="100"/>
      </c:catAx>
      <c:valAx>
        <c:axId val="1198728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8713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904512"/>
        <c:axId val="119914496"/>
      </c:barChart>
      <c:catAx>
        <c:axId val="119904512"/>
        <c:scaling>
          <c:orientation val="minMax"/>
        </c:scaling>
        <c:delete val="1"/>
        <c:axPos val="l"/>
        <c:tickLblPos val="none"/>
        <c:crossAx val="119914496"/>
        <c:crossesAt val="0"/>
        <c:auto val="1"/>
        <c:lblAlgn val="ctr"/>
        <c:lblOffset val="100"/>
      </c:catAx>
      <c:valAx>
        <c:axId val="1199144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9045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925376"/>
        <c:axId val="119931264"/>
      </c:barChart>
      <c:catAx>
        <c:axId val="119925376"/>
        <c:scaling>
          <c:orientation val="minMax"/>
        </c:scaling>
        <c:delete val="1"/>
        <c:axPos val="l"/>
        <c:tickLblPos val="none"/>
        <c:crossAx val="119931264"/>
        <c:crossesAt val="0"/>
        <c:auto val="1"/>
        <c:lblAlgn val="ctr"/>
        <c:lblOffset val="100"/>
      </c:catAx>
      <c:valAx>
        <c:axId val="1199312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9253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938048"/>
        <c:axId val="119972608"/>
      </c:barChart>
      <c:catAx>
        <c:axId val="119938048"/>
        <c:scaling>
          <c:orientation val="minMax"/>
        </c:scaling>
        <c:delete val="1"/>
        <c:axPos val="l"/>
        <c:tickLblPos val="none"/>
        <c:crossAx val="119972608"/>
        <c:crossesAt val="0"/>
        <c:auto val="1"/>
        <c:lblAlgn val="ctr"/>
        <c:lblOffset val="100"/>
      </c:catAx>
      <c:valAx>
        <c:axId val="1199726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93804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9991680"/>
        <c:axId val="120005760"/>
      </c:barChart>
      <c:catAx>
        <c:axId val="119991680"/>
        <c:scaling>
          <c:orientation val="minMax"/>
        </c:scaling>
        <c:delete val="1"/>
        <c:axPos val="l"/>
        <c:tickLblPos val="none"/>
        <c:crossAx val="120005760"/>
        <c:crossesAt val="0"/>
        <c:auto val="1"/>
        <c:lblAlgn val="ctr"/>
        <c:lblOffset val="100"/>
      </c:catAx>
      <c:valAx>
        <c:axId val="1200057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99916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4896942111858494E-2"/>
          <c:y val="8.2352941176470712E-2"/>
          <c:w val="0.92330649459144132"/>
          <c:h val="0.72352941176470642"/>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'結果(改修前)'!$R$59:$R$62</c:f>
              <c:strCache>
                <c:ptCount val="4"/>
                <c:pt idx="0">
                  <c:v>熱負荷抑制</c:v>
                </c:pt>
                <c:pt idx="1">
                  <c:v>自然ｴﾈﾙｷﾞｰ</c:v>
                </c:pt>
                <c:pt idx="2">
                  <c:v>設備の効率的利用</c:v>
                </c:pt>
                <c:pt idx="3">
                  <c:v>運用ﾏﾈｼﾞﾒﾝﾄ</c:v>
                </c:pt>
              </c:strCache>
            </c:strRef>
          </c:cat>
          <c:val>
            <c:numRef>
              <c:f>'結果(改修前)'!$S$59:$S$62</c:f>
              <c:numCache>
                <c:formatCode>0.0_ </c:formatCode>
                <c:ptCount val="4"/>
                <c:pt idx="0">
                  <c:v>0</c:v>
                </c:pt>
                <c:pt idx="1">
                  <c:v>0</c:v>
                </c:pt>
                <c:pt idx="2">
                  <c:v>0</c:v>
                </c:pt>
                <c:pt idx="3">
                  <c:v>0</c:v>
                </c:pt>
              </c:numCache>
            </c:numRef>
          </c:val>
        </c:ser>
        <c:dLbls>
          <c:showVal val="1"/>
        </c:dLbls>
        <c:gapWidth val="40"/>
        <c:axId val="90726784"/>
        <c:axId val="90728320"/>
      </c:barChart>
      <c:catAx>
        <c:axId val="90726784"/>
        <c:scaling>
          <c:orientation val="minMax"/>
        </c:scaling>
        <c:axPos val="b"/>
        <c:numFmt formatCode="General" sourceLinked="1"/>
        <c:majorTickMark val="none"/>
        <c:tickLblPos val="none"/>
        <c:spPr>
          <a:ln w="3175">
            <a:solidFill>
              <a:srgbClr val="000000"/>
            </a:solidFill>
            <a:prstDash val="solid"/>
          </a:ln>
        </c:spPr>
        <c:crossAx val="90728320"/>
        <c:crossesAt val="0"/>
        <c:auto val="1"/>
        <c:lblAlgn val="ctr"/>
        <c:lblOffset val="100"/>
        <c:tickMarkSkip val="1"/>
      </c:catAx>
      <c:valAx>
        <c:axId val="9072832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726784"/>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独自ｼｽﾃﾑ_改修後!$Q$17</c:f>
              <c:numCache>
                <c:formatCode>General</c:formatCode>
                <c:ptCount val="1"/>
                <c:pt idx="0">
                  <c:v>0</c:v>
                </c:pt>
              </c:numCache>
            </c:numRef>
          </c:val>
        </c:ser>
        <c:gapWidth val="0"/>
        <c:axId val="120049664"/>
        <c:axId val="120051200"/>
      </c:barChart>
      <c:catAx>
        <c:axId val="120049664"/>
        <c:scaling>
          <c:orientation val="minMax"/>
        </c:scaling>
        <c:delete val="1"/>
        <c:axPos val="l"/>
        <c:tickLblPos val="none"/>
        <c:crossAx val="120051200"/>
        <c:crossesAt val="0"/>
        <c:auto val="1"/>
        <c:lblAlgn val="ctr"/>
        <c:lblOffset val="100"/>
      </c:catAx>
      <c:valAx>
        <c:axId val="1200512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049664"/>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6667534733525172E-2"/>
          <c:w val="0.95641265127366559"/>
          <c:h val="0.89334496542923736"/>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独自ｼｽﾃﾑ_改修後!$Q$20</c:f>
              <c:numCache>
                <c:formatCode>General</c:formatCode>
                <c:ptCount val="1"/>
                <c:pt idx="0">
                  <c:v>0</c:v>
                </c:pt>
              </c:numCache>
            </c:numRef>
          </c:val>
        </c:ser>
        <c:gapWidth val="0"/>
        <c:axId val="120136064"/>
        <c:axId val="120137600"/>
      </c:barChart>
      <c:catAx>
        <c:axId val="120136064"/>
        <c:scaling>
          <c:orientation val="minMax"/>
        </c:scaling>
        <c:delete val="1"/>
        <c:axPos val="l"/>
        <c:tickLblPos val="none"/>
        <c:crossAx val="120137600"/>
        <c:crossesAt val="0"/>
        <c:auto val="1"/>
        <c:lblAlgn val="ctr"/>
        <c:lblOffset val="100"/>
      </c:catAx>
      <c:valAx>
        <c:axId val="1201376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136064"/>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6667534733525172E-2"/>
          <c:w val="0.95641265127366559"/>
          <c:h val="0.89334496542923736"/>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独自ｼｽﾃﾑ_改修後!$Q$23</c:f>
              <c:numCache>
                <c:formatCode>General</c:formatCode>
                <c:ptCount val="1"/>
                <c:pt idx="0">
                  <c:v>0</c:v>
                </c:pt>
              </c:numCache>
            </c:numRef>
          </c:val>
        </c:ser>
        <c:gapWidth val="0"/>
        <c:axId val="120152832"/>
        <c:axId val="120154368"/>
      </c:barChart>
      <c:catAx>
        <c:axId val="120152832"/>
        <c:scaling>
          <c:orientation val="minMax"/>
        </c:scaling>
        <c:delete val="1"/>
        <c:axPos val="l"/>
        <c:tickLblPos val="none"/>
        <c:crossAx val="120154368"/>
        <c:crossesAt val="0"/>
        <c:auto val="1"/>
        <c:lblAlgn val="ctr"/>
        <c:lblOffset val="100"/>
      </c:catAx>
      <c:valAx>
        <c:axId val="1201543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152832"/>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0328064"/>
        <c:axId val="110333952"/>
      </c:barChart>
      <c:catAx>
        <c:axId val="110328064"/>
        <c:scaling>
          <c:orientation val="minMax"/>
        </c:scaling>
        <c:delete val="1"/>
        <c:axPos val="l"/>
        <c:tickLblPos val="none"/>
        <c:crossAx val="110333952"/>
        <c:crossesAt val="0"/>
        <c:auto val="1"/>
        <c:lblAlgn val="ctr"/>
        <c:lblOffset val="100"/>
      </c:catAx>
      <c:valAx>
        <c:axId val="11033395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3280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0361216"/>
        <c:axId val="107229568"/>
      </c:barChart>
      <c:catAx>
        <c:axId val="110361216"/>
        <c:scaling>
          <c:orientation val="minMax"/>
        </c:scaling>
        <c:delete val="1"/>
        <c:axPos val="l"/>
        <c:tickLblPos val="none"/>
        <c:crossAx val="107229568"/>
        <c:crossesAt val="0"/>
        <c:auto val="1"/>
        <c:lblAlgn val="ctr"/>
        <c:lblOffset val="100"/>
      </c:catAx>
      <c:valAx>
        <c:axId val="1072295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36121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07236352"/>
        <c:axId val="107246336"/>
      </c:barChart>
      <c:catAx>
        <c:axId val="107236352"/>
        <c:scaling>
          <c:orientation val="minMax"/>
        </c:scaling>
        <c:delete val="1"/>
        <c:axPos val="l"/>
        <c:tickLblPos val="none"/>
        <c:crossAx val="107246336"/>
        <c:crossesAt val="0"/>
        <c:auto val="1"/>
        <c:lblAlgn val="ctr"/>
        <c:lblOffset val="100"/>
      </c:catAx>
      <c:valAx>
        <c:axId val="1072463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0723635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07269504"/>
        <c:axId val="107271296"/>
      </c:barChart>
      <c:catAx>
        <c:axId val="107269504"/>
        <c:scaling>
          <c:orientation val="minMax"/>
        </c:scaling>
        <c:delete val="1"/>
        <c:axPos val="l"/>
        <c:tickLblPos val="none"/>
        <c:crossAx val="107271296"/>
        <c:crossesAt val="0"/>
        <c:auto val="1"/>
        <c:lblAlgn val="ctr"/>
        <c:lblOffset val="100"/>
      </c:catAx>
      <c:valAx>
        <c:axId val="1072712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072695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5052544"/>
        <c:axId val="115054080"/>
      </c:barChart>
      <c:catAx>
        <c:axId val="115052544"/>
        <c:scaling>
          <c:orientation val="minMax"/>
        </c:scaling>
        <c:delete val="1"/>
        <c:axPos val="l"/>
        <c:tickLblPos val="none"/>
        <c:crossAx val="115054080"/>
        <c:crossesAt val="0"/>
        <c:auto val="1"/>
        <c:lblAlgn val="ctr"/>
        <c:lblOffset val="100"/>
      </c:catAx>
      <c:valAx>
        <c:axId val="1150540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0525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0598912"/>
        <c:axId val="120600448"/>
      </c:barChart>
      <c:catAx>
        <c:axId val="120598912"/>
        <c:scaling>
          <c:orientation val="minMax"/>
        </c:scaling>
        <c:delete val="1"/>
        <c:axPos val="l"/>
        <c:tickLblPos val="none"/>
        <c:crossAx val="120600448"/>
        <c:crossesAt val="0"/>
        <c:auto val="1"/>
        <c:lblAlgn val="ctr"/>
        <c:lblOffset val="100"/>
      </c:catAx>
      <c:valAx>
        <c:axId val="1206004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5989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0627968"/>
        <c:axId val="120629504"/>
      </c:barChart>
      <c:catAx>
        <c:axId val="120627968"/>
        <c:scaling>
          <c:orientation val="minMax"/>
        </c:scaling>
        <c:delete val="1"/>
        <c:axPos val="l"/>
        <c:tickLblPos val="none"/>
        <c:crossAx val="120629504"/>
        <c:crossesAt val="0"/>
        <c:auto val="1"/>
        <c:lblAlgn val="ctr"/>
        <c:lblOffset val="100"/>
      </c:catAx>
      <c:valAx>
        <c:axId val="12062950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6279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891E-2"/>
          <c:y val="8.4337597472695897E-2"/>
          <c:w val="0.90462555408004763"/>
          <c:h val="0.72289369262310921"/>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'結果(改修前)'!$R$48:$R$51</c:f>
              <c:strCache>
                <c:ptCount val="4"/>
                <c:pt idx="0">
                  <c:v>音環境</c:v>
                </c:pt>
                <c:pt idx="1">
                  <c:v>温熱環境</c:v>
                </c:pt>
                <c:pt idx="2">
                  <c:v>光・視環境</c:v>
                </c:pt>
                <c:pt idx="3">
                  <c:v>空気質環境</c:v>
                </c:pt>
              </c:strCache>
            </c:strRef>
          </c:cat>
          <c:val>
            <c:numRef>
              <c:f>'結果(改修前)'!$S$48:$S$51</c:f>
              <c:numCache>
                <c:formatCode>0.0_ </c:formatCode>
                <c:ptCount val="4"/>
                <c:pt idx="0">
                  <c:v>0</c:v>
                </c:pt>
                <c:pt idx="1">
                  <c:v>0</c:v>
                </c:pt>
                <c:pt idx="2">
                  <c:v>0</c:v>
                </c:pt>
                <c:pt idx="3">
                  <c:v>0</c:v>
                </c:pt>
              </c:numCache>
            </c:numRef>
          </c:val>
        </c:ser>
        <c:dLbls>
          <c:showVal val="1"/>
        </c:dLbls>
        <c:gapWidth val="40"/>
        <c:axId val="91008000"/>
        <c:axId val="91017984"/>
      </c:barChart>
      <c:catAx>
        <c:axId val="91008000"/>
        <c:scaling>
          <c:orientation val="minMax"/>
        </c:scaling>
        <c:axPos val="b"/>
        <c:numFmt formatCode="General" sourceLinked="1"/>
        <c:majorTickMark val="none"/>
        <c:tickLblPos val="none"/>
        <c:spPr>
          <a:ln w="3175">
            <a:solidFill>
              <a:srgbClr val="000000"/>
            </a:solidFill>
            <a:prstDash val="solid"/>
          </a:ln>
        </c:spPr>
        <c:crossAx val="91017984"/>
        <c:crossesAt val="0"/>
        <c:auto val="1"/>
        <c:lblAlgn val="ctr"/>
        <c:lblOffset val="100"/>
        <c:tickMarkSkip val="1"/>
      </c:catAx>
      <c:valAx>
        <c:axId val="91017984"/>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008000"/>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15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0648832"/>
        <c:axId val="120650368"/>
      </c:barChart>
      <c:catAx>
        <c:axId val="120648832"/>
        <c:scaling>
          <c:orientation val="minMax"/>
        </c:scaling>
        <c:delete val="1"/>
        <c:axPos val="l"/>
        <c:tickLblPos val="none"/>
        <c:crossAx val="120650368"/>
        <c:crossesAt val="0"/>
        <c:auto val="1"/>
        <c:lblAlgn val="ctr"/>
        <c:lblOffset val="100"/>
      </c:catAx>
      <c:valAx>
        <c:axId val="1206503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6488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0350208"/>
        <c:axId val="120351744"/>
      </c:barChart>
      <c:catAx>
        <c:axId val="120350208"/>
        <c:scaling>
          <c:orientation val="minMax"/>
        </c:scaling>
        <c:delete val="1"/>
        <c:axPos val="l"/>
        <c:tickLblPos val="none"/>
        <c:crossAx val="120351744"/>
        <c:crossesAt val="0"/>
        <c:auto val="1"/>
        <c:lblAlgn val="ctr"/>
        <c:lblOffset val="100"/>
      </c:catAx>
      <c:valAx>
        <c:axId val="12035174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35020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0371072"/>
        <c:axId val="120372608"/>
      </c:barChart>
      <c:catAx>
        <c:axId val="120371072"/>
        <c:scaling>
          <c:orientation val="minMax"/>
        </c:scaling>
        <c:delete val="1"/>
        <c:axPos val="l"/>
        <c:tickLblPos val="none"/>
        <c:crossAx val="120372608"/>
        <c:crossesAt val="0"/>
        <c:auto val="1"/>
        <c:lblAlgn val="ctr"/>
        <c:lblOffset val="100"/>
      </c:catAx>
      <c:valAx>
        <c:axId val="1203726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3710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4860160"/>
        <c:axId val="4870144"/>
      </c:barChart>
      <c:catAx>
        <c:axId val="4860160"/>
        <c:scaling>
          <c:orientation val="minMax"/>
        </c:scaling>
        <c:delete val="1"/>
        <c:axPos val="l"/>
        <c:tickLblPos val="none"/>
        <c:crossAx val="4870144"/>
        <c:crossesAt val="0"/>
        <c:auto val="1"/>
        <c:lblAlgn val="ctr"/>
        <c:lblOffset val="100"/>
      </c:catAx>
      <c:valAx>
        <c:axId val="4870144"/>
        <c:scaling>
          <c:orientation val="minMax"/>
          <c:max val="5"/>
          <c:min val="0"/>
        </c:scaling>
        <c:delete val="1"/>
        <c:axPos val="b"/>
        <c:majorGridlines>
          <c:spPr>
            <a:ln w="3175">
              <a:solidFill>
                <a:srgbClr val="FFFFFF"/>
              </a:solidFill>
              <a:prstDash val="solid"/>
            </a:ln>
          </c:spPr>
        </c:majorGridlines>
        <c:numFmt formatCode="General" sourceLinked="1"/>
        <c:tickLblPos val="none"/>
        <c:crossAx val="48601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4889216"/>
        <c:axId val="4899200"/>
      </c:barChart>
      <c:catAx>
        <c:axId val="4889216"/>
        <c:scaling>
          <c:orientation val="minMax"/>
        </c:scaling>
        <c:delete val="1"/>
        <c:axPos val="l"/>
        <c:tickLblPos val="none"/>
        <c:crossAx val="4899200"/>
        <c:crossesAt val="0"/>
        <c:auto val="1"/>
        <c:lblAlgn val="ctr"/>
        <c:lblOffset val="100"/>
      </c:catAx>
      <c:valAx>
        <c:axId val="4899200"/>
        <c:scaling>
          <c:orientation val="minMax"/>
          <c:max val="5"/>
          <c:min val="0"/>
        </c:scaling>
        <c:delete val="1"/>
        <c:axPos val="b"/>
        <c:majorGridlines>
          <c:spPr>
            <a:ln w="3175">
              <a:solidFill>
                <a:srgbClr val="FFFFFF"/>
              </a:solidFill>
              <a:prstDash val="solid"/>
            </a:ln>
          </c:spPr>
        </c:majorGridlines>
        <c:numFmt formatCode="General" sourceLinked="1"/>
        <c:tickLblPos val="none"/>
        <c:crossAx val="488921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4910080"/>
        <c:axId val="120943360"/>
      </c:barChart>
      <c:catAx>
        <c:axId val="4910080"/>
        <c:scaling>
          <c:orientation val="minMax"/>
        </c:scaling>
        <c:delete val="1"/>
        <c:axPos val="l"/>
        <c:tickLblPos val="none"/>
        <c:crossAx val="120943360"/>
        <c:crossesAt val="0"/>
        <c:auto val="1"/>
        <c:lblAlgn val="ctr"/>
        <c:lblOffset val="100"/>
      </c:catAx>
      <c:valAx>
        <c:axId val="120943360"/>
        <c:scaling>
          <c:orientation val="minMax"/>
          <c:max val="5"/>
          <c:min val="0"/>
        </c:scaling>
        <c:delete val="1"/>
        <c:axPos val="b"/>
        <c:majorGridlines>
          <c:spPr>
            <a:ln w="3175">
              <a:solidFill>
                <a:srgbClr val="FFFFFF"/>
              </a:solidFill>
              <a:prstDash val="solid"/>
            </a:ln>
          </c:spPr>
        </c:majorGridlines>
        <c:numFmt formatCode="General" sourceLinked="1"/>
        <c:tickLblPos val="none"/>
        <c:crossAx val="49100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0962432"/>
        <c:axId val="120964224"/>
      </c:barChart>
      <c:catAx>
        <c:axId val="120962432"/>
        <c:scaling>
          <c:orientation val="minMax"/>
        </c:scaling>
        <c:delete val="1"/>
        <c:axPos val="l"/>
        <c:tickLblPos val="none"/>
        <c:crossAx val="120964224"/>
        <c:crossesAt val="0"/>
        <c:auto val="1"/>
        <c:lblAlgn val="ctr"/>
        <c:lblOffset val="100"/>
      </c:catAx>
      <c:valAx>
        <c:axId val="1209642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9624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1061376"/>
        <c:axId val="121062912"/>
      </c:barChart>
      <c:catAx>
        <c:axId val="121061376"/>
        <c:scaling>
          <c:orientation val="minMax"/>
        </c:scaling>
        <c:delete val="1"/>
        <c:axPos val="l"/>
        <c:tickLblPos val="none"/>
        <c:crossAx val="121062912"/>
        <c:crossesAt val="0"/>
        <c:auto val="1"/>
        <c:lblAlgn val="ctr"/>
        <c:lblOffset val="100"/>
      </c:catAx>
      <c:valAx>
        <c:axId val="1210629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0613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21086336"/>
        <c:axId val="121087872"/>
      </c:barChart>
      <c:catAx>
        <c:axId val="121086336"/>
        <c:scaling>
          <c:orientation val="minMax"/>
        </c:scaling>
        <c:delete val="1"/>
        <c:axPos val="l"/>
        <c:tickLblPos val="none"/>
        <c:crossAx val="121087872"/>
        <c:crossesAt val="0"/>
        <c:auto val="1"/>
        <c:lblAlgn val="ctr"/>
        <c:lblOffset val="100"/>
      </c:catAx>
      <c:valAx>
        <c:axId val="1210878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0863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20984320"/>
        <c:axId val="120985856"/>
      </c:barChart>
      <c:catAx>
        <c:axId val="120984320"/>
        <c:scaling>
          <c:orientation val="minMax"/>
        </c:scaling>
        <c:delete val="1"/>
        <c:axPos val="l"/>
        <c:tickLblPos val="none"/>
        <c:crossAx val="120985856"/>
        <c:crossesAt val="0"/>
        <c:auto val="1"/>
        <c:lblAlgn val="ctr"/>
        <c:lblOffset val="100"/>
      </c:catAx>
      <c:valAx>
        <c:axId val="1209858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09843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028764958511631E-2"/>
          <c:y val="8.3832335329341451E-2"/>
          <c:w val="0.90734965828059322"/>
          <c:h val="0.71856287425149701"/>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'結果(改修前)'!$X$48:$X$50</c:f>
              <c:strCache>
                <c:ptCount val="3"/>
                <c:pt idx="0">
                  <c:v>生物環境</c:v>
                </c:pt>
                <c:pt idx="1">
                  <c:v>まちなみ景観</c:v>
                </c:pt>
                <c:pt idx="2">
                  <c:v>地域性・文化</c:v>
                </c:pt>
              </c:strCache>
            </c:strRef>
          </c:cat>
          <c:val>
            <c:numRef>
              <c:f>'結果(改修前)'!$Y$48:$Y$50</c:f>
              <c:numCache>
                <c:formatCode>0.0_ </c:formatCode>
                <c:ptCount val="3"/>
                <c:pt idx="0">
                  <c:v>3</c:v>
                </c:pt>
                <c:pt idx="1">
                  <c:v>3</c:v>
                </c:pt>
                <c:pt idx="2">
                  <c:v>0</c:v>
                </c:pt>
              </c:numCache>
            </c:numRef>
          </c:val>
        </c:ser>
        <c:dLbls>
          <c:showVal val="1"/>
        </c:dLbls>
        <c:gapWidth val="70"/>
        <c:axId val="91083904"/>
        <c:axId val="91085440"/>
      </c:barChart>
      <c:catAx>
        <c:axId val="91083904"/>
        <c:scaling>
          <c:orientation val="minMax"/>
        </c:scaling>
        <c:axPos val="b"/>
        <c:numFmt formatCode="General" sourceLinked="1"/>
        <c:majorTickMark val="none"/>
        <c:tickLblPos val="none"/>
        <c:spPr>
          <a:ln w="3175">
            <a:solidFill>
              <a:srgbClr val="000000"/>
            </a:solidFill>
            <a:prstDash val="solid"/>
          </a:ln>
        </c:spPr>
        <c:crossAx val="91085440"/>
        <c:crossesAt val="0"/>
        <c:auto val="1"/>
        <c:lblAlgn val="ctr"/>
        <c:lblOffset val="100"/>
        <c:tickMarkSkip val="1"/>
      </c:catAx>
      <c:valAx>
        <c:axId val="9108544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1083904"/>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horizontalDpi="-3" verticalDpi="-3"/>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21013376"/>
        <c:axId val="121014912"/>
      </c:barChart>
      <c:catAx>
        <c:axId val="121013376"/>
        <c:scaling>
          <c:orientation val="minMax"/>
        </c:scaling>
        <c:delete val="1"/>
        <c:axPos val="l"/>
        <c:tickLblPos val="none"/>
        <c:crossAx val="121014912"/>
        <c:crossesAt val="0"/>
        <c:auto val="1"/>
        <c:lblAlgn val="ctr"/>
        <c:lblOffset val="100"/>
      </c:catAx>
      <c:valAx>
        <c:axId val="1210149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0133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21038336"/>
        <c:axId val="121039872"/>
      </c:barChart>
      <c:catAx>
        <c:axId val="121038336"/>
        <c:scaling>
          <c:orientation val="minMax"/>
        </c:scaling>
        <c:delete val="1"/>
        <c:axPos val="l"/>
        <c:tickLblPos val="none"/>
        <c:crossAx val="121039872"/>
        <c:crossesAt val="0"/>
        <c:auto val="1"/>
        <c:lblAlgn val="ctr"/>
        <c:lblOffset val="100"/>
      </c:catAx>
      <c:valAx>
        <c:axId val="1210398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0383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21395072"/>
        <c:axId val="121396608"/>
      </c:barChart>
      <c:catAx>
        <c:axId val="121395072"/>
        <c:scaling>
          <c:orientation val="minMax"/>
        </c:scaling>
        <c:delete val="1"/>
        <c:axPos val="l"/>
        <c:tickLblPos val="none"/>
        <c:crossAx val="121396608"/>
        <c:crossesAt val="0"/>
        <c:auto val="1"/>
        <c:lblAlgn val="ctr"/>
        <c:lblOffset val="100"/>
      </c:catAx>
      <c:valAx>
        <c:axId val="1213966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3950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21420032"/>
        <c:axId val="121430016"/>
      </c:barChart>
      <c:catAx>
        <c:axId val="121420032"/>
        <c:scaling>
          <c:orientation val="minMax"/>
        </c:scaling>
        <c:delete val="1"/>
        <c:axPos val="l"/>
        <c:tickLblPos val="none"/>
        <c:crossAx val="121430016"/>
        <c:crossesAt val="0"/>
        <c:auto val="1"/>
        <c:lblAlgn val="ctr"/>
        <c:lblOffset val="100"/>
      </c:catAx>
      <c:valAx>
        <c:axId val="1214300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4200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21457280"/>
        <c:axId val="121475456"/>
      </c:barChart>
      <c:catAx>
        <c:axId val="121457280"/>
        <c:scaling>
          <c:orientation val="minMax"/>
        </c:scaling>
        <c:delete val="1"/>
        <c:axPos val="l"/>
        <c:tickLblPos val="none"/>
        <c:crossAx val="121475456"/>
        <c:crossesAt val="0"/>
        <c:auto val="1"/>
        <c:lblAlgn val="ctr"/>
        <c:lblOffset val="100"/>
      </c:catAx>
      <c:valAx>
        <c:axId val="1214754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4572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21498624"/>
        <c:axId val="121504512"/>
      </c:barChart>
      <c:catAx>
        <c:axId val="121498624"/>
        <c:scaling>
          <c:orientation val="minMax"/>
        </c:scaling>
        <c:delete val="1"/>
        <c:axPos val="l"/>
        <c:tickLblPos val="none"/>
        <c:crossAx val="121504512"/>
        <c:crossesAt val="0"/>
        <c:auto val="1"/>
        <c:lblAlgn val="ctr"/>
        <c:lblOffset val="100"/>
      </c:catAx>
      <c:valAx>
        <c:axId val="1215045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4986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21515392"/>
        <c:axId val="121529472"/>
      </c:barChart>
      <c:catAx>
        <c:axId val="121515392"/>
        <c:scaling>
          <c:orientation val="minMax"/>
        </c:scaling>
        <c:delete val="1"/>
        <c:axPos val="l"/>
        <c:tickLblPos val="none"/>
        <c:crossAx val="121529472"/>
        <c:crossesAt val="0"/>
        <c:auto val="1"/>
        <c:lblAlgn val="ctr"/>
        <c:lblOffset val="100"/>
      </c:catAx>
      <c:valAx>
        <c:axId val="1215294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5153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21553280"/>
        <c:axId val="121554816"/>
      </c:barChart>
      <c:catAx>
        <c:axId val="121553280"/>
        <c:scaling>
          <c:orientation val="minMax"/>
        </c:scaling>
        <c:delete val="1"/>
        <c:axPos val="l"/>
        <c:tickLblPos val="none"/>
        <c:crossAx val="121554816"/>
        <c:crossesAt val="0"/>
        <c:auto val="1"/>
        <c:lblAlgn val="ctr"/>
        <c:lblOffset val="100"/>
      </c:catAx>
      <c:valAx>
        <c:axId val="1215548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5532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21586432"/>
        <c:axId val="121587968"/>
      </c:barChart>
      <c:catAx>
        <c:axId val="121586432"/>
        <c:scaling>
          <c:orientation val="minMax"/>
        </c:scaling>
        <c:delete val="1"/>
        <c:axPos val="l"/>
        <c:tickLblPos val="none"/>
        <c:crossAx val="121587968"/>
        <c:crossesAt val="0"/>
        <c:auto val="1"/>
        <c:lblAlgn val="ctr"/>
        <c:lblOffset val="100"/>
      </c:catAx>
      <c:valAx>
        <c:axId val="1215879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5864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21615488"/>
        <c:axId val="121617024"/>
      </c:barChart>
      <c:catAx>
        <c:axId val="121615488"/>
        <c:scaling>
          <c:orientation val="minMax"/>
        </c:scaling>
        <c:delete val="1"/>
        <c:axPos val="l"/>
        <c:tickLblPos val="none"/>
        <c:crossAx val="121617024"/>
        <c:crossesAt val="0"/>
        <c:auto val="1"/>
        <c:lblAlgn val="ctr"/>
        <c:lblOffset val="100"/>
      </c:catAx>
      <c:valAx>
        <c:axId val="1216170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61548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740284776132297"/>
          <c:y val="0.16772177814999839"/>
          <c:w val="0.59480594917556451"/>
          <c:h val="0.72468466408206844"/>
        </c:manualLayout>
      </c:layout>
      <c:radarChart>
        <c:radarStyle val="filled"/>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'結果(改修前)'!$Z$9:$Z$14</c:f>
              <c:numCache>
                <c:formatCode>General</c:formatCode>
                <c:ptCount val="6"/>
                <c:pt idx="0">
                  <c:v>0</c:v>
                </c:pt>
                <c:pt idx="1">
                  <c:v>0</c:v>
                </c:pt>
                <c:pt idx="2">
                  <c:v>0</c:v>
                </c:pt>
                <c:pt idx="3">
                  <c:v>0</c:v>
                </c:pt>
                <c:pt idx="4">
                  <c:v>0</c:v>
                </c:pt>
                <c:pt idx="5">
                  <c:v>0</c:v>
                </c:pt>
              </c:numCache>
            </c:numRef>
          </c:val>
        </c:ser>
        <c:ser>
          <c:idx val="4"/>
          <c:order val="4"/>
          <c:spPr>
            <a:noFill/>
            <a:ln w="12700">
              <a:solidFill>
                <a:srgbClr val="FF0000"/>
              </a:solidFill>
              <a:prstDash val="solid"/>
            </a:ln>
          </c:spPr>
          <c:cat>
            <c:strRef>
              <c:f>'結果(改修前)'!$V$9:$V$14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'結果(改修前)'!$AA$9:$AA$14</c:f>
              <c:numCache>
                <c:formatCode>General</c:formatCode>
                <c:ptCount val="6"/>
                <c:pt idx="0">
                  <c:v>3</c:v>
                </c:pt>
                <c:pt idx="1">
                  <c:v>3</c:v>
                </c:pt>
                <c:pt idx="2">
                  <c:v>3</c:v>
                </c:pt>
                <c:pt idx="3">
                  <c:v>3</c:v>
                </c:pt>
                <c:pt idx="4">
                  <c:v>3</c:v>
                </c:pt>
                <c:pt idx="5">
                  <c:v>3</c:v>
                </c:pt>
              </c:numCache>
            </c:numRef>
          </c:val>
        </c:ser>
        <c:axId val="91157248"/>
        <c:axId val="91158784"/>
      </c:radarChart>
      <c:catAx>
        <c:axId val="91157248"/>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1158784"/>
        <c:crosses val="autoZero"/>
        <c:lblAlgn val="ctr"/>
        <c:lblOffset val="100"/>
      </c:catAx>
      <c:valAx>
        <c:axId val="91158784"/>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1157248"/>
        <c:crosses val="autoZero"/>
        <c:crossBetween val="between"/>
        <c:majorUnit val="1"/>
      </c:valAx>
      <c:spPr>
        <a:noFill/>
        <a:ln w="25400">
          <a:noFill/>
        </a:ln>
      </c:spPr>
    </c:plotArea>
    <c:dispBlanksAs val="gap"/>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21714176"/>
        <c:axId val="121715712"/>
      </c:barChart>
      <c:catAx>
        <c:axId val="121714176"/>
        <c:scaling>
          <c:orientation val="minMax"/>
        </c:scaling>
        <c:delete val="1"/>
        <c:axPos val="l"/>
        <c:tickLblPos val="none"/>
        <c:crossAx val="121715712"/>
        <c:crossesAt val="0"/>
        <c:auto val="1"/>
        <c:lblAlgn val="ctr"/>
        <c:lblOffset val="100"/>
      </c:catAx>
      <c:valAx>
        <c:axId val="1217157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7141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21755520"/>
        <c:axId val="121757056"/>
      </c:barChart>
      <c:catAx>
        <c:axId val="121755520"/>
        <c:scaling>
          <c:orientation val="minMax"/>
        </c:scaling>
        <c:delete val="1"/>
        <c:axPos val="l"/>
        <c:tickLblPos val="none"/>
        <c:crossAx val="121757056"/>
        <c:crossesAt val="0"/>
        <c:auto val="1"/>
        <c:lblAlgn val="ctr"/>
        <c:lblOffset val="100"/>
      </c:catAx>
      <c:valAx>
        <c:axId val="1217570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7555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21768192"/>
        <c:axId val="121782272"/>
      </c:barChart>
      <c:catAx>
        <c:axId val="121768192"/>
        <c:scaling>
          <c:orientation val="minMax"/>
        </c:scaling>
        <c:delete val="1"/>
        <c:axPos val="l"/>
        <c:tickLblPos val="none"/>
        <c:crossAx val="121782272"/>
        <c:crossesAt val="0"/>
        <c:auto val="1"/>
        <c:lblAlgn val="ctr"/>
        <c:lblOffset val="100"/>
      </c:catAx>
      <c:valAx>
        <c:axId val="1217822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7681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1809152"/>
        <c:axId val="121819136"/>
      </c:barChart>
      <c:catAx>
        <c:axId val="121809152"/>
        <c:scaling>
          <c:orientation val="minMax"/>
        </c:scaling>
        <c:delete val="1"/>
        <c:axPos val="l"/>
        <c:tickLblPos val="none"/>
        <c:crossAx val="121819136"/>
        <c:crossesAt val="0"/>
        <c:auto val="1"/>
        <c:lblAlgn val="ctr"/>
        <c:lblOffset val="100"/>
      </c:catAx>
      <c:valAx>
        <c:axId val="1218191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80915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1825920"/>
        <c:axId val="121852288"/>
      </c:barChart>
      <c:catAx>
        <c:axId val="121825920"/>
        <c:scaling>
          <c:orientation val="minMax"/>
        </c:scaling>
        <c:delete val="1"/>
        <c:axPos val="l"/>
        <c:tickLblPos val="none"/>
        <c:crossAx val="121852288"/>
        <c:crossesAt val="0"/>
        <c:auto val="1"/>
        <c:lblAlgn val="ctr"/>
        <c:lblOffset val="100"/>
      </c:catAx>
      <c:valAx>
        <c:axId val="12185228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8259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1867264"/>
        <c:axId val="121881344"/>
      </c:barChart>
      <c:catAx>
        <c:axId val="121867264"/>
        <c:scaling>
          <c:orientation val="minMax"/>
        </c:scaling>
        <c:delete val="1"/>
        <c:axPos val="l"/>
        <c:tickLblPos val="none"/>
        <c:crossAx val="121881344"/>
        <c:crossesAt val="0"/>
        <c:auto val="1"/>
        <c:lblAlgn val="ctr"/>
        <c:lblOffset val="100"/>
      </c:catAx>
      <c:valAx>
        <c:axId val="12188134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8672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1888128"/>
        <c:axId val="121918592"/>
      </c:barChart>
      <c:catAx>
        <c:axId val="121888128"/>
        <c:scaling>
          <c:orientation val="minMax"/>
        </c:scaling>
        <c:delete val="1"/>
        <c:axPos val="l"/>
        <c:tickLblPos val="none"/>
        <c:crossAx val="121918592"/>
        <c:crossesAt val="0"/>
        <c:auto val="1"/>
        <c:lblAlgn val="ctr"/>
        <c:lblOffset val="100"/>
      </c:catAx>
      <c:valAx>
        <c:axId val="1219185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88812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1933824"/>
        <c:axId val="121935360"/>
      </c:barChart>
      <c:catAx>
        <c:axId val="121933824"/>
        <c:scaling>
          <c:orientation val="minMax"/>
        </c:scaling>
        <c:delete val="1"/>
        <c:axPos val="l"/>
        <c:tickLblPos val="none"/>
        <c:crossAx val="121935360"/>
        <c:crossesAt val="0"/>
        <c:auto val="1"/>
        <c:lblAlgn val="ctr"/>
        <c:lblOffset val="100"/>
      </c:catAx>
      <c:valAx>
        <c:axId val="1219353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9338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21979264"/>
        <c:axId val="121980800"/>
      </c:barChart>
      <c:catAx>
        <c:axId val="121979264"/>
        <c:scaling>
          <c:orientation val="minMax"/>
        </c:scaling>
        <c:delete val="1"/>
        <c:axPos val="l"/>
        <c:tickLblPos val="none"/>
        <c:crossAx val="121980800"/>
        <c:crossesAt val="0"/>
        <c:auto val="1"/>
        <c:lblAlgn val="ctr"/>
        <c:lblOffset val="100"/>
      </c:catAx>
      <c:valAx>
        <c:axId val="1219808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9792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21996032"/>
        <c:axId val="121997568"/>
      </c:barChart>
      <c:catAx>
        <c:axId val="121996032"/>
        <c:scaling>
          <c:orientation val="minMax"/>
        </c:scaling>
        <c:delete val="1"/>
        <c:axPos val="l"/>
        <c:tickLblPos val="none"/>
        <c:crossAx val="121997568"/>
        <c:crossesAt val="0"/>
        <c:auto val="1"/>
        <c:lblAlgn val="ctr"/>
        <c:lblOffset val="100"/>
      </c:catAx>
      <c:valAx>
        <c:axId val="12199756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19960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64"/>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'結果(改修前)'!$U$48:$U$50</c:f>
              <c:strCache>
                <c:ptCount val="3"/>
                <c:pt idx="0">
                  <c:v>機能性</c:v>
                </c:pt>
                <c:pt idx="1">
                  <c:v>耐用性・信頼性</c:v>
                </c:pt>
                <c:pt idx="2">
                  <c:v>対応性･更新性</c:v>
                </c:pt>
              </c:strCache>
            </c:strRef>
          </c:cat>
          <c:val>
            <c:numRef>
              <c:f>'結果(改修前)'!$V$48:$V$50</c:f>
              <c:numCache>
                <c:formatCode>0.0_ </c:formatCode>
                <c:ptCount val="3"/>
                <c:pt idx="0">
                  <c:v>0</c:v>
                </c:pt>
                <c:pt idx="1">
                  <c:v>0</c:v>
                </c:pt>
                <c:pt idx="2">
                  <c:v>0</c:v>
                </c:pt>
              </c:numCache>
            </c:numRef>
          </c:val>
        </c:ser>
        <c:dLbls>
          <c:showVal val="1"/>
        </c:dLbls>
        <c:gapWidth val="70"/>
        <c:axId val="90942080"/>
        <c:axId val="90952064"/>
      </c:barChart>
      <c:catAx>
        <c:axId val="90942080"/>
        <c:scaling>
          <c:orientation val="minMax"/>
        </c:scaling>
        <c:axPos val="b"/>
        <c:numFmt formatCode="General" sourceLinked="1"/>
        <c:majorTickMark val="none"/>
        <c:tickLblPos val="none"/>
        <c:spPr>
          <a:ln w="3175">
            <a:solidFill>
              <a:srgbClr val="000000"/>
            </a:solidFill>
            <a:prstDash val="solid"/>
          </a:ln>
        </c:spPr>
        <c:crossAx val="90952064"/>
        <c:crossesAt val="0"/>
        <c:auto val="1"/>
        <c:lblAlgn val="ctr"/>
        <c:lblOffset val="100"/>
        <c:tickMarkSkip val="1"/>
      </c:catAx>
      <c:valAx>
        <c:axId val="90952064"/>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0942080"/>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18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22041472"/>
        <c:axId val="122043008"/>
      </c:barChart>
      <c:catAx>
        <c:axId val="122041472"/>
        <c:scaling>
          <c:orientation val="minMax"/>
        </c:scaling>
        <c:delete val="1"/>
        <c:axPos val="l"/>
        <c:tickLblPos val="none"/>
        <c:crossAx val="122043008"/>
        <c:crossesAt val="0"/>
        <c:auto val="1"/>
        <c:lblAlgn val="ctr"/>
        <c:lblOffset val="100"/>
      </c:catAx>
      <c:valAx>
        <c:axId val="1220430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0414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22078720"/>
        <c:axId val="122080256"/>
      </c:barChart>
      <c:catAx>
        <c:axId val="122078720"/>
        <c:scaling>
          <c:orientation val="minMax"/>
        </c:scaling>
        <c:delete val="1"/>
        <c:axPos val="l"/>
        <c:tickLblPos val="none"/>
        <c:crossAx val="122080256"/>
        <c:crossesAt val="0"/>
        <c:auto val="1"/>
        <c:lblAlgn val="ctr"/>
        <c:lblOffset val="100"/>
      </c:catAx>
      <c:valAx>
        <c:axId val="1220802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0787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22234752"/>
        <c:axId val="122236288"/>
      </c:barChart>
      <c:catAx>
        <c:axId val="122234752"/>
        <c:scaling>
          <c:orientation val="minMax"/>
        </c:scaling>
        <c:delete val="1"/>
        <c:axPos val="l"/>
        <c:tickLblPos val="none"/>
        <c:crossAx val="122236288"/>
        <c:crossesAt val="0"/>
        <c:auto val="1"/>
        <c:lblAlgn val="ctr"/>
        <c:lblOffset val="100"/>
      </c:catAx>
      <c:valAx>
        <c:axId val="12223628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23475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247424"/>
        <c:axId val="122257408"/>
      </c:barChart>
      <c:catAx>
        <c:axId val="122247424"/>
        <c:scaling>
          <c:orientation val="minMax"/>
        </c:scaling>
        <c:delete val="1"/>
        <c:axPos val="l"/>
        <c:tickLblPos val="none"/>
        <c:crossAx val="122257408"/>
        <c:crossesAt val="0"/>
        <c:auto val="1"/>
        <c:lblAlgn val="ctr"/>
        <c:lblOffset val="100"/>
      </c:catAx>
      <c:valAx>
        <c:axId val="1222574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2474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288768"/>
        <c:axId val="122171776"/>
      </c:barChart>
      <c:catAx>
        <c:axId val="122288768"/>
        <c:scaling>
          <c:orientation val="minMax"/>
        </c:scaling>
        <c:delete val="1"/>
        <c:axPos val="l"/>
        <c:tickLblPos val="none"/>
        <c:crossAx val="122171776"/>
        <c:crossesAt val="0"/>
        <c:auto val="1"/>
        <c:lblAlgn val="ctr"/>
        <c:lblOffset val="100"/>
      </c:catAx>
      <c:valAx>
        <c:axId val="12217177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2887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178560"/>
        <c:axId val="122188544"/>
      </c:barChart>
      <c:catAx>
        <c:axId val="122178560"/>
        <c:scaling>
          <c:orientation val="minMax"/>
        </c:scaling>
        <c:delete val="1"/>
        <c:axPos val="l"/>
        <c:tickLblPos val="none"/>
        <c:crossAx val="122188544"/>
        <c:crossesAt val="0"/>
        <c:auto val="1"/>
        <c:lblAlgn val="ctr"/>
        <c:lblOffset val="100"/>
      </c:catAx>
      <c:valAx>
        <c:axId val="12218854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1785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219904"/>
        <c:axId val="122291328"/>
      </c:barChart>
      <c:catAx>
        <c:axId val="122219904"/>
        <c:scaling>
          <c:orientation val="minMax"/>
        </c:scaling>
        <c:delete val="1"/>
        <c:axPos val="l"/>
        <c:tickLblPos val="none"/>
        <c:crossAx val="122291328"/>
        <c:crossesAt val="0"/>
        <c:auto val="1"/>
        <c:lblAlgn val="ctr"/>
        <c:lblOffset val="100"/>
      </c:catAx>
      <c:valAx>
        <c:axId val="1222913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2199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306560"/>
        <c:axId val="122308096"/>
      </c:barChart>
      <c:catAx>
        <c:axId val="122306560"/>
        <c:scaling>
          <c:orientation val="minMax"/>
        </c:scaling>
        <c:delete val="1"/>
        <c:axPos val="l"/>
        <c:tickLblPos val="none"/>
        <c:crossAx val="122308096"/>
        <c:crossesAt val="0"/>
        <c:auto val="1"/>
        <c:lblAlgn val="ctr"/>
        <c:lblOffset val="100"/>
      </c:catAx>
      <c:valAx>
        <c:axId val="1223080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3065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425728"/>
        <c:axId val="122427264"/>
      </c:barChart>
      <c:catAx>
        <c:axId val="122425728"/>
        <c:scaling>
          <c:orientation val="minMax"/>
        </c:scaling>
        <c:delete val="1"/>
        <c:axPos val="l"/>
        <c:tickLblPos val="none"/>
        <c:crossAx val="122427264"/>
        <c:crossesAt val="0"/>
        <c:auto val="1"/>
        <c:lblAlgn val="ctr"/>
        <c:lblOffset val="100"/>
      </c:catAx>
      <c:valAx>
        <c:axId val="1224272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42572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450688"/>
        <c:axId val="122452224"/>
      </c:barChart>
      <c:catAx>
        <c:axId val="122450688"/>
        <c:scaling>
          <c:orientation val="minMax"/>
        </c:scaling>
        <c:delete val="1"/>
        <c:axPos val="l"/>
        <c:tickLblPos val="none"/>
        <c:crossAx val="122452224"/>
        <c:crossesAt val="0"/>
        <c:auto val="1"/>
        <c:lblAlgn val="ctr"/>
        <c:lblOffset val="100"/>
      </c:catAx>
      <c:valAx>
        <c:axId val="1224522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45068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795221843003424"/>
          <c:y val="9.8425196850393748E-2"/>
          <c:w val="0.69965870307167288"/>
          <c:h val="0.70078740157480379"/>
        </c:manualLayout>
      </c:layout>
      <c:areaChart>
        <c:grouping val="standard"/>
        <c:ser>
          <c:idx val="4"/>
          <c:order val="3"/>
          <c:tx>
            <c:strRef>
              <c:f>'結果(改修前)'!$S$29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'結果(改修前)'!$T$23:$U$23</c:f>
              <c:numCache>
                <c:formatCode>#,##0;[Red]\-#,##0</c:formatCode>
                <c:ptCount val="2"/>
                <c:pt idx="0">
                  <c:v>0</c:v>
                </c:pt>
                <c:pt idx="1">
                  <c:v>0</c:v>
                </c:pt>
              </c:numCache>
            </c:numRef>
          </c:cat>
          <c:val>
            <c:numRef>
              <c:f>'結果(改修前)'!$T$29:$Z$29</c:f>
              <c:numCache>
                <c:formatCode>General</c:formatCode>
                <c:ptCount val="7"/>
                <c:pt idx="0">
                  <c:v>100</c:v>
                </c:pt>
                <c:pt idx="1">
                  <c:v>100</c:v>
                </c:pt>
                <c:pt idx="2">
                  <c:v>100</c:v>
                </c:pt>
                <c:pt idx="3">
                  <c:v>100</c:v>
                </c:pt>
                <c:pt idx="4">
                  <c:v>100</c:v>
                </c:pt>
                <c:pt idx="5">
                  <c:v>100</c:v>
                </c:pt>
                <c:pt idx="6">
                  <c:v>100</c:v>
                </c:pt>
              </c:numCache>
            </c:numRef>
          </c:val>
        </c:ser>
        <c:ser>
          <c:idx val="3"/>
          <c:order val="4"/>
          <c:tx>
            <c:strRef>
              <c:f>'結果(改修前)'!$S$30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'結果(改修前)'!$T$23:$U$23</c:f>
              <c:numCache>
                <c:formatCode>#,##0;[Red]\-#,##0</c:formatCode>
                <c:ptCount val="2"/>
                <c:pt idx="0">
                  <c:v>0</c:v>
                </c:pt>
                <c:pt idx="1">
                  <c:v>0</c:v>
                </c:pt>
              </c:numCache>
            </c:numRef>
          </c:cat>
          <c:val>
            <c:numRef>
              <c:f>'結果(改修前)'!$T$30:$Z$30</c:f>
              <c:numCache>
                <c:formatCode>General</c:formatCode>
                <c:ptCount val="7"/>
                <c:pt idx="0">
                  <c:v>50</c:v>
                </c:pt>
                <c:pt idx="1">
                  <c:v>50</c:v>
                </c:pt>
                <c:pt idx="2">
                  <c:v>100</c:v>
                </c:pt>
                <c:pt idx="3">
                  <c:v>100</c:v>
                </c:pt>
                <c:pt idx="4">
                  <c:v>100</c:v>
                </c:pt>
                <c:pt idx="5">
                  <c:v>100</c:v>
                </c:pt>
                <c:pt idx="6">
                  <c:v>100</c:v>
                </c:pt>
              </c:numCache>
            </c:numRef>
          </c:val>
        </c:ser>
        <c:ser>
          <c:idx val="2"/>
          <c:order val="5"/>
          <c:tx>
            <c:strRef>
              <c:f>'結果(改修前)'!$S$31</c:f>
              <c:strCache>
                <c:ptCount val="1"/>
                <c:pt idx="0">
                  <c:v>B+</c:v>
                </c:pt>
              </c:strCache>
            </c:strRef>
          </c:tx>
          <c:spPr>
            <a:solidFill>
              <a:srgbClr val="FFFFCC"/>
            </a:solidFill>
            <a:ln w="12700">
              <a:solidFill>
                <a:srgbClr val="000000"/>
              </a:solidFill>
              <a:prstDash val="solid"/>
            </a:ln>
          </c:spPr>
          <c:cat>
            <c:numRef>
              <c:f>'結果(改修前)'!$T$23:$U$23</c:f>
              <c:numCache>
                <c:formatCode>#,##0;[Red]\-#,##0</c:formatCode>
                <c:ptCount val="2"/>
                <c:pt idx="0">
                  <c:v>0</c:v>
                </c:pt>
                <c:pt idx="1">
                  <c:v>0</c:v>
                </c:pt>
              </c:numCache>
            </c:numRef>
          </c:cat>
          <c:val>
            <c:numRef>
              <c:f>'結果(改修前)'!$T$31:$Z$31</c:f>
              <c:numCache>
                <c:formatCode>General</c:formatCode>
                <c:ptCount val="7"/>
                <c:pt idx="0">
                  <c:v>0</c:v>
                </c:pt>
                <c:pt idx="1">
                  <c:v>25</c:v>
                </c:pt>
                <c:pt idx="2">
                  <c:v>50</c:v>
                </c:pt>
                <c:pt idx="3">
                  <c:v>75</c:v>
                </c:pt>
                <c:pt idx="4">
                  <c:v>100</c:v>
                </c:pt>
                <c:pt idx="5">
                  <c:v>100</c:v>
                </c:pt>
                <c:pt idx="6">
                  <c:v>100</c:v>
                </c:pt>
              </c:numCache>
            </c:numRef>
          </c:val>
        </c:ser>
        <c:ser>
          <c:idx val="1"/>
          <c:order val="6"/>
          <c:tx>
            <c:strRef>
              <c:f>'結果(改修前)'!$S$33</c:f>
              <c:strCache>
                <c:ptCount val="1"/>
                <c:pt idx="0">
                  <c:v>B-</c:v>
                </c:pt>
              </c:strCache>
            </c:strRef>
          </c:tx>
          <c:spPr>
            <a:solidFill>
              <a:srgbClr val="FFFFFF"/>
            </a:solidFill>
            <a:ln w="12700">
              <a:solidFill>
                <a:srgbClr val="000000"/>
              </a:solidFill>
              <a:prstDash val="solid"/>
            </a:ln>
          </c:spPr>
          <c:cat>
            <c:numRef>
              <c:f>'結果(改修前)'!$T$23:$U$23</c:f>
              <c:numCache>
                <c:formatCode>#,##0;[Red]\-#,##0</c:formatCode>
                <c:ptCount val="2"/>
                <c:pt idx="0">
                  <c:v>0</c:v>
                </c:pt>
                <c:pt idx="1">
                  <c:v>0</c:v>
                </c:pt>
              </c:numCache>
            </c:numRef>
          </c:cat>
          <c:val>
            <c:numRef>
              <c:f>'結果(改修前)'!$T$33:$Z$33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'結果(改修前)'!$S$32</c:f>
              <c:strCache>
                <c:ptCount val="1"/>
                <c:pt idx="0">
                  <c:v>B</c:v>
                </c:pt>
              </c:strCache>
            </c:strRef>
          </c:tx>
          <c:spPr>
            <a:noFill/>
            <a:ln w="12700">
              <a:solidFill>
                <a:srgbClr val="000000"/>
              </a:solidFill>
              <a:prstDash val="solid"/>
            </a:ln>
          </c:spPr>
          <c:cat>
            <c:numRef>
              <c:f>'結果(改修前)'!$T$23:$U$23</c:f>
              <c:numCache>
                <c:formatCode>#,##0;[Red]\-#,##0</c:formatCode>
                <c:ptCount val="2"/>
                <c:pt idx="0">
                  <c:v>0</c:v>
                </c:pt>
                <c:pt idx="1">
                  <c:v>0</c:v>
                </c:pt>
              </c:numCache>
            </c:numRef>
          </c:cat>
          <c:val>
            <c:numRef>
              <c:f>'結果(改修前)'!$T$32:$Z$32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axId val="92240512"/>
        <c:axId val="92250496"/>
      </c:areaChart>
      <c:scatterChart>
        <c:scatterStyle val="lineMarker"/>
        <c:ser>
          <c:idx val="7"/>
          <c:order val="0"/>
          <c:spPr>
            <a:ln w="25400">
              <a:solidFill>
                <a:srgbClr val="008000"/>
              </a:solidFill>
              <a:prstDash val="sysDash"/>
            </a:ln>
          </c:spPr>
          <c:marker>
            <c:symbol val="none"/>
          </c:marker>
          <c:dPt>
            <c:idx val="1"/>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CatName val="1"/>
              <c:extLst>
                <c:ext xmlns:c15="http://schemas.microsoft.com/office/drawing/2012/chart" uri="{CE6537A1-D6FC-4f65-9D91-7224C49458BB}"/>
              </c:extLst>
            </c:dLbl>
            <c:dLbl>
              <c:idx val="3"/>
              <c:layout>
                <c:manualLayout>
                  <c:x val="-5.2504187829763528E-3"/>
                  <c:y val="-3.963254593175855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Val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xVal>
            <c:numRef>
              <c:f>'結果(改修前)'!$R$25:$U$25</c:f>
              <c:numCache>
                <c:formatCode>General</c:formatCode>
                <c:ptCount val="4"/>
                <c:pt idx="0">
                  <c:v>0</c:v>
                </c:pt>
                <c:pt idx="1">
                  <c:v>0</c:v>
                </c:pt>
                <c:pt idx="2" formatCode="#,##0;[Red]\-#,##0">
                  <c:v>0</c:v>
                </c:pt>
                <c:pt idx="3" formatCode="#,##0;[Red]\-#,##0">
                  <c:v>0.1</c:v>
                </c:pt>
              </c:numCache>
            </c:numRef>
          </c:xVal>
          <c:yVal>
            <c:numRef>
              <c:f>'結果(改修前)'!$R$26:$U$26</c:f>
              <c:numCache>
                <c:formatCode>General</c:formatCode>
                <c:ptCount val="4"/>
                <c:pt idx="0">
                  <c:v>0</c:v>
                </c:pt>
                <c:pt idx="1">
                  <c:v>0</c:v>
                </c:pt>
                <c:pt idx="2" formatCode="#,##0;[Red]\-#,##0">
                  <c:v>0</c:v>
                </c:pt>
                <c:pt idx="3" formatCode="#,##0;[Red]\-#,##0">
                  <c:v>0</c:v>
                </c:pt>
              </c:numCache>
            </c:numRef>
          </c:yVal>
        </c:ser>
        <c:ser>
          <c:idx val="5"/>
          <c:order val="1"/>
          <c:tx>
            <c:strRef>
              <c:f>'結果(改修前)'!$S$13</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dPt>
          <c:dPt>
            <c:idx val="1"/>
            <c:marker>
              <c:symbol val="triangle"/>
              <c:size val="20"/>
              <c:spPr>
                <a:solidFill>
                  <a:srgbClr val="339966"/>
                </a:solidFill>
                <a:ln>
                  <a:solidFill>
                    <a:srgbClr val="000000"/>
                  </a:solidFill>
                  <a:prstDash val="solid"/>
                </a:ln>
              </c:spPr>
            </c:marker>
            <c:spPr>
              <a:ln w="19050">
                <a:noFill/>
              </a:ln>
            </c:spPr>
          </c:dPt>
          <c:dPt>
            <c:idx val="2"/>
            <c:spPr>
              <a:ln w="38100">
                <a:solidFill>
                  <a:srgbClr val="008000"/>
                </a:solidFill>
                <a:prstDash val="solid"/>
              </a:ln>
            </c:spPr>
          </c:dPt>
          <c:dLbls>
            <c:dLbl>
              <c:idx val="1"/>
              <c:layout>
                <c:manualLayout>
                  <c:x val="-1.60375516200407E-2"/>
                  <c:y val="-5.0183727034120822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SerName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xVal>
            <c:numRef>
              <c:f>'結果(改修前)'!$S$23:$U$23</c:f>
              <c:numCache>
                <c:formatCode>#,##0;[Red]\-#,##0</c:formatCode>
                <c:ptCount val="3"/>
                <c:pt idx="1">
                  <c:v>0</c:v>
                </c:pt>
                <c:pt idx="2">
                  <c:v>0</c:v>
                </c:pt>
              </c:numCache>
            </c:numRef>
          </c:xVal>
          <c:yVal>
            <c:numRef>
              <c:f>'結果(改修前)'!$S$24:$U$24</c:f>
              <c:numCache>
                <c:formatCode>#,##0;[Red]\-#,##0</c:formatCode>
                <c:ptCount val="3"/>
                <c:pt idx="1">
                  <c:v>0</c:v>
                </c:pt>
                <c:pt idx="2">
                  <c:v>0</c:v>
                </c:pt>
              </c:numCache>
            </c:numRef>
          </c:yVal>
        </c:ser>
        <c:ser>
          <c:idx val="8"/>
          <c:order val="2"/>
          <c:spPr>
            <a:ln w="19050">
              <a:noFill/>
            </a:ln>
          </c:spPr>
          <c:marker>
            <c:symbol val="none"/>
          </c:marker>
          <c:dPt>
            <c:idx val="1"/>
            <c:marker>
              <c:symbol val="circle"/>
              <c:size val="6"/>
              <c:spPr>
                <a:solidFill>
                  <a:srgbClr val="008000"/>
                </a:solidFill>
                <a:ln>
                  <a:solidFill>
                    <a:srgbClr val="000000"/>
                  </a:solidFill>
                  <a:prstDash val="solid"/>
                </a:ln>
              </c:spPr>
            </c:marker>
          </c:dPt>
          <c:dPt>
            <c:idx val="3"/>
            <c:marker>
              <c:symbol val="circle"/>
              <c:size val="6"/>
              <c:spPr>
                <a:solidFill>
                  <a:srgbClr val="008000"/>
                </a:solidFill>
                <a:ln>
                  <a:solidFill>
                    <a:srgbClr val="000000"/>
                  </a:solidFill>
                  <a:prstDash val="solid"/>
                </a:ln>
              </c:spPr>
            </c:marker>
          </c:dPt>
          <c:xVal>
            <c:numRef>
              <c:f>'結果(改修前)'!$R$25:$U$25</c:f>
              <c:numCache>
                <c:formatCode>General</c:formatCode>
                <c:ptCount val="4"/>
                <c:pt idx="0">
                  <c:v>0</c:v>
                </c:pt>
                <c:pt idx="1">
                  <c:v>0</c:v>
                </c:pt>
                <c:pt idx="2" formatCode="#,##0;[Red]\-#,##0">
                  <c:v>0</c:v>
                </c:pt>
                <c:pt idx="3" formatCode="#,##0;[Red]\-#,##0">
                  <c:v>0.1</c:v>
                </c:pt>
              </c:numCache>
            </c:numRef>
          </c:xVal>
          <c:yVal>
            <c:numRef>
              <c:f>'結果(改修前)'!$R$26:$U$26</c:f>
              <c:numCache>
                <c:formatCode>General</c:formatCode>
                <c:ptCount val="4"/>
                <c:pt idx="0">
                  <c:v>0</c:v>
                </c:pt>
                <c:pt idx="1">
                  <c:v>0</c:v>
                </c:pt>
                <c:pt idx="2" formatCode="#,##0;[Red]\-#,##0">
                  <c:v>0</c:v>
                </c:pt>
                <c:pt idx="3" formatCode="#,##0;[Red]\-#,##0">
                  <c:v>0</c:v>
                </c:pt>
              </c:numCache>
            </c:numRef>
          </c:yVal>
        </c:ser>
        <c:axId val="92252032"/>
        <c:axId val="92253568"/>
      </c:scatterChart>
      <c:catAx>
        <c:axId val="92240512"/>
        <c:scaling>
          <c:orientation val="minMax"/>
        </c:scaling>
        <c:axPos val="b"/>
        <c:numFmt formatCode="#,##0;[Red]\-#,##0" sourceLinked="1"/>
        <c:majorTickMark val="none"/>
        <c:tickLblPos val="none"/>
        <c:spPr>
          <a:ln w="3175">
            <a:solidFill>
              <a:srgbClr val="000000"/>
            </a:solidFill>
            <a:prstDash val="solid"/>
          </a:ln>
        </c:spPr>
        <c:crossAx val="92250496"/>
        <c:crosses val="autoZero"/>
        <c:lblAlgn val="ctr"/>
        <c:lblOffset val="100"/>
        <c:tickLblSkip val="50"/>
        <c:tickMarkSkip val="50"/>
      </c:catAx>
      <c:valAx>
        <c:axId val="92250496"/>
        <c:scaling>
          <c:orientation val="minMax"/>
          <c:max val="100"/>
          <c:min val="0"/>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2240512"/>
        <c:crosses val="autoZero"/>
        <c:crossBetween val="midCat"/>
        <c:majorUnit val="50"/>
      </c:valAx>
      <c:valAx>
        <c:axId val="92252032"/>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2253568"/>
        <c:crosses val="max"/>
        <c:crossBetween val="midCat"/>
        <c:majorUnit val="50"/>
      </c:valAx>
      <c:valAx>
        <c:axId val="92253568"/>
        <c:scaling>
          <c:orientation val="minMax"/>
          <c:max val="100"/>
        </c:scaling>
        <c:axPos val="r"/>
        <c:numFmt formatCode="General" sourceLinked="1"/>
        <c:majorTickMark val="in"/>
        <c:tickLblPos val="none"/>
        <c:spPr>
          <a:ln w="3175">
            <a:solidFill>
              <a:srgbClr val="000000"/>
            </a:solidFill>
            <a:prstDash val="solid"/>
          </a:ln>
        </c:spPr>
        <c:crossAx val="92252032"/>
        <c:crosses val="max"/>
        <c:crossBetween val="midCat"/>
        <c:majorUnit val="50"/>
      </c:valAx>
      <c:spPr>
        <a:solidFill>
          <a:srgbClr val="C0C0C0"/>
        </a:solidFill>
        <a:ln w="12700">
          <a:solidFill>
            <a:srgbClr val="80808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19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479744"/>
        <c:axId val="122481280"/>
      </c:barChart>
      <c:catAx>
        <c:axId val="122479744"/>
        <c:scaling>
          <c:orientation val="minMax"/>
        </c:scaling>
        <c:delete val="1"/>
        <c:axPos val="l"/>
        <c:tickLblPos val="none"/>
        <c:crossAx val="122481280"/>
        <c:crossesAt val="0"/>
        <c:auto val="1"/>
        <c:lblAlgn val="ctr"/>
        <c:lblOffset val="100"/>
      </c:catAx>
      <c:valAx>
        <c:axId val="1224812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4797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508800"/>
        <c:axId val="122510336"/>
      </c:barChart>
      <c:catAx>
        <c:axId val="122508800"/>
        <c:scaling>
          <c:orientation val="minMax"/>
        </c:scaling>
        <c:delete val="1"/>
        <c:axPos val="l"/>
        <c:tickLblPos val="none"/>
        <c:crossAx val="122510336"/>
        <c:crossesAt val="0"/>
        <c:auto val="1"/>
        <c:lblAlgn val="ctr"/>
        <c:lblOffset val="100"/>
      </c:catAx>
      <c:valAx>
        <c:axId val="1225103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5088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22537856"/>
        <c:axId val="122539392"/>
      </c:barChart>
      <c:catAx>
        <c:axId val="122537856"/>
        <c:scaling>
          <c:orientation val="minMax"/>
        </c:scaling>
        <c:delete val="1"/>
        <c:axPos val="l"/>
        <c:tickLblPos val="none"/>
        <c:crossAx val="122539392"/>
        <c:crossesAt val="0"/>
        <c:auto val="1"/>
        <c:lblAlgn val="ctr"/>
        <c:lblOffset val="100"/>
      </c:catAx>
      <c:valAx>
        <c:axId val="1225393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5378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独自ｼｽﾃﾑ_改修前後の比較!$Q$17</c:f>
              <c:numCache>
                <c:formatCode>General</c:formatCode>
                <c:ptCount val="1"/>
                <c:pt idx="0">
                  <c:v>0</c:v>
                </c:pt>
              </c:numCache>
            </c:numRef>
          </c:val>
        </c:ser>
        <c:gapWidth val="0"/>
        <c:axId val="122620160"/>
        <c:axId val="122634240"/>
      </c:barChart>
      <c:catAx>
        <c:axId val="122620160"/>
        <c:scaling>
          <c:orientation val="minMax"/>
        </c:scaling>
        <c:delete val="1"/>
        <c:axPos val="l"/>
        <c:tickLblPos val="none"/>
        <c:crossAx val="122634240"/>
        <c:crossesAt val="0"/>
        <c:auto val="1"/>
        <c:lblAlgn val="ctr"/>
        <c:lblOffset val="100"/>
      </c:catAx>
      <c:valAx>
        <c:axId val="1226342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620160"/>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独自ｼｽﾃﾑ_改修前後の比較!$R$17</c:f>
              <c:numCache>
                <c:formatCode>General</c:formatCode>
                <c:ptCount val="1"/>
                <c:pt idx="0">
                  <c:v>0</c:v>
                </c:pt>
              </c:numCache>
            </c:numRef>
          </c:val>
        </c:ser>
        <c:gapWidth val="0"/>
        <c:axId val="122716544"/>
        <c:axId val="122718080"/>
      </c:barChart>
      <c:catAx>
        <c:axId val="122716544"/>
        <c:scaling>
          <c:orientation val="minMax"/>
        </c:scaling>
        <c:delete val="1"/>
        <c:axPos val="l"/>
        <c:tickLblPos val="none"/>
        <c:crossAx val="122718080"/>
        <c:crossesAt val="0"/>
        <c:auto val="1"/>
        <c:lblAlgn val="ctr"/>
        <c:lblOffset val="100"/>
      </c:catAx>
      <c:valAx>
        <c:axId val="1227180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716544"/>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独自ｼｽﾃﾑ_改修前後の比較!$Q$20</c:f>
              <c:numCache>
                <c:formatCode>General</c:formatCode>
                <c:ptCount val="1"/>
                <c:pt idx="0">
                  <c:v>0</c:v>
                </c:pt>
              </c:numCache>
            </c:numRef>
          </c:val>
        </c:ser>
        <c:gapWidth val="0"/>
        <c:axId val="122852096"/>
        <c:axId val="122853632"/>
      </c:barChart>
      <c:catAx>
        <c:axId val="122852096"/>
        <c:scaling>
          <c:orientation val="minMax"/>
        </c:scaling>
        <c:delete val="1"/>
        <c:axPos val="l"/>
        <c:tickLblPos val="none"/>
        <c:crossAx val="122853632"/>
        <c:crossesAt val="0"/>
        <c:auto val="1"/>
        <c:lblAlgn val="ctr"/>
        <c:lblOffset val="100"/>
      </c:catAx>
      <c:valAx>
        <c:axId val="12285363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852096"/>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独自ｼｽﾃﾑ_改修前後の比較!$R$20</c:f>
              <c:numCache>
                <c:formatCode>General</c:formatCode>
                <c:ptCount val="1"/>
                <c:pt idx="0">
                  <c:v>0</c:v>
                </c:pt>
              </c:numCache>
            </c:numRef>
          </c:val>
        </c:ser>
        <c:gapWidth val="0"/>
        <c:axId val="122750080"/>
        <c:axId val="122751616"/>
      </c:barChart>
      <c:catAx>
        <c:axId val="122750080"/>
        <c:scaling>
          <c:orientation val="minMax"/>
        </c:scaling>
        <c:delete val="1"/>
        <c:axPos val="l"/>
        <c:tickLblPos val="none"/>
        <c:crossAx val="122751616"/>
        <c:crossesAt val="0"/>
        <c:auto val="1"/>
        <c:lblAlgn val="ctr"/>
        <c:lblOffset val="100"/>
      </c:catAx>
      <c:valAx>
        <c:axId val="1227516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750080"/>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独自ｼｽﾃﾑ_改修前後の比較!$Q$23</c:f>
              <c:numCache>
                <c:formatCode>General</c:formatCode>
                <c:ptCount val="1"/>
                <c:pt idx="0">
                  <c:v>0</c:v>
                </c:pt>
              </c:numCache>
            </c:numRef>
          </c:val>
        </c:ser>
        <c:gapWidth val="0"/>
        <c:axId val="122775040"/>
        <c:axId val="122776576"/>
      </c:barChart>
      <c:catAx>
        <c:axId val="122775040"/>
        <c:scaling>
          <c:orientation val="minMax"/>
        </c:scaling>
        <c:delete val="1"/>
        <c:axPos val="l"/>
        <c:tickLblPos val="none"/>
        <c:crossAx val="122776576"/>
        <c:crossesAt val="0"/>
        <c:auto val="1"/>
        <c:lblAlgn val="ctr"/>
        <c:lblOffset val="100"/>
      </c:catAx>
      <c:valAx>
        <c:axId val="122776576"/>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775040"/>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独自ｼｽﾃﾑ_改修前後の比較!$R$23</c:f>
              <c:numCache>
                <c:formatCode>General</c:formatCode>
                <c:ptCount val="1"/>
                <c:pt idx="0">
                  <c:v>0</c:v>
                </c:pt>
              </c:numCache>
            </c:numRef>
          </c:val>
        </c:ser>
        <c:gapWidth val="0"/>
        <c:axId val="122804096"/>
        <c:axId val="122805632"/>
      </c:barChart>
      <c:catAx>
        <c:axId val="122804096"/>
        <c:scaling>
          <c:orientation val="minMax"/>
        </c:scaling>
        <c:delete val="1"/>
        <c:axPos val="l"/>
        <c:tickLblPos val="none"/>
        <c:crossAx val="122805632"/>
        <c:crossesAt val="0"/>
        <c:auto val="1"/>
        <c:lblAlgn val="ctr"/>
        <c:lblOffset val="100"/>
      </c:catAx>
      <c:valAx>
        <c:axId val="122805632"/>
        <c:scaling>
          <c:orientation val="minMax"/>
          <c:max val="5"/>
          <c:min val="0"/>
        </c:scaling>
        <c:delete val="1"/>
        <c:axPos val="b"/>
        <c:majorGridlines>
          <c:spPr>
            <a:ln w="3175">
              <a:solidFill>
                <a:srgbClr val="FFFFFF"/>
              </a:solidFill>
              <a:prstDash val="solid"/>
            </a:ln>
          </c:spPr>
        </c:majorGridlines>
        <c:numFmt formatCode="General" sourceLinked="1"/>
        <c:tickLblPos val="none"/>
        <c:crossAx val="122804096"/>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7.3954983922829592E-2"/>
          <c:y val="8.2840476032255514E-2"/>
          <c:w val="0.909967845659164"/>
          <c:h val="0.72781275371195886"/>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'結果(改修後)'!$U$59:$U$61</c:f>
              <c:strCache>
                <c:ptCount val="3"/>
                <c:pt idx="0">
                  <c:v>水資源</c:v>
                </c:pt>
                <c:pt idx="1">
                  <c:v>非再生性材料の削減</c:v>
                </c:pt>
                <c:pt idx="2">
                  <c:v>汚染物質回避</c:v>
                </c:pt>
              </c:strCache>
            </c:strRef>
          </c:cat>
          <c:val>
            <c:numRef>
              <c:f>'結果(改修後)'!$V$59:$V$61</c:f>
              <c:numCache>
                <c:formatCode>0.0_ </c:formatCode>
                <c:ptCount val="3"/>
                <c:pt idx="0">
                  <c:v>0</c:v>
                </c:pt>
                <c:pt idx="1">
                  <c:v>0</c:v>
                </c:pt>
                <c:pt idx="2">
                  <c:v>0</c:v>
                </c:pt>
              </c:numCache>
            </c:numRef>
          </c:val>
        </c:ser>
        <c:dLbls>
          <c:showVal val="1"/>
        </c:dLbls>
        <c:gapWidth val="70"/>
        <c:axId val="78074624"/>
        <c:axId val="78076160"/>
      </c:barChart>
      <c:catAx>
        <c:axId val="78074624"/>
        <c:scaling>
          <c:orientation val="minMax"/>
        </c:scaling>
        <c:axPos val="b"/>
        <c:numFmt formatCode="General" sourceLinked="1"/>
        <c:majorTickMark val="none"/>
        <c:tickLblPos val="none"/>
        <c:spPr>
          <a:ln w="3175">
            <a:solidFill>
              <a:srgbClr val="000000"/>
            </a:solidFill>
            <a:prstDash val="solid"/>
          </a:ln>
        </c:spPr>
        <c:crossAx val="78076160"/>
        <c:crossesAt val="0"/>
        <c:auto val="1"/>
        <c:lblAlgn val="ctr"/>
        <c:lblOffset val="100"/>
        <c:tickMarkSkip val="1"/>
      </c:catAx>
      <c:valAx>
        <c:axId val="7807616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78074624"/>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horizontalDpi="-3" verticalDpi="-3"/>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3346303501945546E-2"/>
          <c:y val="7.3529411764705885E-2"/>
          <c:w val="0.95719844357976724"/>
          <c:h val="0.89705882352941235"/>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'結果(改修前)'!$R$15</c:f>
              <c:strCache>
                <c:ptCount val="1"/>
                <c:pt idx="0">
                  <c:v>Rank(red star)</c:v>
                </c:pt>
              </c:strCache>
            </c:strRef>
          </c:cat>
          <c:val>
            <c:numRef>
              <c:f>'結果(改修前)'!$S$15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'結果(改修前)'!$R$15</c:f>
              <c:strCache>
                <c:ptCount val="1"/>
                <c:pt idx="0">
                  <c:v>Rank(red star)</c:v>
                </c:pt>
              </c:strCache>
            </c:strRef>
          </c:cat>
          <c:val>
            <c:numRef>
              <c:f>'結果(改修前)'!$S$16</c:f>
              <c:numCache>
                <c:formatCode>#,##0.0;[Red]\-#,##0.0</c:formatCode>
                <c:ptCount val="1"/>
                <c:pt idx="0">
                  <c:v>0</c:v>
                </c:pt>
              </c:numCache>
            </c:numRef>
          </c:val>
        </c:ser>
        <c:gapWidth val="50"/>
        <c:overlap val="100"/>
        <c:axId val="92496256"/>
        <c:axId val="92497792"/>
      </c:barChart>
      <c:catAx>
        <c:axId val="92496256"/>
        <c:scaling>
          <c:orientation val="minMax"/>
        </c:scaling>
        <c:delete val="1"/>
        <c:axPos val="l"/>
        <c:numFmt formatCode="General" sourceLinked="1"/>
        <c:tickLblPos val="none"/>
        <c:crossAx val="92497792"/>
        <c:crosses val="autoZero"/>
        <c:auto val="1"/>
        <c:lblAlgn val="ctr"/>
        <c:lblOffset val="100"/>
      </c:catAx>
      <c:valAx>
        <c:axId val="92497792"/>
        <c:scaling>
          <c:orientation val="minMax"/>
        </c:scaling>
        <c:delete val="1"/>
        <c:axPos val="b"/>
        <c:numFmt formatCode="0%" sourceLinked="1"/>
        <c:tickLblPos val="none"/>
        <c:crossAx val="92496256"/>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6891891891891893E-2"/>
          <c:y val="5.6818497084167974E-2"/>
          <c:w val="0.96283783783783783"/>
          <c:h val="0.8409137568456857"/>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'結果(改修前)'!$R$35</c:f>
              <c:strCache>
                <c:ptCount val="1"/>
                <c:pt idx="0">
                  <c:v>Rank(green star)</c:v>
                </c:pt>
              </c:strCache>
            </c:strRef>
          </c:cat>
          <c:val>
            <c:numRef>
              <c:f>'結果(改修前)'!$S$35</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'結果(改修前)'!$R$35</c:f>
              <c:strCache>
                <c:ptCount val="1"/>
                <c:pt idx="0">
                  <c:v>Rank(green star)</c:v>
                </c:pt>
              </c:strCache>
            </c:strRef>
          </c:cat>
          <c:val>
            <c:numRef>
              <c:f>'結果(改修前)'!$S$36</c:f>
              <c:numCache>
                <c:formatCode>#,##0.0;[Red]\-#,##0.0</c:formatCode>
                <c:ptCount val="1"/>
                <c:pt idx="0">
                  <c:v>0</c:v>
                </c:pt>
              </c:numCache>
            </c:numRef>
          </c:val>
        </c:ser>
        <c:gapWidth val="50"/>
        <c:overlap val="100"/>
        <c:axId val="92620672"/>
        <c:axId val="92622208"/>
      </c:barChart>
      <c:catAx>
        <c:axId val="92620672"/>
        <c:scaling>
          <c:orientation val="minMax"/>
        </c:scaling>
        <c:delete val="1"/>
        <c:axPos val="l"/>
        <c:numFmt formatCode="General" sourceLinked="1"/>
        <c:tickLblPos val="none"/>
        <c:crossAx val="92622208"/>
        <c:crosses val="autoZero"/>
        <c:auto val="1"/>
        <c:lblAlgn val="ctr"/>
        <c:lblOffset val="100"/>
      </c:catAx>
      <c:valAx>
        <c:axId val="92622208"/>
        <c:scaling>
          <c:orientation val="minMax"/>
        </c:scaling>
        <c:delete val="1"/>
        <c:axPos val="b"/>
        <c:numFmt formatCode="0%" sourceLinked="1"/>
        <c:tickLblPos val="none"/>
        <c:crossAx val="92620672"/>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3846153846153863E-2"/>
          <c:y val="0.11797785172119613"/>
          <c:w val="0.89615384615384663"/>
          <c:h val="0.70224911738807361"/>
        </c:manualLayout>
      </c:layout>
      <c:barChart>
        <c:barDir val="bar"/>
        <c:grouping val="stacked"/>
        <c:ser>
          <c:idx val="0"/>
          <c:order val="0"/>
          <c:tx>
            <c:strRef>
              <c:f>'結果(改修前)'!$S$38</c:f>
              <c:strCache>
                <c:ptCount val="1"/>
                <c:pt idx="0">
                  <c:v>建設</c:v>
                </c:pt>
              </c:strCache>
            </c:strRef>
          </c:tx>
          <c:spPr>
            <a:solidFill>
              <a:srgbClr val="9999FF"/>
            </a:solidFill>
            <a:ln w="12700">
              <a:solidFill>
                <a:srgbClr val="000000"/>
              </a:solidFill>
              <a:prstDash val="solid"/>
            </a:ln>
          </c:spPr>
          <c:dPt>
            <c:idx val="0"/>
            <c:spPr>
              <a:solidFill>
                <a:srgbClr val="9999FF"/>
              </a:solidFill>
              <a:ln w="12700">
                <a:solidFill>
                  <a:srgbClr val="000000"/>
                </a:solidFill>
                <a:prstDash val="sysDash"/>
              </a:ln>
            </c:spPr>
          </c:dPt>
          <c:val>
            <c:numRef>
              <c:f>'結果(改修前)'!$S$39:$S$42</c:f>
              <c:numCache>
                <c:formatCode>General</c:formatCode>
                <c:ptCount val="4"/>
                <c:pt idx="0">
                  <c:v>0</c:v>
                </c:pt>
                <c:pt idx="1">
                  <c:v>0</c:v>
                </c:pt>
              </c:numCache>
            </c:numRef>
          </c:val>
        </c:ser>
        <c:ser>
          <c:idx val="1"/>
          <c:order val="1"/>
          <c:tx>
            <c:strRef>
              <c:f>'結果(改修前)'!$T$38</c:f>
              <c:strCache>
                <c:ptCount val="1"/>
                <c:pt idx="0">
                  <c:v>修繕・更新・解体</c:v>
                </c:pt>
              </c:strCache>
            </c:strRef>
          </c:tx>
          <c:spPr>
            <a:solidFill>
              <a:srgbClr val="99CC00"/>
            </a:solidFill>
            <a:ln w="12700">
              <a:solidFill>
                <a:srgbClr val="000000"/>
              </a:solidFill>
              <a:prstDash val="solid"/>
            </a:ln>
          </c:spPr>
          <c:dPt>
            <c:idx val="0"/>
            <c:spPr>
              <a:solidFill>
                <a:srgbClr val="99CC00"/>
              </a:solidFill>
              <a:ln w="12700">
                <a:solidFill>
                  <a:srgbClr val="000000"/>
                </a:solidFill>
                <a:prstDash val="sysDash"/>
              </a:ln>
            </c:spPr>
          </c:dPt>
          <c:val>
            <c:numRef>
              <c:f>'結果(改修前)'!$T$39:$T$42</c:f>
              <c:numCache>
                <c:formatCode>General</c:formatCode>
                <c:ptCount val="4"/>
                <c:pt idx="0">
                  <c:v>0</c:v>
                </c:pt>
                <c:pt idx="1">
                  <c:v>0</c:v>
                </c:pt>
              </c:numCache>
            </c:numRef>
          </c:val>
        </c:ser>
        <c:ser>
          <c:idx val="2"/>
          <c:order val="2"/>
          <c:tx>
            <c:strRef>
              <c:f>'結果(改修前)'!$U$38</c:f>
              <c:strCache>
                <c:ptCount val="1"/>
                <c:pt idx="0">
                  <c:v>運用</c:v>
                </c:pt>
              </c:strCache>
            </c:strRef>
          </c:tx>
          <c:spPr>
            <a:solidFill>
              <a:srgbClr val="FFFFCC"/>
            </a:solidFill>
            <a:ln w="12700">
              <a:solidFill>
                <a:srgbClr val="000000"/>
              </a:solidFill>
              <a:prstDash val="solid"/>
            </a:ln>
          </c:spPr>
          <c:dPt>
            <c:idx val="0"/>
            <c:spPr>
              <a:solidFill>
                <a:srgbClr val="FFFFCC"/>
              </a:solidFill>
              <a:ln w="12700">
                <a:solidFill>
                  <a:srgbClr val="000000"/>
                </a:solidFill>
                <a:prstDash val="sysDash"/>
              </a:ln>
            </c:spPr>
          </c:dPt>
          <c:val>
            <c:numRef>
              <c:f>'結果(改修前)'!$U$39:$U$42</c:f>
              <c:numCache>
                <c:formatCode>General</c:formatCode>
                <c:ptCount val="4"/>
                <c:pt idx="0">
                  <c:v>0</c:v>
                </c:pt>
                <c:pt idx="1">
                  <c:v>0</c:v>
                </c:pt>
              </c:numCache>
            </c:numRef>
          </c:val>
        </c:ser>
        <c:ser>
          <c:idx val="3"/>
          <c:order val="3"/>
          <c:tx>
            <c:strRef>
              <c:f>'結果(改修前)'!$V$38</c:f>
              <c:strCache>
                <c:ptCount val="1"/>
                <c:pt idx="0">
                  <c:v>オンサイト</c:v>
                </c:pt>
              </c:strCache>
            </c:strRef>
          </c:tx>
          <c:spPr>
            <a:solidFill>
              <a:srgbClr val="969696"/>
            </a:solidFill>
            <a:ln w="12700">
              <a:solidFill>
                <a:srgbClr val="000000"/>
              </a:solidFill>
              <a:prstDash val="solid"/>
            </a:ln>
          </c:spPr>
          <c:val>
            <c:numRef>
              <c:f>'結果(改修前)'!$V$39:$V$42</c:f>
              <c:numCache>
                <c:formatCode>General</c:formatCode>
                <c:ptCount val="4"/>
                <c:pt idx="2">
                  <c:v>0</c:v>
                </c:pt>
              </c:numCache>
            </c:numRef>
          </c:val>
        </c:ser>
        <c:ser>
          <c:idx val="4"/>
          <c:order val="4"/>
          <c:tx>
            <c:strRef>
              <c:f>'結果(改修前)'!$W$38</c:f>
              <c:strCache>
                <c:ptCount val="1"/>
                <c:pt idx="0">
                  <c:v>オフサイト</c:v>
                </c:pt>
              </c:strCache>
            </c:strRef>
          </c:tx>
          <c:spPr>
            <a:pattFill prst="pct60">
              <a:fgClr>
                <a:srgbClr val="C0C0C0"/>
              </a:fgClr>
              <a:bgClr>
                <a:srgbClr val="FFFFFF"/>
              </a:bgClr>
            </a:pattFill>
            <a:ln w="12700">
              <a:solidFill>
                <a:srgbClr val="000000"/>
              </a:solidFill>
              <a:prstDash val="solid"/>
            </a:ln>
          </c:spPr>
          <c:val>
            <c:numRef>
              <c:f>'結果(改修前)'!$W$39:$W$42</c:f>
              <c:numCache>
                <c:formatCode>General</c:formatCode>
                <c:ptCount val="4"/>
                <c:pt idx="3">
                  <c:v>0</c:v>
                </c:pt>
              </c:numCache>
            </c:numRef>
          </c:val>
        </c:ser>
        <c:gapWidth val="50"/>
        <c:overlap val="100"/>
        <c:axId val="92695168"/>
        <c:axId val="92705152"/>
      </c:barChart>
      <c:catAx>
        <c:axId val="92695168"/>
        <c:scaling>
          <c:orientation val="maxMin"/>
        </c:scaling>
        <c:delete val="1"/>
        <c:axPos val="l"/>
        <c:tickLblPos val="none"/>
        <c:crossAx val="92705152"/>
        <c:crosses val="autoZero"/>
        <c:auto val="1"/>
        <c:lblAlgn val="ctr"/>
        <c:lblOffset val="100"/>
      </c:catAx>
      <c:valAx>
        <c:axId val="92705152"/>
        <c:scaling>
          <c:orientation val="minMax"/>
        </c:scaling>
        <c:axPos val="b"/>
        <c:majorGridlines>
          <c:spPr>
            <a:ln w="3175">
              <a:solidFill>
                <a:srgbClr val="808080"/>
              </a:solidFill>
              <a:prstDash val="solid"/>
            </a:ln>
          </c:spPr>
        </c:majorGridlines>
        <c:numFmt formatCode="General" sourceLinked="1"/>
        <c:majorTickMark val="in"/>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2695168"/>
        <c:crosses val="max"/>
        <c:crossBetween val="between"/>
      </c:valAx>
      <c:spPr>
        <a:noFill/>
        <a:ln w="3175">
          <a:solidFill>
            <a:srgbClr val="000000"/>
          </a:solidFill>
          <a:prstDash val="solid"/>
        </a:ln>
      </c:spPr>
    </c:plotArea>
    <c:legend>
      <c:legendPos val="t"/>
      <c:layout>
        <c:manualLayout>
          <c:xMode val="edge"/>
          <c:yMode val="edge"/>
          <c:x val="4.2307692307692366E-2"/>
          <c:y val="2.8089964695522891E-2"/>
          <c:w val="0.88846153846153841"/>
          <c:h val="8.9887887025673241E-2"/>
        </c:manualLayout>
      </c:layout>
      <c:spPr>
        <a:noFill/>
        <a:ln w="25400">
          <a:noFill/>
        </a:ln>
      </c:spPr>
      <c:txPr>
        <a:bodyPr/>
        <a:lstStyle/>
        <a:p>
          <a:pPr>
            <a:defRPr sz="505"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8323084971681228E-2"/>
          <c:y val="8.2840476032255514E-2"/>
          <c:w val="0.92236164711769553"/>
          <c:h val="0.71597839999306578"/>
        </c:manualLayout>
      </c:layout>
      <c:barChart>
        <c:barDir val="col"/>
        <c:grouping val="clustered"/>
        <c:ser>
          <c:idx val="0"/>
          <c:order val="0"/>
          <c:tx>
            <c:strRef>
              <c:f>改修前後の比較!$X$46</c:f>
              <c:strCache>
                <c:ptCount val="1"/>
                <c:pt idx="0">
                  <c:v>befoer</c:v>
                </c:pt>
              </c:strCache>
            </c:strRef>
          </c:tx>
          <c:spPr>
            <a:solidFill>
              <a:srgbClr val="FFFFCC"/>
            </a:solidFill>
            <a:ln w="12700">
              <a:solidFill>
                <a:srgbClr val="000000"/>
              </a:solidFill>
              <a:prstDash val="sysDash"/>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extLst>
              <c:ext xmlns:c15="http://schemas.microsoft.com/office/drawing/2012/chart" uri="{CE6537A1-D6FC-4f65-9D91-7224C49458BB}">
                <c15:showLeaderLines val="0"/>
              </c:ext>
            </c:extLst>
          </c:dLbls>
          <c:cat>
            <c:strRef>
              <c:f>改修前後の比較!$W$51:$W$53</c:f>
              <c:strCache>
                <c:ptCount val="3"/>
                <c:pt idx="0">
                  <c:v>機能性</c:v>
                </c:pt>
                <c:pt idx="1">
                  <c:v>耐用性・信頼性</c:v>
                </c:pt>
                <c:pt idx="2">
                  <c:v>対応性･更新性</c:v>
                </c:pt>
              </c:strCache>
            </c:strRef>
          </c:cat>
          <c:val>
            <c:numRef>
              <c:f>改修前後の比較!$X$51:$X$53</c:f>
              <c:numCache>
                <c:formatCode>0.0_ </c:formatCode>
                <c:ptCount val="3"/>
                <c:pt idx="0">
                  <c:v>0</c:v>
                </c:pt>
                <c:pt idx="1">
                  <c:v>0</c:v>
                </c:pt>
                <c:pt idx="2">
                  <c:v>0</c:v>
                </c:pt>
              </c:numCache>
            </c:numRef>
          </c:val>
        </c:ser>
        <c:ser>
          <c:idx val="1"/>
          <c:order val="1"/>
          <c:tx>
            <c:strRef>
              <c:f>改修前後の比較!$Z$46</c:f>
              <c:strCache>
                <c:ptCount val="1"/>
                <c:pt idx="0">
                  <c:v>after</c:v>
                </c:pt>
              </c:strCache>
            </c:strRef>
          </c:tx>
          <c:spPr>
            <a:solidFill>
              <a:srgbClr val="FFFF99"/>
            </a:solidFill>
            <a:ln w="12700">
              <a:solidFill>
                <a:srgbClr val="000000"/>
              </a:solidFill>
              <a:prstDash val="solid"/>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改修前後の比較!$W$51:$W$53</c:f>
              <c:strCache>
                <c:ptCount val="3"/>
                <c:pt idx="0">
                  <c:v>機能性</c:v>
                </c:pt>
                <c:pt idx="1">
                  <c:v>耐用性・信頼性</c:v>
                </c:pt>
                <c:pt idx="2">
                  <c:v>対応性･更新性</c:v>
                </c:pt>
              </c:strCache>
            </c:strRef>
          </c:cat>
          <c:val>
            <c:numRef>
              <c:f>改修前後の比較!$Z$51:$Z$53</c:f>
              <c:numCache>
                <c:formatCode>0.0_ </c:formatCode>
                <c:ptCount val="3"/>
                <c:pt idx="0">
                  <c:v>0</c:v>
                </c:pt>
                <c:pt idx="1">
                  <c:v>0</c:v>
                </c:pt>
                <c:pt idx="2">
                  <c:v>0</c:v>
                </c:pt>
              </c:numCache>
            </c:numRef>
          </c:val>
        </c:ser>
        <c:dLbls>
          <c:showVal val="1"/>
        </c:dLbls>
        <c:gapWidth val="70"/>
        <c:axId val="93210112"/>
        <c:axId val="93211648"/>
      </c:barChart>
      <c:catAx>
        <c:axId val="93210112"/>
        <c:scaling>
          <c:orientation val="minMax"/>
        </c:scaling>
        <c:delete val="1"/>
        <c:axPos val="b"/>
        <c:numFmt formatCode="General" sourceLinked="1"/>
        <c:tickLblPos val="none"/>
        <c:crossAx val="93211648"/>
        <c:crossesAt val="0"/>
        <c:auto val="1"/>
        <c:lblAlgn val="ctr"/>
        <c:lblOffset val="100"/>
      </c:catAx>
      <c:valAx>
        <c:axId val="93211648"/>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3210112"/>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6455798889621998E-2"/>
          <c:y val="8.2840476032255514E-2"/>
          <c:w val="0.92088749889904753"/>
          <c:h val="0.72189557685251315"/>
        </c:manualLayout>
      </c:layout>
      <c:barChart>
        <c:barDir val="col"/>
        <c:grouping val="clustered"/>
        <c:ser>
          <c:idx val="0"/>
          <c:order val="0"/>
          <c:tx>
            <c:strRef>
              <c:f>改修前後の比較!$AC$46</c:f>
              <c:strCache>
                <c:ptCount val="1"/>
                <c:pt idx="0">
                  <c:v>befoer</c:v>
                </c:pt>
              </c:strCache>
            </c:strRef>
          </c:tx>
          <c:spPr>
            <a:solidFill>
              <a:srgbClr val="CCFFCC"/>
            </a:solidFill>
            <a:ln w="12700">
              <a:solidFill>
                <a:srgbClr val="000000"/>
              </a:solidFill>
              <a:prstDash val="sysDash"/>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extLst>
              <c:ext xmlns:c15="http://schemas.microsoft.com/office/drawing/2012/chart" uri="{CE6537A1-D6FC-4f65-9D91-7224C49458BB}">
                <c15:showLeaderLines val="0"/>
              </c:ext>
            </c:extLst>
          </c:dLbls>
          <c:cat>
            <c:strRef>
              <c:f>改修前後の比較!$AB$62:$AB$64</c:f>
              <c:strCache>
                <c:ptCount val="3"/>
                <c:pt idx="0">
                  <c:v>地球温暖化への配慮</c:v>
                </c:pt>
                <c:pt idx="1">
                  <c:v>地域環境への配慮</c:v>
                </c:pt>
                <c:pt idx="2">
                  <c:v>周辺環境への配慮</c:v>
                </c:pt>
              </c:strCache>
            </c:strRef>
          </c:cat>
          <c:val>
            <c:numRef>
              <c:f>改修前後の比較!$AC$62:$AC$64</c:f>
              <c:numCache>
                <c:formatCode>0.0_ </c:formatCode>
                <c:ptCount val="3"/>
                <c:pt idx="0">
                  <c:v>0</c:v>
                </c:pt>
                <c:pt idx="1">
                  <c:v>0</c:v>
                </c:pt>
                <c:pt idx="2">
                  <c:v>0</c:v>
                </c:pt>
              </c:numCache>
            </c:numRef>
          </c:val>
        </c:ser>
        <c:ser>
          <c:idx val="1"/>
          <c:order val="1"/>
          <c:tx>
            <c:strRef>
              <c:f>改修前後の比較!$AE$46</c:f>
              <c:strCache>
                <c:ptCount val="1"/>
                <c:pt idx="0">
                  <c:v>after</c:v>
                </c:pt>
              </c:strCache>
            </c:strRef>
          </c:tx>
          <c:spPr>
            <a:solidFill>
              <a:srgbClr val="99CC00"/>
            </a:solidFill>
            <a:ln w="12700">
              <a:solidFill>
                <a:srgbClr val="000000"/>
              </a:solidFill>
              <a:prstDash val="solid"/>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改修前後の比較!$AB$62:$AB$64</c:f>
              <c:strCache>
                <c:ptCount val="3"/>
                <c:pt idx="0">
                  <c:v>地球温暖化への配慮</c:v>
                </c:pt>
                <c:pt idx="1">
                  <c:v>地域環境への配慮</c:v>
                </c:pt>
                <c:pt idx="2">
                  <c:v>周辺環境への配慮</c:v>
                </c:pt>
              </c:strCache>
            </c:strRef>
          </c:cat>
          <c:val>
            <c:numRef>
              <c:f>改修前後の比較!$AE$62:$AE$64</c:f>
              <c:numCache>
                <c:formatCode>0.0_ </c:formatCode>
                <c:ptCount val="3"/>
                <c:pt idx="0">
                  <c:v>0</c:v>
                </c:pt>
                <c:pt idx="1">
                  <c:v>0</c:v>
                </c:pt>
                <c:pt idx="2">
                  <c:v>0</c:v>
                </c:pt>
              </c:numCache>
            </c:numRef>
          </c:val>
        </c:ser>
        <c:dLbls>
          <c:showVal val="1"/>
        </c:dLbls>
        <c:gapWidth val="70"/>
        <c:axId val="93312128"/>
        <c:axId val="93313664"/>
      </c:barChart>
      <c:catAx>
        <c:axId val="93312128"/>
        <c:scaling>
          <c:orientation val="minMax"/>
        </c:scaling>
        <c:delete val="1"/>
        <c:axPos val="b"/>
        <c:numFmt formatCode="General" sourceLinked="1"/>
        <c:tickLblPos val="none"/>
        <c:crossAx val="93313664"/>
        <c:crossesAt val="0"/>
        <c:auto val="1"/>
        <c:lblAlgn val="ctr"/>
        <c:lblOffset val="100"/>
      </c:catAx>
      <c:valAx>
        <c:axId val="93313664"/>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3312128"/>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6246056782334375E-2"/>
          <c:y val="8.2352941176470712E-2"/>
          <c:w val="0.92113564668769765"/>
          <c:h val="0.71176470588235219"/>
        </c:manualLayout>
      </c:layout>
      <c:barChart>
        <c:barDir val="col"/>
        <c:grouping val="clustered"/>
        <c:ser>
          <c:idx val="0"/>
          <c:order val="0"/>
          <c:tx>
            <c:strRef>
              <c:f>改修前後の比較!$AC$46</c:f>
              <c:strCache>
                <c:ptCount val="1"/>
                <c:pt idx="0">
                  <c:v>befoer</c:v>
                </c:pt>
              </c:strCache>
            </c:strRef>
          </c:tx>
          <c:spPr>
            <a:solidFill>
              <a:srgbClr val="FFFFCC"/>
            </a:solidFill>
            <a:ln w="12700">
              <a:solidFill>
                <a:srgbClr val="000000"/>
              </a:solidFill>
              <a:prstDash val="sysDash"/>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extLst>
              <c:ext xmlns:c15="http://schemas.microsoft.com/office/drawing/2012/chart" uri="{CE6537A1-D6FC-4f65-9D91-7224C49458BB}">
                <c15:showLeaderLines val="0"/>
              </c:ext>
            </c:extLst>
          </c:dLbls>
          <c:cat>
            <c:strRef>
              <c:f>改修前後の比較!$AB$51:$AB$53</c:f>
              <c:strCache>
                <c:ptCount val="3"/>
                <c:pt idx="0">
                  <c:v>生物環境</c:v>
                </c:pt>
                <c:pt idx="1">
                  <c:v>まちなみ景観</c:v>
                </c:pt>
                <c:pt idx="2">
                  <c:v>地域性・文化</c:v>
                </c:pt>
              </c:strCache>
            </c:strRef>
          </c:cat>
          <c:val>
            <c:numRef>
              <c:f>改修前後の比較!$AC$51:$AC$53</c:f>
              <c:numCache>
                <c:formatCode>0.0_ </c:formatCode>
                <c:ptCount val="3"/>
                <c:pt idx="0">
                  <c:v>3</c:v>
                </c:pt>
                <c:pt idx="1">
                  <c:v>3</c:v>
                </c:pt>
                <c:pt idx="2">
                  <c:v>0</c:v>
                </c:pt>
              </c:numCache>
            </c:numRef>
          </c:val>
        </c:ser>
        <c:ser>
          <c:idx val="1"/>
          <c:order val="1"/>
          <c:tx>
            <c:strRef>
              <c:f>改修前後の比較!$AE$46</c:f>
              <c:strCache>
                <c:ptCount val="1"/>
                <c:pt idx="0">
                  <c:v>after</c:v>
                </c:pt>
              </c:strCache>
            </c:strRef>
          </c:tx>
          <c:spPr>
            <a:solidFill>
              <a:srgbClr val="FFFF99"/>
            </a:solidFill>
            <a:ln w="12700">
              <a:solidFill>
                <a:srgbClr val="000000"/>
              </a:solidFill>
              <a:prstDash val="solid"/>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改修前後の比較!$AB$51:$AB$53</c:f>
              <c:strCache>
                <c:ptCount val="3"/>
                <c:pt idx="0">
                  <c:v>生物環境</c:v>
                </c:pt>
                <c:pt idx="1">
                  <c:v>まちなみ景観</c:v>
                </c:pt>
                <c:pt idx="2">
                  <c:v>地域性・文化</c:v>
                </c:pt>
              </c:strCache>
            </c:strRef>
          </c:cat>
          <c:val>
            <c:numRef>
              <c:f>改修前後の比較!$AE$51:$AE$53</c:f>
              <c:numCache>
                <c:formatCode>0.0_ </c:formatCode>
                <c:ptCount val="3"/>
                <c:pt idx="0">
                  <c:v>3</c:v>
                </c:pt>
                <c:pt idx="1">
                  <c:v>3</c:v>
                </c:pt>
                <c:pt idx="2">
                  <c:v>0</c:v>
                </c:pt>
              </c:numCache>
            </c:numRef>
          </c:val>
        </c:ser>
        <c:dLbls>
          <c:showVal val="1"/>
        </c:dLbls>
        <c:gapWidth val="70"/>
        <c:axId val="93426432"/>
        <c:axId val="93427968"/>
      </c:barChart>
      <c:catAx>
        <c:axId val="93426432"/>
        <c:scaling>
          <c:orientation val="minMax"/>
        </c:scaling>
        <c:delete val="1"/>
        <c:axPos val="b"/>
        <c:numFmt formatCode="General" sourceLinked="1"/>
        <c:tickLblPos val="none"/>
        <c:crossAx val="93427968"/>
        <c:crossesAt val="0"/>
        <c:auto val="1"/>
        <c:lblAlgn val="ctr"/>
        <c:lblOffset val="100"/>
      </c:catAx>
      <c:valAx>
        <c:axId val="93427968"/>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3426432"/>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5015479876160992E-2"/>
          <c:y val="8.3333817742151123E-2"/>
          <c:w val="0.92260061919504699"/>
          <c:h val="0.71428986636129588"/>
        </c:manualLayout>
      </c:layout>
      <c:barChart>
        <c:barDir val="col"/>
        <c:grouping val="clustered"/>
        <c:ser>
          <c:idx val="0"/>
          <c:order val="0"/>
          <c:tx>
            <c:strRef>
              <c:f>改修前後の比較!$X$46</c:f>
              <c:strCache>
                <c:ptCount val="1"/>
                <c:pt idx="0">
                  <c:v>befoer</c:v>
                </c:pt>
              </c:strCache>
            </c:strRef>
          </c:tx>
          <c:spPr>
            <a:solidFill>
              <a:srgbClr val="CCFFCC"/>
            </a:solidFill>
            <a:ln w="12700">
              <a:solidFill>
                <a:srgbClr val="000000"/>
              </a:solidFill>
              <a:prstDash val="sysDash"/>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extLst>
              <c:ext xmlns:c15="http://schemas.microsoft.com/office/drawing/2012/chart" uri="{CE6537A1-D6FC-4f65-9D91-7224C49458BB}">
                <c15:showLeaderLines val="0"/>
              </c:ext>
            </c:extLst>
          </c:dLbls>
          <c:cat>
            <c:strRef>
              <c:f>改修前後の比較!$W$62:$W$64</c:f>
              <c:strCache>
                <c:ptCount val="3"/>
                <c:pt idx="0">
                  <c:v>水資源</c:v>
                </c:pt>
                <c:pt idx="1">
                  <c:v>非再生性材料の削減</c:v>
                </c:pt>
                <c:pt idx="2">
                  <c:v>汚染物質回避</c:v>
                </c:pt>
              </c:strCache>
            </c:strRef>
          </c:cat>
          <c:val>
            <c:numRef>
              <c:f>改修前後の比較!$X$62:$X$64</c:f>
              <c:numCache>
                <c:formatCode>0.0_ </c:formatCode>
                <c:ptCount val="3"/>
                <c:pt idx="0">
                  <c:v>0</c:v>
                </c:pt>
                <c:pt idx="1">
                  <c:v>0</c:v>
                </c:pt>
                <c:pt idx="2">
                  <c:v>0</c:v>
                </c:pt>
              </c:numCache>
            </c:numRef>
          </c:val>
        </c:ser>
        <c:ser>
          <c:idx val="1"/>
          <c:order val="1"/>
          <c:tx>
            <c:strRef>
              <c:f>改修前後の比較!$Z$46</c:f>
              <c:strCache>
                <c:ptCount val="1"/>
                <c:pt idx="0">
                  <c:v>after</c:v>
                </c:pt>
              </c:strCache>
            </c:strRef>
          </c:tx>
          <c:spPr>
            <a:solidFill>
              <a:srgbClr val="99CC00"/>
            </a:solidFill>
            <a:ln w="12700">
              <a:solidFill>
                <a:srgbClr val="000000"/>
              </a:solidFill>
              <a:prstDash val="solid"/>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改修前後の比較!$W$62:$W$64</c:f>
              <c:strCache>
                <c:ptCount val="3"/>
                <c:pt idx="0">
                  <c:v>水資源</c:v>
                </c:pt>
                <c:pt idx="1">
                  <c:v>非再生性材料の削減</c:v>
                </c:pt>
                <c:pt idx="2">
                  <c:v>汚染物質回避</c:v>
                </c:pt>
              </c:strCache>
            </c:strRef>
          </c:cat>
          <c:val>
            <c:numRef>
              <c:f>改修前後の比較!$Z$62:$Z$64</c:f>
              <c:numCache>
                <c:formatCode>0.0_ </c:formatCode>
                <c:ptCount val="3"/>
                <c:pt idx="0">
                  <c:v>0</c:v>
                </c:pt>
                <c:pt idx="1">
                  <c:v>0</c:v>
                </c:pt>
                <c:pt idx="2">
                  <c:v>0</c:v>
                </c:pt>
              </c:numCache>
            </c:numRef>
          </c:val>
        </c:ser>
        <c:dLbls>
          <c:showVal val="1"/>
        </c:dLbls>
        <c:gapWidth val="70"/>
        <c:axId val="93516160"/>
        <c:axId val="93517696"/>
      </c:barChart>
      <c:catAx>
        <c:axId val="93516160"/>
        <c:scaling>
          <c:orientation val="minMax"/>
        </c:scaling>
        <c:delete val="1"/>
        <c:axPos val="b"/>
        <c:numFmt formatCode="General" sourceLinked="1"/>
        <c:tickLblPos val="none"/>
        <c:crossAx val="93517696"/>
        <c:crossesAt val="0"/>
        <c:auto val="1"/>
        <c:lblAlgn val="ctr"/>
        <c:lblOffset val="100"/>
      </c:catAx>
      <c:valAx>
        <c:axId val="93517696"/>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3516160"/>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891E-2"/>
          <c:y val="8.4337597472695897E-2"/>
          <c:w val="0.90462555408004763"/>
          <c:h val="0.72289369262310921"/>
        </c:manualLayout>
      </c:layout>
      <c:barChart>
        <c:barDir val="col"/>
        <c:grouping val="clustered"/>
        <c:ser>
          <c:idx val="0"/>
          <c:order val="0"/>
          <c:tx>
            <c:strRef>
              <c:f>改修前後の比較!$S$46</c:f>
              <c:strCache>
                <c:ptCount val="1"/>
                <c:pt idx="0">
                  <c:v>befoer</c:v>
                </c:pt>
              </c:strCache>
            </c:strRef>
          </c:tx>
          <c:spPr>
            <a:solidFill>
              <a:srgbClr val="CCFFCC"/>
            </a:solidFill>
            <a:ln w="12700">
              <a:solidFill>
                <a:srgbClr val="000000"/>
              </a:solidFill>
              <a:prstDash val="sysDash"/>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extLst>
              <c:ext xmlns:c15="http://schemas.microsoft.com/office/drawing/2012/chart" uri="{CE6537A1-D6FC-4f65-9D91-7224C49458BB}">
                <c15:showLeaderLines val="0"/>
              </c:ext>
            </c:extLst>
          </c:dLbls>
          <c:cat>
            <c:strRef>
              <c:f>改修前後の比較!$R$62:$R$65</c:f>
              <c:strCache>
                <c:ptCount val="4"/>
                <c:pt idx="0">
                  <c:v>熱負荷抑制</c:v>
                </c:pt>
                <c:pt idx="1">
                  <c:v>自然ｴﾈﾙｷﾞｰ</c:v>
                </c:pt>
                <c:pt idx="2">
                  <c:v>設備の効率的利用</c:v>
                </c:pt>
                <c:pt idx="3">
                  <c:v>運用ﾏﾈｼﾞﾒﾝﾄ</c:v>
                </c:pt>
              </c:strCache>
            </c:strRef>
          </c:cat>
          <c:val>
            <c:numRef>
              <c:f>改修前後の比較!$S$62:$S$65</c:f>
              <c:numCache>
                <c:formatCode>0.0_ </c:formatCode>
                <c:ptCount val="4"/>
                <c:pt idx="0">
                  <c:v>0</c:v>
                </c:pt>
                <c:pt idx="1">
                  <c:v>0</c:v>
                </c:pt>
                <c:pt idx="2">
                  <c:v>0</c:v>
                </c:pt>
                <c:pt idx="3">
                  <c:v>0</c:v>
                </c:pt>
              </c:numCache>
            </c:numRef>
          </c:val>
        </c:ser>
        <c:ser>
          <c:idx val="1"/>
          <c:order val="1"/>
          <c:tx>
            <c:strRef>
              <c:f>改修前後の比較!$U$46</c:f>
              <c:strCache>
                <c:ptCount val="1"/>
                <c:pt idx="0">
                  <c:v>after</c:v>
                </c:pt>
              </c:strCache>
            </c:strRef>
          </c:tx>
          <c:spPr>
            <a:solidFill>
              <a:srgbClr val="99CC00"/>
            </a:solidFill>
            <a:ln w="12700">
              <a:solidFill>
                <a:srgbClr val="000000"/>
              </a:solidFill>
              <a:prstDash val="solid"/>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改修前後の比較!$R$62:$R$65</c:f>
              <c:strCache>
                <c:ptCount val="4"/>
                <c:pt idx="0">
                  <c:v>熱負荷抑制</c:v>
                </c:pt>
                <c:pt idx="1">
                  <c:v>自然ｴﾈﾙｷﾞｰ</c:v>
                </c:pt>
                <c:pt idx="2">
                  <c:v>設備の効率的利用</c:v>
                </c:pt>
                <c:pt idx="3">
                  <c:v>運用ﾏﾈｼﾞﾒﾝﾄ</c:v>
                </c:pt>
              </c:strCache>
            </c:strRef>
          </c:cat>
          <c:val>
            <c:numRef>
              <c:f>改修前後の比較!$U$62:$U$65</c:f>
              <c:numCache>
                <c:formatCode>0.0_ </c:formatCode>
                <c:ptCount val="4"/>
                <c:pt idx="0">
                  <c:v>0</c:v>
                </c:pt>
                <c:pt idx="1">
                  <c:v>0</c:v>
                </c:pt>
                <c:pt idx="2">
                  <c:v>0</c:v>
                </c:pt>
                <c:pt idx="3">
                  <c:v>0</c:v>
                </c:pt>
              </c:numCache>
            </c:numRef>
          </c:val>
        </c:ser>
        <c:dLbls>
          <c:showVal val="1"/>
        </c:dLbls>
        <c:gapWidth val="40"/>
        <c:axId val="93552640"/>
        <c:axId val="93554176"/>
      </c:barChart>
      <c:catAx>
        <c:axId val="93552640"/>
        <c:scaling>
          <c:orientation val="minMax"/>
        </c:scaling>
        <c:delete val="1"/>
        <c:axPos val="b"/>
        <c:numFmt formatCode="General" sourceLinked="1"/>
        <c:tickLblPos val="none"/>
        <c:crossAx val="93554176"/>
        <c:crossesAt val="0"/>
        <c:auto val="1"/>
        <c:lblAlgn val="ctr"/>
        <c:lblOffset val="100"/>
      </c:catAx>
      <c:valAx>
        <c:axId val="93554176"/>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3552640"/>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891E-2"/>
          <c:y val="8.4337597472695897E-2"/>
          <c:w val="0.90462555408004763"/>
          <c:h val="0.72289369262310921"/>
        </c:manualLayout>
      </c:layout>
      <c:barChart>
        <c:barDir val="col"/>
        <c:grouping val="clustered"/>
        <c:ser>
          <c:idx val="0"/>
          <c:order val="0"/>
          <c:tx>
            <c:strRef>
              <c:f>改修前後の比較!$S$46</c:f>
              <c:strCache>
                <c:ptCount val="1"/>
                <c:pt idx="0">
                  <c:v>befoer</c:v>
                </c:pt>
              </c:strCache>
            </c:strRef>
          </c:tx>
          <c:spPr>
            <a:solidFill>
              <a:srgbClr val="FFFFCC"/>
            </a:solidFill>
            <a:ln w="12700">
              <a:solidFill>
                <a:srgbClr val="000000"/>
              </a:solidFill>
              <a:prstDash val="sysDash"/>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outEnd"/>
            <c:showVal val="1"/>
            <c:extLst>
              <c:ext xmlns:c15="http://schemas.microsoft.com/office/drawing/2012/chart" uri="{CE6537A1-D6FC-4f65-9D91-7224C49458BB}">
                <c15:showLeaderLines val="0"/>
              </c:ext>
            </c:extLst>
          </c:dLbls>
          <c:cat>
            <c:strRef>
              <c:f>改修前後の比較!$R$51:$R$54</c:f>
              <c:strCache>
                <c:ptCount val="4"/>
                <c:pt idx="0">
                  <c:v>音環境</c:v>
                </c:pt>
                <c:pt idx="1">
                  <c:v>温熱環境</c:v>
                </c:pt>
                <c:pt idx="2">
                  <c:v>光・視環境</c:v>
                </c:pt>
                <c:pt idx="3">
                  <c:v>空気質環境</c:v>
                </c:pt>
              </c:strCache>
            </c:strRef>
          </c:cat>
          <c:val>
            <c:numRef>
              <c:f>改修前後の比較!$S$51:$S$54</c:f>
              <c:numCache>
                <c:formatCode>0.0_ </c:formatCode>
                <c:ptCount val="4"/>
                <c:pt idx="0">
                  <c:v>0</c:v>
                </c:pt>
                <c:pt idx="1">
                  <c:v>0</c:v>
                </c:pt>
                <c:pt idx="2">
                  <c:v>0</c:v>
                </c:pt>
                <c:pt idx="3">
                  <c:v>0</c:v>
                </c:pt>
              </c:numCache>
            </c:numRef>
          </c:val>
        </c:ser>
        <c:ser>
          <c:idx val="1"/>
          <c:order val="1"/>
          <c:tx>
            <c:strRef>
              <c:f>改修前後の比較!$U$46</c:f>
              <c:strCache>
                <c:ptCount val="1"/>
                <c:pt idx="0">
                  <c:v>after</c:v>
                </c:pt>
              </c:strCache>
            </c:strRef>
          </c:tx>
          <c:spPr>
            <a:solidFill>
              <a:srgbClr val="FFFF99"/>
            </a:solidFill>
            <a:ln w="12700">
              <a:solidFill>
                <a:srgbClr val="000000"/>
              </a:solidFill>
              <a:prstDash val="solid"/>
            </a:ln>
          </c:spPr>
          <c:dLbls>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val>
            <c:numRef>
              <c:f>改修前後の比較!$U$51:$U$54</c:f>
              <c:numCache>
                <c:formatCode>0.0_ </c:formatCode>
                <c:ptCount val="4"/>
                <c:pt idx="0">
                  <c:v>0</c:v>
                </c:pt>
                <c:pt idx="1">
                  <c:v>0</c:v>
                </c:pt>
                <c:pt idx="2">
                  <c:v>0</c:v>
                </c:pt>
                <c:pt idx="3">
                  <c:v>0</c:v>
                </c:pt>
              </c:numCache>
            </c:numRef>
          </c:val>
        </c:ser>
        <c:dLbls>
          <c:showVal val="1"/>
        </c:dLbls>
        <c:gapWidth val="40"/>
        <c:axId val="93613056"/>
        <c:axId val="93618944"/>
      </c:barChart>
      <c:catAx>
        <c:axId val="93613056"/>
        <c:scaling>
          <c:orientation val="minMax"/>
        </c:scaling>
        <c:delete val="1"/>
        <c:axPos val="b"/>
        <c:numFmt formatCode="General" sourceLinked="1"/>
        <c:tickLblPos val="none"/>
        <c:crossAx val="93618944"/>
        <c:crossesAt val="0"/>
        <c:auto val="1"/>
        <c:lblAlgn val="ctr"/>
        <c:lblOffset val="100"/>
      </c:catAx>
      <c:valAx>
        <c:axId val="93618944"/>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93613056"/>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6226444992712644"/>
          <c:y val="6.9230769230769235E-2"/>
          <c:w val="0.78113351476546744"/>
          <c:h val="0.75384615384615383"/>
        </c:manualLayout>
      </c:layout>
      <c:areaChart>
        <c:grouping val="standard"/>
        <c:ser>
          <c:idx val="1"/>
          <c:order val="2"/>
          <c:tx>
            <c:strRef>
              <c:f>改修前後の比較!$S$29</c:f>
              <c:strCache>
                <c:ptCount val="1"/>
                <c:pt idx="0">
                  <c:v>S</c:v>
                </c:pt>
              </c:strCache>
            </c:strRef>
          </c:tx>
          <c:spPr>
            <a:pattFill prst="pct70">
              <a:fgClr>
                <a:srgbClr val="3366FF"/>
              </a:fgClr>
              <a:bgClr>
                <a:srgbClr val="FFFFFF"/>
              </a:bgClr>
            </a:pattFill>
            <a:ln w="12700">
              <a:solidFill>
                <a:srgbClr val="000000"/>
              </a:solidFill>
              <a:prstDash val="solid"/>
            </a:ln>
          </c:spPr>
          <c:dLbls>
            <c:dLbl>
              <c:idx val="0"/>
              <c:layout>
                <c:manualLayout>
                  <c:x val="-0.28455244071444785"/>
                  <c:y val="-0.29075630930749075"/>
                </c:manualLayout>
              </c:layout>
              <c:showSerNam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val>
            <c:numRef>
              <c:f>改修前後の比較!$T$29:$Z$29</c:f>
              <c:numCache>
                <c:formatCode>General</c:formatCode>
                <c:ptCount val="7"/>
                <c:pt idx="0">
                  <c:v>100</c:v>
                </c:pt>
                <c:pt idx="1">
                  <c:v>100</c:v>
                </c:pt>
                <c:pt idx="2">
                  <c:v>100</c:v>
                </c:pt>
                <c:pt idx="3">
                  <c:v>100</c:v>
                </c:pt>
                <c:pt idx="4">
                  <c:v>100</c:v>
                </c:pt>
                <c:pt idx="5">
                  <c:v>100</c:v>
                </c:pt>
                <c:pt idx="6">
                  <c:v>100</c:v>
                </c:pt>
              </c:numCache>
            </c:numRef>
          </c:val>
        </c:ser>
        <c:ser>
          <c:idx val="0"/>
          <c:order val="3"/>
          <c:tx>
            <c:strRef>
              <c:f>改修前後の比較!$S$30</c:f>
              <c:strCache>
                <c:ptCount val="1"/>
                <c:pt idx="0">
                  <c:v>A</c:v>
                </c:pt>
              </c:strCache>
            </c:strRef>
          </c:tx>
          <c:spPr>
            <a:pattFill prst="pct90">
              <a:fgClr>
                <a:srgbClr val="99CCFF"/>
              </a:fgClr>
              <a:bgClr>
                <a:srgbClr val="FFFFFF"/>
              </a:bgClr>
            </a:pattFill>
            <a:ln w="12700">
              <a:solidFill>
                <a:srgbClr val="000000"/>
              </a:solidFill>
              <a:prstDash val="solid"/>
            </a:ln>
          </c:spPr>
          <c:dLbls>
            <c:dLbl>
              <c:idx val="0"/>
              <c:layout>
                <c:manualLayout>
                  <c:x val="-3.4552080853410772E-2"/>
                  <c:y val="-0.29075630930749075"/>
                </c:manualLayout>
              </c:layout>
              <c:showSerNam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val>
            <c:numRef>
              <c:f>改修前後の比較!$T$30:$Z$30</c:f>
              <c:numCache>
                <c:formatCode>General</c:formatCode>
                <c:ptCount val="7"/>
                <c:pt idx="0">
                  <c:v>50</c:v>
                </c:pt>
                <c:pt idx="1">
                  <c:v>50</c:v>
                </c:pt>
                <c:pt idx="2">
                  <c:v>100</c:v>
                </c:pt>
                <c:pt idx="3">
                  <c:v>100</c:v>
                </c:pt>
                <c:pt idx="4">
                  <c:v>100</c:v>
                </c:pt>
                <c:pt idx="5">
                  <c:v>100</c:v>
                </c:pt>
                <c:pt idx="6">
                  <c:v>100</c:v>
                </c:pt>
              </c:numCache>
            </c:numRef>
          </c:val>
        </c:ser>
        <c:ser>
          <c:idx val="2"/>
          <c:order val="4"/>
          <c:tx>
            <c:strRef>
              <c:f>改修前後の比較!$S$31</c:f>
              <c:strCache>
                <c:ptCount val="1"/>
                <c:pt idx="0">
                  <c:v>B+</c:v>
                </c:pt>
              </c:strCache>
            </c:strRef>
          </c:tx>
          <c:spPr>
            <a:solidFill>
              <a:srgbClr val="FFFFCC"/>
            </a:solidFill>
            <a:ln w="12700">
              <a:solidFill>
                <a:srgbClr val="000000"/>
              </a:solidFill>
              <a:prstDash val="solid"/>
            </a:ln>
          </c:spPr>
          <c:val>
            <c:numRef>
              <c:f>改修前後の比較!$T$31:$Z$31</c:f>
              <c:numCache>
                <c:formatCode>General</c:formatCode>
                <c:ptCount val="7"/>
                <c:pt idx="0">
                  <c:v>0</c:v>
                </c:pt>
                <c:pt idx="1">
                  <c:v>25</c:v>
                </c:pt>
                <c:pt idx="2">
                  <c:v>50</c:v>
                </c:pt>
                <c:pt idx="3">
                  <c:v>75</c:v>
                </c:pt>
                <c:pt idx="4">
                  <c:v>100</c:v>
                </c:pt>
                <c:pt idx="5">
                  <c:v>100</c:v>
                </c:pt>
                <c:pt idx="6">
                  <c:v>100</c:v>
                </c:pt>
              </c:numCache>
            </c:numRef>
          </c:val>
        </c:ser>
        <c:ser>
          <c:idx val="3"/>
          <c:order val="5"/>
          <c:tx>
            <c:strRef>
              <c:f>改修前後の比較!$S$32</c:f>
              <c:strCache>
                <c:ptCount val="1"/>
                <c:pt idx="0">
                  <c:v>B-</c:v>
                </c:pt>
              </c:strCache>
            </c:strRef>
          </c:tx>
          <c:spPr>
            <a:solidFill>
              <a:srgbClr val="FFFFCC"/>
            </a:solidFill>
            <a:ln w="12700">
              <a:solidFill>
                <a:srgbClr val="000000"/>
              </a:solidFill>
              <a:prstDash val="solid"/>
            </a:ln>
          </c:spPr>
          <c:val>
            <c:numRef>
              <c:f>改修前後の比較!$T$32:$Z$32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ser>
          <c:idx val="4"/>
          <c:order val="6"/>
          <c:tx>
            <c:strRef>
              <c:f>改修前後の比較!$S$33</c:f>
              <c:strCache>
                <c:ptCount val="1"/>
                <c:pt idx="0">
                  <c:v>C</c:v>
                </c:pt>
              </c:strCache>
            </c:strRef>
          </c:tx>
          <c:spPr>
            <a:solidFill>
              <a:srgbClr val="FFFFFF"/>
            </a:solidFill>
            <a:ln w="12700">
              <a:solidFill>
                <a:srgbClr val="000000"/>
              </a:solidFill>
              <a:prstDash val="solid"/>
            </a:ln>
          </c:spPr>
          <c:dLbls>
            <c:dLbl>
              <c:idx val="0"/>
              <c:layout>
                <c:manualLayout>
                  <c:x val="0.32488244291196738"/>
                  <c:y val="-3.4986876640419891E-2"/>
                </c:manualLayout>
              </c:layout>
              <c:showSerNam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200" b="1" i="0" u="none" strike="noStrike" baseline="0">
                    <a:solidFill>
                      <a:srgbClr val="0000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val>
            <c:numRef>
              <c:f>改修前後の比較!$T$33:$Z$33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axId val="95048448"/>
        <c:axId val="95050368"/>
      </c:areaChart>
      <c:scatterChart>
        <c:scatterStyle val="lineMarker"/>
        <c:ser>
          <c:idx val="8"/>
          <c:order val="0"/>
          <c:tx>
            <c:strRef>
              <c:f>改修前後の比較!$W$77</c:f>
              <c:strCache>
                <c:ptCount val="1"/>
                <c:pt idx="0">
                  <c:v>改修後</c:v>
                </c:pt>
              </c:strCache>
            </c:strRef>
          </c:tx>
          <c:spPr>
            <a:ln w="38100">
              <a:solidFill>
                <a:srgbClr val="008000"/>
              </a:solidFill>
              <a:prstDash val="solid"/>
            </a:ln>
          </c:spPr>
          <c:marker>
            <c:symbol val="none"/>
          </c:marker>
          <c:dLbls>
            <c:dLbl>
              <c:idx val="1"/>
              <c:layout>
                <c:manualLayout>
                  <c:x val="0.15346137185336436"/>
                  <c:y val="-1.2820512820512841E-2"/>
                </c:manualLayout>
              </c:layout>
              <c:spPr>
                <a:noFill/>
                <a:ln w="25400">
                  <a:noFill/>
                </a:ln>
              </c:spPr>
              <c:txPr>
                <a:bodyPr/>
                <a:lstStyle/>
                <a:p>
                  <a:pPr>
                    <a:defRPr sz="1000" b="1" i="0" u="none" strike="noStrike" baseline="0">
                      <a:solidFill>
                        <a:srgbClr val="FF0000"/>
                      </a:solidFill>
                      <a:latin typeface="ＭＳ Ｐゴシック"/>
                      <a:ea typeface="ＭＳ Ｐゴシック"/>
                      <a:cs typeface="ＭＳ Ｐゴシック"/>
                    </a:defRPr>
                  </a:pPr>
                  <a:endParaRPr lang="ja-JP"/>
                </a:p>
              </c:txPr>
              <c:dLblPos val="r"/>
              <c:showSerNam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1" i="0" u="none" strike="noStrike" baseline="0">
                    <a:solidFill>
                      <a:srgbClr val="FF00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xVal>
            <c:numRef>
              <c:f>改修前後の比較!$W$79:$Y$79</c:f>
              <c:numCache>
                <c:formatCode>#,##0;[Red]\-#,##0</c:formatCode>
                <c:ptCount val="3"/>
                <c:pt idx="1">
                  <c:v>0</c:v>
                </c:pt>
                <c:pt idx="2" formatCode="General">
                  <c:v>0</c:v>
                </c:pt>
              </c:numCache>
            </c:numRef>
          </c:xVal>
          <c:yVal>
            <c:numRef>
              <c:f>改修前後の比較!$W$80:$Y$80</c:f>
              <c:numCache>
                <c:formatCode>#,##0;[Red]\-#,##0</c:formatCode>
                <c:ptCount val="3"/>
                <c:pt idx="1">
                  <c:v>0</c:v>
                </c:pt>
                <c:pt idx="2" formatCode="General">
                  <c:v>0</c:v>
                </c:pt>
              </c:numCache>
            </c:numRef>
          </c:yVal>
        </c:ser>
        <c:ser>
          <c:idx val="6"/>
          <c:order val="1"/>
          <c:tx>
            <c:strRef>
              <c:f>改修前後の比較!$S$77</c:f>
              <c:strCache>
                <c:ptCount val="1"/>
                <c:pt idx="0">
                  <c:v>改修前</c:v>
                </c:pt>
              </c:strCache>
            </c:strRef>
          </c:tx>
          <c:spPr>
            <a:ln w="38100">
              <a:solidFill>
                <a:srgbClr val="99CC00"/>
              </a:solidFill>
              <a:prstDash val="solid"/>
            </a:ln>
          </c:spPr>
          <c:marker>
            <c:symbol val="none"/>
          </c:marker>
          <c:dLbls>
            <c:dLbl>
              <c:idx val="1"/>
              <c:layout>
                <c:manualLayout>
                  <c:x val="0.16100855557090499"/>
                  <c:y val="-1.666666666666668E-2"/>
                </c:manualLayout>
              </c:layout>
              <c:spPr>
                <a:noFill/>
                <a:ln w="25400">
                  <a:noFill/>
                </a:ln>
              </c:spPr>
              <c:txPr>
                <a:bodyPr/>
                <a:lstStyle/>
                <a:p>
                  <a:pPr>
                    <a:defRPr sz="1000" b="1" i="0" u="none" strike="noStrike" baseline="0">
                      <a:solidFill>
                        <a:srgbClr val="99CC00"/>
                      </a:solidFill>
                      <a:latin typeface="ＭＳ Ｐゴシック"/>
                      <a:ea typeface="ＭＳ Ｐゴシック"/>
                      <a:cs typeface="ＭＳ Ｐゴシック"/>
                    </a:defRPr>
                  </a:pPr>
                  <a:endParaRPr lang="ja-JP"/>
                </a:p>
              </c:txPr>
              <c:dLblPos val="r"/>
              <c:showSerNam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00" b="1" i="0" u="none" strike="noStrike" baseline="0">
                    <a:solidFill>
                      <a:srgbClr val="99CC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xVal>
            <c:numRef>
              <c:f>改修前後の比較!$S$79:$U$79</c:f>
              <c:numCache>
                <c:formatCode>#,##0;[Red]\-#,##0</c:formatCode>
                <c:ptCount val="3"/>
                <c:pt idx="1">
                  <c:v>0</c:v>
                </c:pt>
                <c:pt idx="2" formatCode="General">
                  <c:v>0</c:v>
                </c:pt>
              </c:numCache>
            </c:numRef>
          </c:xVal>
          <c:yVal>
            <c:numRef>
              <c:f>改修前後の比較!$S$80:$U$80</c:f>
              <c:numCache>
                <c:formatCode>#,##0;[Red]\-#,##0</c:formatCode>
                <c:ptCount val="3"/>
                <c:pt idx="1">
                  <c:v>0</c:v>
                </c:pt>
                <c:pt idx="2" formatCode="General">
                  <c:v>0</c:v>
                </c:pt>
              </c:numCache>
            </c:numRef>
          </c:yVal>
        </c:ser>
        <c:ser>
          <c:idx val="5"/>
          <c:order val="7"/>
          <c:tx>
            <c:strRef>
              <c:f>改修前後の比較!$S$21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spPr>
              <a:ln w="19050">
                <a:noFill/>
              </a:ln>
            </c:spPr>
          </c:dPt>
          <c:dPt>
            <c:idx val="2"/>
            <c:marker>
              <c:symbol val="diamond"/>
              <c:size val="18"/>
              <c:spPr>
                <a:solidFill>
                  <a:srgbClr val="FFFFFF"/>
                </a:solidFill>
                <a:ln>
                  <a:solidFill>
                    <a:srgbClr val="000000"/>
                  </a:solidFill>
                  <a:prstDash val="solid"/>
                </a:ln>
              </c:spPr>
            </c:marker>
          </c:dPt>
          <c:dPt>
            <c:idx val="3"/>
            <c:marker>
              <c:symbol val="circle"/>
              <c:size val="6"/>
              <c:spPr>
                <a:solidFill>
                  <a:srgbClr val="99CC00"/>
                </a:solidFill>
                <a:ln>
                  <a:solidFill>
                    <a:srgbClr val="000000"/>
                  </a:solidFill>
                  <a:prstDash val="solid"/>
                </a:ln>
              </c:spPr>
            </c:marker>
          </c:dPt>
          <c:dLbls>
            <c:dLbl>
              <c:idx val="1"/>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CatName val="1"/>
              <c:extLst>
                <c:ext xmlns:c15="http://schemas.microsoft.com/office/drawing/2012/chart" uri="{CE6537A1-D6FC-4f65-9D91-7224C49458BB}"/>
              </c:extLst>
            </c:dLbl>
            <c:dLbl>
              <c:idx val="3"/>
              <c:spPr>
                <a:noFill/>
                <a:ln w="25400">
                  <a:noFill/>
                </a:ln>
              </c:spPr>
              <c:txPr>
                <a:bodyPr/>
                <a:lstStyle/>
                <a:p>
                  <a:pPr>
                    <a:defRPr sz="950" b="1" i="0" u="none" strike="noStrike" baseline="0">
                      <a:solidFill>
                        <a:srgbClr val="000000"/>
                      </a:solidFill>
                      <a:latin typeface="ＭＳ Ｐゴシック"/>
                      <a:ea typeface="ＭＳ Ｐゴシック"/>
                      <a:cs typeface="ＭＳ Ｐゴシック"/>
                    </a:defRPr>
                  </a:pPr>
                  <a:endParaRPr lang="ja-JP"/>
                </a:p>
              </c:txPr>
              <c:showVal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xVal>
            <c:numRef>
              <c:f>改修前後の比較!$R$81:$U$81</c:f>
              <c:numCache>
                <c:formatCode>#,##0;[Red]\-#,##0</c:formatCode>
                <c:ptCount val="4"/>
                <c:pt idx="0" formatCode="General">
                  <c:v>0</c:v>
                </c:pt>
                <c:pt idx="1">
                  <c:v>0</c:v>
                </c:pt>
                <c:pt idx="2">
                  <c:v>0</c:v>
                </c:pt>
                <c:pt idx="3" formatCode="General">
                  <c:v>0.1</c:v>
                </c:pt>
              </c:numCache>
            </c:numRef>
          </c:xVal>
          <c:yVal>
            <c:numRef>
              <c:f>改修前後の比較!$R$82:$U$82</c:f>
              <c:numCache>
                <c:formatCode>General</c:formatCode>
                <c:ptCount val="4"/>
                <c:pt idx="0">
                  <c:v>0</c:v>
                </c:pt>
                <c:pt idx="1">
                  <c:v>0</c:v>
                </c:pt>
                <c:pt idx="2" formatCode="#,##0;[Red]\-#,##0">
                  <c:v>0</c:v>
                </c:pt>
                <c:pt idx="3" formatCode="#,##0;[Red]\-#,##0">
                  <c:v>0</c:v>
                </c:pt>
              </c:numCache>
            </c:numRef>
          </c:yVal>
        </c:ser>
        <c:ser>
          <c:idx val="7"/>
          <c:order val="8"/>
          <c:tx>
            <c:strRef>
              <c:f>改修前後の比較!$W$21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spPr>
              <a:ln w="19050">
                <a:noFill/>
              </a:ln>
            </c:spPr>
          </c:dPt>
          <c:dPt>
            <c:idx val="2"/>
            <c:marker>
              <c:symbol val="diamond"/>
              <c:size val="18"/>
              <c:spPr>
                <a:solidFill>
                  <a:srgbClr val="FFCC99"/>
                </a:solidFill>
                <a:ln>
                  <a:solidFill>
                    <a:srgbClr val="000000"/>
                  </a:solidFill>
                  <a:prstDash val="solid"/>
                </a:ln>
              </c:spPr>
            </c:marker>
          </c:dPt>
          <c:dPt>
            <c:idx val="3"/>
            <c:marker>
              <c:symbol val="circle"/>
              <c:size val="6"/>
              <c:spPr>
                <a:solidFill>
                  <a:srgbClr val="339966"/>
                </a:solidFill>
                <a:ln>
                  <a:solidFill>
                    <a:srgbClr val="000000"/>
                  </a:solidFill>
                  <a:prstDash val="solid"/>
                </a:ln>
              </c:spPr>
            </c:marker>
          </c:dPt>
          <c:dLbls>
            <c:dLbl>
              <c:idx val="0"/>
              <c:delete val="1"/>
              <c:extLst>
                <c:ext xmlns:c15="http://schemas.microsoft.com/office/drawing/2012/chart" uri="{CE6537A1-D6FC-4f65-9D91-7224C49458BB}"/>
              </c:extLst>
            </c:dLbl>
            <c:dLbl>
              <c:idx val="1"/>
              <c:spPr>
                <a:noFill/>
                <a:ln w="25400">
                  <a:noFill/>
                </a:ln>
              </c:spPr>
              <c:txPr>
                <a:bodyPr/>
                <a:lstStyle/>
                <a:p>
                  <a:pPr>
                    <a:defRPr sz="925" b="1" i="0" u="none" strike="noStrike" baseline="0">
                      <a:solidFill>
                        <a:srgbClr val="FF0000"/>
                      </a:solidFill>
                      <a:latin typeface="ＭＳ Ｐゴシック"/>
                      <a:ea typeface="ＭＳ Ｐゴシック"/>
                      <a:cs typeface="ＭＳ Ｐゴシック"/>
                    </a:defRPr>
                  </a:pPr>
                  <a:endParaRPr lang="ja-JP"/>
                </a:p>
              </c:txPr>
              <c:showCatNam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a:noFill/>
                <a:ln w="25400">
                  <a:noFill/>
                </a:ln>
              </c:spPr>
              <c:txPr>
                <a:bodyPr/>
                <a:lstStyle/>
                <a:p>
                  <a:pPr>
                    <a:defRPr sz="925" b="1" i="0" u="none" strike="noStrike" baseline="0">
                      <a:solidFill>
                        <a:srgbClr val="FF0000"/>
                      </a:solidFill>
                      <a:latin typeface="ＭＳ Ｐゴシック"/>
                      <a:ea typeface="ＭＳ Ｐゴシック"/>
                      <a:cs typeface="ＭＳ Ｐゴシック"/>
                    </a:defRPr>
                  </a:pPr>
                  <a:endParaRPr lang="ja-JP"/>
                </a:p>
              </c:txPr>
              <c:showVal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925" b="1" i="0" u="none" strike="noStrike" baseline="0">
                    <a:solidFill>
                      <a:srgbClr val="FF0000"/>
                    </a:solidFill>
                    <a:latin typeface="ＭＳ Ｐゴシック"/>
                    <a:ea typeface="ＭＳ Ｐゴシック"/>
                    <a:cs typeface="ＭＳ Ｐゴシック"/>
                  </a:defRPr>
                </a:pPr>
                <a:endParaRPr lang="ja-JP"/>
              </a:p>
            </c:txPr>
            <c:showVal val="1"/>
            <c:showCatName val="1"/>
            <c:extLst>
              <c:ext xmlns:c15="http://schemas.microsoft.com/office/drawing/2012/chart" uri="{CE6537A1-D6FC-4f65-9D91-7224C49458BB}">
                <c15:showLeaderLines val="0"/>
              </c:ext>
            </c:extLst>
          </c:dLbls>
          <c:xVal>
            <c:numRef>
              <c:f>改修前後の比較!$V$81:$Y$81</c:f>
              <c:numCache>
                <c:formatCode>#,##0;[Red]\-#,##0</c:formatCode>
                <c:ptCount val="4"/>
                <c:pt idx="0" formatCode="General">
                  <c:v>0</c:v>
                </c:pt>
                <c:pt idx="1">
                  <c:v>0</c:v>
                </c:pt>
                <c:pt idx="2">
                  <c:v>0</c:v>
                </c:pt>
                <c:pt idx="3" formatCode="General">
                  <c:v>0.1</c:v>
                </c:pt>
              </c:numCache>
            </c:numRef>
          </c:xVal>
          <c:yVal>
            <c:numRef>
              <c:f>改修前後の比較!$V$82:$Y$82</c:f>
              <c:numCache>
                <c:formatCode>General</c:formatCode>
                <c:ptCount val="4"/>
                <c:pt idx="0">
                  <c:v>0</c:v>
                </c:pt>
                <c:pt idx="1">
                  <c:v>0</c:v>
                </c:pt>
                <c:pt idx="2" formatCode="#,##0;[Red]\-#,##0">
                  <c:v>0</c:v>
                </c:pt>
                <c:pt idx="3" formatCode="#,##0;[Red]\-#,##0">
                  <c:v>0</c:v>
                </c:pt>
              </c:numCache>
            </c:numRef>
          </c:yVal>
        </c:ser>
        <c:axId val="95073024"/>
        <c:axId val="95074560"/>
      </c:scatterChart>
      <c:catAx>
        <c:axId val="95048448"/>
        <c:scaling>
          <c:orientation val="minMax"/>
        </c:scaling>
        <c:axPos val="b"/>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環境負荷　L</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0.37358559401826757"/>
              <c:y val="0.89615384615384663"/>
            </c:manualLayout>
          </c:layout>
          <c:spPr>
            <a:noFill/>
            <a:ln w="25400">
              <a:noFill/>
            </a:ln>
          </c:spPr>
        </c:title>
        <c:majorTickMark val="none"/>
        <c:tickLblPos val="none"/>
        <c:spPr>
          <a:ln w="3175">
            <a:solidFill>
              <a:srgbClr val="000000"/>
            </a:solidFill>
            <a:prstDash val="solid"/>
          </a:ln>
        </c:spPr>
        <c:crossAx val="95050368"/>
        <c:crossesAt val="0"/>
        <c:auto val="1"/>
        <c:lblAlgn val="ctr"/>
        <c:lblOffset val="100"/>
        <c:tickLblSkip val="1"/>
        <c:tickMarkSkip val="1"/>
      </c:catAx>
      <c:valAx>
        <c:axId val="95050368"/>
        <c:scaling>
          <c:orientation val="minMax"/>
          <c:max val="100"/>
          <c:min val="0"/>
        </c:scaling>
        <c:axPos val="l"/>
        <c:title>
          <c:tx>
            <c:rich>
              <a:bodyPr/>
              <a:lstStyle/>
              <a:p>
                <a:pPr>
                  <a:defRPr sz="1050" b="1" i="0" u="none" strike="noStrike" baseline="0">
                    <a:solidFill>
                      <a:srgbClr val="000000"/>
                    </a:solidFill>
                    <a:latin typeface="ＭＳ Ｐゴシック"/>
                    <a:ea typeface="ＭＳ Ｐゴシック"/>
                    <a:cs typeface="ＭＳ Ｐゴシック"/>
                  </a:defRPr>
                </a:pPr>
                <a:r>
                  <a:rPr lang="ja-JP" altLang="en-US" sz="1050" b="1" i="0" u="none" strike="noStrike" baseline="0">
                    <a:solidFill>
                      <a:srgbClr val="000000"/>
                    </a:solidFill>
                    <a:latin typeface="ＭＳ Ｐゴシック"/>
                    <a:ea typeface="ＭＳ Ｐゴシック"/>
                  </a:rPr>
                  <a:t>環境品質　Q</a:t>
                </a:r>
                <a:r>
                  <a:rPr lang="ja-JP" altLang="en-US" sz="1050" b="1" i="0" u="none" strike="noStrike" baseline="-25000">
                    <a:solidFill>
                      <a:srgbClr val="000000"/>
                    </a:solidFill>
                    <a:latin typeface="ＭＳ Ｐゴシック"/>
                    <a:ea typeface="ＭＳ Ｐゴシック"/>
                  </a:rPr>
                  <a:t>ES</a:t>
                </a:r>
              </a:p>
            </c:rich>
          </c:tx>
          <c:layout>
            <c:manualLayout>
              <c:xMode val="edge"/>
              <c:yMode val="edge"/>
              <c:x val="1.8867959293851905E-2"/>
              <c:y val="0.27692307692307722"/>
            </c:manualLayout>
          </c:layout>
          <c:spPr>
            <a:noFill/>
            <a:ln w="25400">
              <a:noFill/>
            </a:ln>
          </c:spPr>
        </c:title>
        <c:numFmt formatCode="General" sourceLinked="1"/>
        <c:maj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5048448"/>
        <c:crosses val="autoZero"/>
        <c:crossBetween val="midCat"/>
        <c:majorUnit val="50"/>
        <c:minorUnit val="4"/>
      </c:valAx>
      <c:valAx>
        <c:axId val="95073024"/>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5074560"/>
        <c:crosses val="max"/>
        <c:crossBetween val="midCat"/>
        <c:majorUnit val="50"/>
        <c:minorUnit val="2"/>
      </c:valAx>
      <c:valAx>
        <c:axId val="95074560"/>
        <c:scaling>
          <c:orientation val="minMax"/>
          <c:max val="100"/>
          <c:min val="0"/>
        </c:scaling>
        <c:axPos val="r"/>
        <c:numFmt formatCode="General" sourceLinked="1"/>
        <c:majorTickMark val="none"/>
        <c:tickLblPos val="none"/>
        <c:spPr>
          <a:ln w="3175">
            <a:solidFill>
              <a:srgbClr val="000000"/>
            </a:solidFill>
            <a:prstDash val="solid"/>
          </a:ln>
        </c:spPr>
        <c:crossAx val="95073024"/>
        <c:crosses val="max"/>
        <c:crossBetween val="midCat"/>
        <c:majorUnit val="50"/>
        <c:minorUnit val="2"/>
      </c:valAx>
      <c:spPr>
        <a:solidFill>
          <a:srgbClr val="C0C0C0"/>
        </a:solidFill>
        <a:ln w="12700">
          <a:solidFill>
            <a:srgbClr val="808080"/>
          </a:solidFill>
          <a:prstDash val="solid"/>
        </a:ln>
      </c:spPr>
    </c:plotArea>
    <c:dispBlanksAs val="gap"/>
  </c:chart>
  <c:spPr>
    <a:noFill/>
    <a:ln w="6350">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4896942111858494E-2"/>
          <c:y val="8.2352941176470712E-2"/>
          <c:w val="0.92330649459144132"/>
          <c:h val="0.72352941176470642"/>
        </c:manualLayout>
      </c:layout>
      <c:barChart>
        <c:barDir val="col"/>
        <c:grouping val="clustered"/>
        <c:ser>
          <c:idx val="0"/>
          <c:order val="0"/>
          <c:spPr>
            <a:solidFill>
              <a:srgbClr val="99CC00"/>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'結果(改修後)'!$R$59:$R$62</c:f>
              <c:strCache>
                <c:ptCount val="4"/>
                <c:pt idx="0">
                  <c:v>熱負荷抑制</c:v>
                </c:pt>
                <c:pt idx="1">
                  <c:v>自然ｴﾈﾙｷﾞｰ</c:v>
                </c:pt>
                <c:pt idx="2">
                  <c:v>設備の効率的利用</c:v>
                </c:pt>
                <c:pt idx="3">
                  <c:v>運用ﾏﾈｼﾞﾒﾝﾄ</c:v>
                </c:pt>
              </c:strCache>
            </c:strRef>
          </c:cat>
          <c:val>
            <c:numRef>
              <c:f>'結果(改修後)'!$S$59:$S$62</c:f>
              <c:numCache>
                <c:formatCode>0.0_ </c:formatCode>
                <c:ptCount val="4"/>
                <c:pt idx="0">
                  <c:v>0</c:v>
                </c:pt>
                <c:pt idx="1">
                  <c:v>0</c:v>
                </c:pt>
                <c:pt idx="2">
                  <c:v>0</c:v>
                </c:pt>
                <c:pt idx="3">
                  <c:v>0</c:v>
                </c:pt>
              </c:numCache>
            </c:numRef>
          </c:val>
        </c:ser>
        <c:dLbls>
          <c:showVal val="1"/>
        </c:dLbls>
        <c:gapWidth val="40"/>
        <c:axId val="84208640"/>
        <c:axId val="84304640"/>
      </c:barChart>
      <c:catAx>
        <c:axId val="84208640"/>
        <c:scaling>
          <c:orientation val="minMax"/>
        </c:scaling>
        <c:axPos val="b"/>
        <c:numFmt formatCode="General" sourceLinked="1"/>
        <c:majorTickMark val="none"/>
        <c:tickLblPos val="none"/>
        <c:spPr>
          <a:ln w="3175">
            <a:solidFill>
              <a:srgbClr val="000000"/>
            </a:solidFill>
            <a:prstDash val="solid"/>
          </a:ln>
        </c:spPr>
        <c:crossAx val="84304640"/>
        <c:crossesAt val="0"/>
        <c:auto val="1"/>
        <c:lblAlgn val="ctr"/>
        <c:lblOffset val="100"/>
        <c:tickMarkSkip val="1"/>
      </c:catAx>
      <c:valAx>
        <c:axId val="84304640"/>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tickLblPos val="nextTo"/>
        <c:crossAx val="84208640"/>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3.278706021100268E-2"/>
          <c:y val="9.4339622641509524E-2"/>
          <c:w val="0.95082474611907808"/>
          <c:h val="0.84905660377358572"/>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改修前後の比較!$R$15</c:f>
              <c:strCache>
                <c:ptCount val="1"/>
                <c:pt idx="0">
                  <c:v>Rank(red star)</c:v>
                </c:pt>
              </c:strCache>
            </c:strRef>
          </c:cat>
          <c:val>
            <c:numRef>
              <c:f>改修前後の比較!$S$15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改修前後の比較!$R$15</c:f>
              <c:strCache>
                <c:ptCount val="1"/>
                <c:pt idx="0">
                  <c:v>Rank(red star)</c:v>
                </c:pt>
              </c:strCache>
            </c:strRef>
          </c:cat>
          <c:val>
            <c:numRef>
              <c:f>改修前後の比較!$S$16</c:f>
              <c:numCache>
                <c:formatCode>#,##0.0;[Red]\-#,##0.0</c:formatCode>
                <c:ptCount val="1"/>
                <c:pt idx="0">
                  <c:v>0</c:v>
                </c:pt>
              </c:numCache>
            </c:numRef>
          </c:val>
        </c:ser>
        <c:gapWidth val="50"/>
        <c:overlap val="100"/>
        <c:axId val="96319360"/>
        <c:axId val="96320896"/>
      </c:barChart>
      <c:catAx>
        <c:axId val="96319360"/>
        <c:scaling>
          <c:orientation val="minMax"/>
        </c:scaling>
        <c:delete val="1"/>
        <c:axPos val="l"/>
        <c:numFmt formatCode="General" sourceLinked="1"/>
        <c:tickLblPos val="none"/>
        <c:crossAx val="96320896"/>
        <c:crosses val="autoZero"/>
        <c:auto val="1"/>
        <c:lblAlgn val="ctr"/>
        <c:lblOffset val="100"/>
      </c:catAx>
      <c:valAx>
        <c:axId val="96320896"/>
        <c:scaling>
          <c:orientation val="minMax"/>
        </c:scaling>
        <c:delete val="1"/>
        <c:axPos val="b"/>
        <c:numFmt formatCode="0%" sourceLinked="1"/>
        <c:tickLblPos val="none"/>
        <c:crossAx val="96319360"/>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3.2432432432432441E-2"/>
          <c:y val="0.10869680596983253"/>
          <c:w val="0.9513513513513514"/>
          <c:h val="0.97827125372849266"/>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改修前後の比較!$R$15</c:f>
              <c:strCache>
                <c:ptCount val="1"/>
                <c:pt idx="0">
                  <c:v>Rank(red star)</c:v>
                </c:pt>
              </c:strCache>
            </c:strRef>
          </c:cat>
          <c:val>
            <c:numRef>
              <c:f>改修前後の比較!$T$15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改修前後の比較!$R$15</c:f>
              <c:strCache>
                <c:ptCount val="1"/>
                <c:pt idx="0">
                  <c:v>Rank(red star)</c:v>
                </c:pt>
              </c:strCache>
            </c:strRef>
          </c:cat>
          <c:val>
            <c:numRef>
              <c:f>改修前後の比較!$T$16</c:f>
              <c:numCache>
                <c:formatCode>#,##0.0;[Red]\-#,##0.0</c:formatCode>
                <c:ptCount val="1"/>
                <c:pt idx="0">
                  <c:v>0</c:v>
                </c:pt>
              </c:numCache>
            </c:numRef>
          </c:val>
        </c:ser>
        <c:gapWidth val="50"/>
        <c:overlap val="100"/>
        <c:axId val="96336896"/>
        <c:axId val="96211712"/>
      </c:barChart>
      <c:catAx>
        <c:axId val="96336896"/>
        <c:scaling>
          <c:orientation val="minMax"/>
        </c:scaling>
        <c:delete val="1"/>
        <c:axPos val="l"/>
        <c:numFmt formatCode="General" sourceLinked="1"/>
        <c:tickLblPos val="none"/>
        <c:crossAx val="96211712"/>
        <c:crosses val="autoZero"/>
        <c:auto val="1"/>
        <c:lblAlgn val="ctr"/>
        <c:lblOffset val="100"/>
      </c:catAx>
      <c:valAx>
        <c:axId val="96211712"/>
        <c:scaling>
          <c:orientation val="minMax"/>
        </c:scaling>
        <c:delete val="1"/>
        <c:axPos val="b"/>
        <c:numFmt formatCode="0%" sourceLinked="1"/>
        <c:tickLblPos val="none"/>
        <c:crossAx val="96336896"/>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7164210376724262"/>
          <c:y val="0.10612244897959197"/>
          <c:w val="0.72015056580603831"/>
          <c:h val="0.71020408163265258"/>
        </c:manualLayout>
      </c:layout>
      <c:areaChart>
        <c:grouping val="standard"/>
        <c:ser>
          <c:idx val="1"/>
          <c:order val="2"/>
          <c:tx>
            <c:strRef>
              <c:f>改修前後の比較!$S$29</c:f>
              <c:strCache>
                <c:ptCount val="1"/>
                <c:pt idx="0">
                  <c:v>S</c:v>
                </c:pt>
              </c:strCache>
            </c:strRef>
          </c:tx>
          <c:spPr>
            <a:pattFill prst="pct70">
              <a:fgClr>
                <a:srgbClr val="339966"/>
              </a:fgClr>
              <a:bgClr>
                <a:srgbClr val="FFFFFF"/>
              </a:bgClr>
            </a:pattFill>
            <a:ln w="12700">
              <a:solidFill>
                <a:srgbClr val="000000"/>
              </a:solidFill>
              <a:prstDash val="solid"/>
            </a:ln>
          </c:spPr>
          <c:dLbls>
            <c:dLbl>
              <c:idx val="0"/>
              <c:layout>
                <c:manualLayout>
                  <c:x val="-0.26255019757132725"/>
                  <c:y val="-0.27393175853018348"/>
                </c:manualLayout>
              </c:layout>
              <c:showSerNam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val>
            <c:numRef>
              <c:f>改修前後の比較!$T$29:$Z$29</c:f>
              <c:numCache>
                <c:formatCode>General</c:formatCode>
                <c:ptCount val="7"/>
                <c:pt idx="0">
                  <c:v>100</c:v>
                </c:pt>
                <c:pt idx="1">
                  <c:v>100</c:v>
                </c:pt>
                <c:pt idx="2">
                  <c:v>100</c:v>
                </c:pt>
                <c:pt idx="3">
                  <c:v>100</c:v>
                </c:pt>
                <c:pt idx="4">
                  <c:v>100</c:v>
                </c:pt>
                <c:pt idx="5">
                  <c:v>100</c:v>
                </c:pt>
                <c:pt idx="6">
                  <c:v>100</c:v>
                </c:pt>
              </c:numCache>
            </c:numRef>
          </c:val>
        </c:ser>
        <c:ser>
          <c:idx val="0"/>
          <c:order val="3"/>
          <c:tx>
            <c:strRef>
              <c:f>改修前後の比較!$S$30</c:f>
              <c:strCache>
                <c:ptCount val="1"/>
                <c:pt idx="0">
                  <c:v>A</c:v>
                </c:pt>
              </c:strCache>
            </c:strRef>
          </c:tx>
          <c:spPr>
            <a:pattFill prst="pct90">
              <a:fgClr>
                <a:srgbClr val="CCFFCC"/>
              </a:fgClr>
              <a:bgClr>
                <a:srgbClr val="FFFFFF"/>
              </a:bgClr>
            </a:pattFill>
            <a:ln w="12700">
              <a:solidFill>
                <a:srgbClr val="000000"/>
              </a:solidFill>
              <a:prstDash val="solid"/>
            </a:ln>
          </c:spPr>
          <c:dLbls>
            <c:dLbl>
              <c:idx val="0"/>
              <c:layout>
                <c:manualLayout>
                  <c:x val="-3.7873172757035285E-2"/>
                  <c:y val="-0.27393175853018348"/>
                </c:manualLayout>
              </c:layout>
              <c:showSerNam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val>
            <c:numRef>
              <c:f>改修前後の比較!$T$30:$Z$30</c:f>
              <c:numCache>
                <c:formatCode>General</c:formatCode>
                <c:ptCount val="7"/>
                <c:pt idx="0">
                  <c:v>50</c:v>
                </c:pt>
                <c:pt idx="1">
                  <c:v>50</c:v>
                </c:pt>
                <c:pt idx="2">
                  <c:v>100</c:v>
                </c:pt>
                <c:pt idx="3">
                  <c:v>100</c:v>
                </c:pt>
                <c:pt idx="4">
                  <c:v>100</c:v>
                </c:pt>
                <c:pt idx="5">
                  <c:v>100</c:v>
                </c:pt>
                <c:pt idx="6">
                  <c:v>100</c:v>
                </c:pt>
              </c:numCache>
            </c:numRef>
          </c:val>
        </c:ser>
        <c:ser>
          <c:idx val="2"/>
          <c:order val="4"/>
          <c:tx>
            <c:strRef>
              <c:f>改修前後の比較!$S$31</c:f>
              <c:strCache>
                <c:ptCount val="1"/>
                <c:pt idx="0">
                  <c:v>B+</c:v>
                </c:pt>
              </c:strCache>
            </c:strRef>
          </c:tx>
          <c:spPr>
            <a:solidFill>
              <a:srgbClr val="FFFFCC"/>
            </a:solidFill>
            <a:ln w="12700">
              <a:solidFill>
                <a:srgbClr val="000000"/>
              </a:solidFill>
              <a:prstDash val="solid"/>
            </a:ln>
          </c:spPr>
          <c:val>
            <c:numRef>
              <c:f>改修前後の比較!$T$31:$Z$31</c:f>
              <c:numCache>
                <c:formatCode>General</c:formatCode>
                <c:ptCount val="7"/>
                <c:pt idx="0">
                  <c:v>0</c:v>
                </c:pt>
                <c:pt idx="1">
                  <c:v>25</c:v>
                </c:pt>
                <c:pt idx="2">
                  <c:v>50</c:v>
                </c:pt>
                <c:pt idx="3">
                  <c:v>75</c:v>
                </c:pt>
                <c:pt idx="4">
                  <c:v>100</c:v>
                </c:pt>
                <c:pt idx="5">
                  <c:v>100</c:v>
                </c:pt>
                <c:pt idx="6">
                  <c:v>100</c:v>
                </c:pt>
              </c:numCache>
            </c:numRef>
          </c:val>
        </c:ser>
        <c:ser>
          <c:idx val="3"/>
          <c:order val="5"/>
          <c:tx>
            <c:strRef>
              <c:f>改修前後の比較!$S$32</c:f>
              <c:strCache>
                <c:ptCount val="1"/>
                <c:pt idx="0">
                  <c:v>B-</c:v>
                </c:pt>
              </c:strCache>
            </c:strRef>
          </c:tx>
          <c:spPr>
            <a:solidFill>
              <a:srgbClr val="FFFFCC"/>
            </a:solidFill>
            <a:ln w="12700">
              <a:solidFill>
                <a:srgbClr val="000000"/>
              </a:solidFill>
              <a:prstDash val="solid"/>
            </a:ln>
          </c:spPr>
          <c:val>
            <c:numRef>
              <c:f>改修前後の比較!$T$32:$Z$32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ser>
          <c:idx val="4"/>
          <c:order val="6"/>
          <c:tx>
            <c:strRef>
              <c:f>改修前後の比較!$S$33</c:f>
              <c:strCache>
                <c:ptCount val="1"/>
                <c:pt idx="0">
                  <c:v>C</c:v>
                </c:pt>
              </c:strCache>
            </c:strRef>
          </c:tx>
          <c:spPr>
            <a:solidFill>
              <a:srgbClr val="FFFFFF"/>
            </a:solidFill>
            <a:ln w="12700">
              <a:solidFill>
                <a:srgbClr val="000000"/>
              </a:solidFill>
              <a:prstDash val="solid"/>
            </a:ln>
          </c:spPr>
          <c:dLbls>
            <c:dLbl>
              <c:idx val="0"/>
              <c:layout>
                <c:manualLayout>
                  <c:x val="0.30247570459605094"/>
                  <c:y val="-3.4135733033370932E-2"/>
                </c:manualLayout>
              </c:layout>
              <c:showSerNam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025" b="1" i="0" u="none" strike="noStrike" baseline="0">
                    <a:solidFill>
                      <a:srgbClr val="000000"/>
                    </a:solidFill>
                    <a:latin typeface="ＭＳ Ｐゴシック"/>
                    <a:ea typeface="ＭＳ Ｐゴシック"/>
                    <a:cs typeface="ＭＳ Ｐゴシック"/>
                  </a:defRPr>
                </a:pPr>
                <a:endParaRPr lang="ja-JP"/>
              </a:p>
            </c:txPr>
            <c:showSerName val="1"/>
            <c:extLst>
              <c:ext xmlns:c15="http://schemas.microsoft.com/office/drawing/2012/chart" uri="{CE6537A1-D6FC-4f65-9D91-7224C49458BB}">
                <c15:showLeaderLines val="0"/>
              </c:ext>
            </c:extLst>
          </c:dLbls>
          <c:val>
            <c:numRef>
              <c:f>改修前後の比較!$T$33:$Z$33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axId val="96361856"/>
        <c:axId val="96384512"/>
      </c:areaChart>
      <c:scatterChart>
        <c:scatterStyle val="lineMarker"/>
        <c:ser>
          <c:idx val="8"/>
          <c:order val="0"/>
          <c:tx>
            <c:strRef>
              <c:f>改修前後の比較!$T$13</c:f>
              <c:strCache>
                <c:ptCount val="1"/>
                <c:pt idx="0">
                  <c:v>#DIV/0!</c:v>
                </c:pt>
              </c:strCache>
            </c:strRef>
          </c:tx>
          <c:spPr>
            <a:ln w="38100">
              <a:solidFill>
                <a:srgbClr val="008000"/>
              </a:solidFill>
              <a:prstDash val="solid"/>
            </a:ln>
          </c:spPr>
          <c:marker>
            <c:symbol val="none"/>
          </c:marker>
          <c:dLbls>
            <c:dLbl>
              <c:idx val="1"/>
              <c:layout>
                <c:manualLayout>
                  <c:x val="6.2189838210522187E-2"/>
                  <c:y val="-2.8843537414966078E-2"/>
                </c:manualLayout>
              </c:layout>
              <c:spPr>
                <a:noFill/>
                <a:ln w="25400">
                  <a:noFill/>
                </a:ln>
              </c:spPr>
              <c:txPr>
                <a:bodyPr/>
                <a:lstStyle/>
                <a:p>
                  <a:pPr>
                    <a:defRPr sz="1300" b="1" i="0" u="none" strike="noStrike" baseline="0">
                      <a:solidFill>
                        <a:srgbClr val="FF0000"/>
                      </a:solidFill>
                      <a:latin typeface="Arial"/>
                      <a:ea typeface="Arial"/>
                      <a:cs typeface="Arial"/>
                    </a:defRPr>
                  </a:pPr>
                  <a:endParaRPr lang="ja-JP"/>
                </a:p>
              </c:txPr>
              <c:dLblPos val="r"/>
              <c:showSerNam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300" b="1" i="0" u="none" strike="noStrike" baseline="0">
                    <a:solidFill>
                      <a:srgbClr val="FF0000"/>
                    </a:solidFill>
                    <a:latin typeface="Arial"/>
                    <a:ea typeface="Arial"/>
                    <a:cs typeface="Arial"/>
                  </a:defRPr>
                </a:pPr>
                <a:endParaRPr lang="ja-JP"/>
              </a:p>
            </c:txPr>
            <c:showSerName val="1"/>
            <c:extLst>
              <c:ext xmlns:c15="http://schemas.microsoft.com/office/drawing/2012/chart" uri="{CE6537A1-D6FC-4f65-9D91-7224C49458BB}">
                <c15:showLeaderLines val="0"/>
              </c:ext>
            </c:extLst>
          </c:dLbls>
          <c:xVal>
            <c:numRef>
              <c:f>改修前後の比較!$W$23:$Y$23</c:f>
              <c:numCache>
                <c:formatCode>#,##0;[Red]\-#,##0</c:formatCode>
                <c:ptCount val="3"/>
                <c:pt idx="1">
                  <c:v>0</c:v>
                </c:pt>
                <c:pt idx="2">
                  <c:v>0</c:v>
                </c:pt>
              </c:numCache>
            </c:numRef>
          </c:xVal>
          <c:yVal>
            <c:numRef>
              <c:f>改修前後の比較!$W$24:$Y$24</c:f>
              <c:numCache>
                <c:formatCode>#,##0;[Red]\-#,##0</c:formatCode>
                <c:ptCount val="3"/>
                <c:pt idx="1">
                  <c:v>0</c:v>
                </c:pt>
                <c:pt idx="2">
                  <c:v>0</c:v>
                </c:pt>
              </c:numCache>
            </c:numRef>
          </c:yVal>
        </c:ser>
        <c:ser>
          <c:idx val="6"/>
          <c:order val="1"/>
          <c:tx>
            <c:strRef>
              <c:f>改修前後の比較!$S$13</c:f>
              <c:strCache>
                <c:ptCount val="1"/>
                <c:pt idx="0">
                  <c:v>#DIV/0!</c:v>
                </c:pt>
              </c:strCache>
            </c:strRef>
          </c:tx>
          <c:spPr>
            <a:ln w="38100">
              <a:solidFill>
                <a:srgbClr val="99CC00"/>
              </a:solidFill>
              <a:prstDash val="solid"/>
            </a:ln>
          </c:spPr>
          <c:marker>
            <c:symbol val="none"/>
          </c:marker>
          <c:dLbls>
            <c:dLbl>
              <c:idx val="1"/>
              <c:layout>
                <c:manualLayout>
                  <c:x val="1.9901280996591844E-2"/>
                  <c:y val="-0.13496598639455781"/>
                </c:manualLayout>
              </c:layout>
              <c:spPr>
                <a:noFill/>
                <a:ln w="25400">
                  <a:noFill/>
                </a:ln>
              </c:spPr>
              <c:txPr>
                <a:bodyPr/>
                <a:lstStyle/>
                <a:p>
                  <a:pPr>
                    <a:defRPr sz="1300" b="1" i="0" u="none" strike="noStrike" baseline="0">
                      <a:solidFill>
                        <a:srgbClr val="99CC00"/>
                      </a:solidFill>
                      <a:latin typeface="Arial"/>
                      <a:ea typeface="Arial"/>
                      <a:cs typeface="Arial"/>
                    </a:defRPr>
                  </a:pPr>
                  <a:endParaRPr lang="ja-JP"/>
                </a:p>
              </c:txPr>
              <c:dLblPos val="r"/>
              <c:showSerName val="1"/>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1300" b="1" i="0" u="none" strike="noStrike" baseline="0">
                    <a:solidFill>
                      <a:srgbClr val="99CC00"/>
                    </a:solidFill>
                    <a:latin typeface="Arial"/>
                    <a:ea typeface="Arial"/>
                    <a:cs typeface="Arial"/>
                  </a:defRPr>
                </a:pPr>
                <a:endParaRPr lang="ja-JP"/>
              </a:p>
            </c:txPr>
            <c:showSerName val="1"/>
            <c:extLst>
              <c:ext xmlns:c15="http://schemas.microsoft.com/office/drawing/2012/chart" uri="{CE6537A1-D6FC-4f65-9D91-7224C49458BB}">
                <c15:showLeaderLines val="0"/>
              </c:ext>
            </c:extLst>
          </c:dLbls>
          <c:xVal>
            <c:numRef>
              <c:f>改修前後の比較!$S$23:$U$23</c:f>
              <c:numCache>
                <c:formatCode>#,##0;[Red]\-#,##0</c:formatCode>
                <c:ptCount val="3"/>
                <c:pt idx="1">
                  <c:v>0</c:v>
                </c:pt>
                <c:pt idx="2">
                  <c:v>0</c:v>
                </c:pt>
              </c:numCache>
            </c:numRef>
          </c:xVal>
          <c:yVal>
            <c:numRef>
              <c:f>改修前後の比較!$S$24:$U$24</c:f>
              <c:numCache>
                <c:formatCode>#,##0;[Red]\-#,##0</c:formatCode>
                <c:ptCount val="3"/>
                <c:pt idx="1">
                  <c:v>0</c:v>
                </c:pt>
                <c:pt idx="2">
                  <c:v>0</c:v>
                </c:pt>
              </c:numCache>
            </c:numRef>
          </c:yVal>
        </c:ser>
        <c:ser>
          <c:idx val="5"/>
          <c:order val="7"/>
          <c:tx>
            <c:strRef>
              <c:f>改修前後の比較!$S$21</c:f>
              <c:strCache>
                <c:ptCount val="1"/>
                <c:pt idx="0">
                  <c:v>before</c:v>
                </c:pt>
              </c:strCache>
            </c:strRef>
          </c:tx>
          <c:spPr>
            <a:ln w="25400">
              <a:solidFill>
                <a:srgbClr val="99CC00"/>
              </a:solidFill>
              <a:prstDash val="sysDash"/>
            </a:ln>
          </c:spPr>
          <c:marker>
            <c:symbol val="none"/>
          </c:marker>
          <c:dPt>
            <c:idx val="1"/>
            <c:marker>
              <c:symbol val="circle"/>
              <c:size val="6"/>
              <c:spPr>
                <a:solidFill>
                  <a:srgbClr val="99CC00"/>
                </a:solidFill>
                <a:ln>
                  <a:solidFill>
                    <a:srgbClr val="000000"/>
                  </a:solidFill>
                  <a:prstDash val="solid"/>
                </a:ln>
              </c:spPr>
            </c:marker>
            <c:spPr>
              <a:ln w="19050">
                <a:noFill/>
              </a:ln>
            </c:spPr>
          </c:dPt>
          <c:dPt>
            <c:idx val="2"/>
            <c:marker>
              <c:symbol val="triangle"/>
              <c:size val="18"/>
              <c:spPr>
                <a:solidFill>
                  <a:srgbClr val="99CC00"/>
                </a:solidFill>
                <a:ln>
                  <a:solidFill>
                    <a:srgbClr val="000000"/>
                  </a:solidFill>
                  <a:prstDash val="solid"/>
                </a:ln>
              </c:spPr>
            </c:marker>
          </c:dPt>
          <c:dPt>
            <c:idx val="3"/>
            <c:marker>
              <c:symbol val="circle"/>
              <c:size val="6"/>
              <c:spPr>
                <a:solidFill>
                  <a:srgbClr val="99CC00"/>
                </a:solidFill>
                <a:ln>
                  <a:solidFill>
                    <a:srgbClr val="000000"/>
                  </a:solidFill>
                  <a:prstDash val="solid"/>
                </a:ln>
              </c:spPr>
            </c:marker>
          </c:dPt>
          <c:dLbls>
            <c:dLbl>
              <c:idx val="1"/>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CatName val="1"/>
              <c:extLst>
                <c:ext xmlns:c15="http://schemas.microsoft.com/office/drawing/2012/chart" uri="{CE6537A1-D6FC-4f65-9D91-7224C49458BB}"/>
              </c:extLst>
            </c:dLbl>
            <c:dLbl>
              <c:idx val="3"/>
              <c:spPr>
                <a:noFill/>
                <a:ln w="25400">
                  <a:noFill/>
                </a:ln>
              </c:spPr>
              <c:txPr>
                <a:bodyPr/>
                <a:lstStyle/>
                <a:p>
                  <a:pPr>
                    <a:defRPr sz="800" b="1" i="0" u="none" strike="noStrike" baseline="0">
                      <a:solidFill>
                        <a:srgbClr val="000000"/>
                      </a:solidFill>
                      <a:latin typeface="ＭＳ Ｐゴシック"/>
                      <a:ea typeface="ＭＳ Ｐゴシック"/>
                      <a:cs typeface="ＭＳ Ｐゴシック"/>
                    </a:defRPr>
                  </a:pPr>
                  <a:endParaRPr lang="ja-JP"/>
                </a:p>
              </c:txPr>
              <c:showVal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xVal>
            <c:numRef>
              <c:f>改修前後の比較!$R$25:$U$25</c:f>
              <c:numCache>
                <c:formatCode>#,##0;[Red]\-#,##0</c:formatCode>
                <c:ptCount val="4"/>
                <c:pt idx="0" formatCode="General">
                  <c:v>0</c:v>
                </c:pt>
                <c:pt idx="1">
                  <c:v>0</c:v>
                </c:pt>
                <c:pt idx="2">
                  <c:v>0</c:v>
                </c:pt>
                <c:pt idx="3">
                  <c:v>0.1</c:v>
                </c:pt>
              </c:numCache>
            </c:numRef>
          </c:xVal>
          <c:yVal>
            <c:numRef>
              <c:f>改修前後の比較!$R$26:$U$26</c:f>
              <c:numCache>
                <c:formatCode>#,##0;[Red]\-#,##0</c:formatCode>
                <c:ptCount val="4"/>
                <c:pt idx="0" formatCode="General">
                  <c:v>0</c:v>
                </c:pt>
                <c:pt idx="1">
                  <c:v>0</c:v>
                </c:pt>
                <c:pt idx="2">
                  <c:v>0</c:v>
                </c:pt>
                <c:pt idx="3">
                  <c:v>0</c:v>
                </c:pt>
              </c:numCache>
            </c:numRef>
          </c:yVal>
        </c:ser>
        <c:ser>
          <c:idx val="7"/>
          <c:order val="8"/>
          <c:tx>
            <c:strRef>
              <c:f>改修前後の比較!$W$21</c:f>
              <c:strCache>
                <c:ptCount val="1"/>
                <c:pt idx="0">
                  <c:v>after</c:v>
                </c:pt>
              </c:strCache>
            </c:strRef>
          </c:tx>
          <c:spPr>
            <a:ln w="25400">
              <a:solidFill>
                <a:srgbClr val="008000"/>
              </a:solidFill>
              <a:prstDash val="sysDash"/>
            </a:ln>
          </c:spPr>
          <c:marker>
            <c:symbol val="none"/>
          </c:marker>
          <c:dPt>
            <c:idx val="1"/>
            <c:marker>
              <c:symbol val="circle"/>
              <c:size val="6"/>
              <c:spPr>
                <a:solidFill>
                  <a:srgbClr val="339966"/>
                </a:solidFill>
                <a:ln>
                  <a:solidFill>
                    <a:srgbClr val="000000"/>
                  </a:solidFill>
                  <a:prstDash val="solid"/>
                </a:ln>
              </c:spPr>
            </c:marker>
            <c:spPr>
              <a:ln w="19050">
                <a:noFill/>
              </a:ln>
            </c:spPr>
          </c:dPt>
          <c:dPt>
            <c:idx val="2"/>
            <c:marker>
              <c:symbol val="triangle"/>
              <c:size val="18"/>
              <c:spPr>
                <a:solidFill>
                  <a:srgbClr val="339966"/>
                </a:solidFill>
                <a:ln>
                  <a:solidFill>
                    <a:srgbClr val="000000"/>
                  </a:solidFill>
                  <a:prstDash val="solid"/>
                </a:ln>
              </c:spPr>
            </c:marker>
          </c:dPt>
          <c:dPt>
            <c:idx val="3"/>
            <c:marker>
              <c:symbol val="circle"/>
              <c:size val="6"/>
              <c:spPr>
                <a:solidFill>
                  <a:srgbClr val="339966"/>
                </a:solidFill>
                <a:ln>
                  <a:solidFill>
                    <a:srgbClr val="000000"/>
                  </a:solidFill>
                  <a:prstDash val="solid"/>
                </a:ln>
              </c:spPr>
            </c:marker>
          </c:dPt>
          <c:dLbls>
            <c:dLbl>
              <c:idx val="0"/>
              <c:delete val="1"/>
              <c:extLst>
                <c:ext xmlns:c15="http://schemas.microsoft.com/office/drawing/2012/chart" uri="{CE6537A1-D6FC-4f65-9D91-7224C49458BB}"/>
              </c:extLst>
            </c:dLbl>
            <c:dLbl>
              <c:idx val="1"/>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showCatNam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showVal val="1"/>
              <c:extLst>
                <c:ext xmlns:c15="http://schemas.microsoft.com/office/drawing/2012/chart" uri="{CE6537A1-D6FC-4f65-9D91-7224C49458BB}"/>
              </c:extLst>
            </c:dLbl>
            <c:spPr>
              <a:noFill/>
              <a:ln w="25400">
                <a:noFill/>
              </a:ln>
            </c:spPr>
            <c:txPr>
              <a:bodyPr wrap="square" lIns="38100" tIns="19050" rIns="38100" bIns="19050" anchor="ctr">
                <a:spAutoFit/>
              </a:bodyPr>
              <a:lstStyle/>
              <a:p>
                <a:pPr>
                  <a:defRPr sz="800" b="1" i="0" u="none" strike="noStrike" baseline="0">
                    <a:solidFill>
                      <a:srgbClr val="FF0000"/>
                    </a:solidFill>
                    <a:latin typeface="ＭＳ Ｐゴシック"/>
                    <a:ea typeface="ＭＳ Ｐゴシック"/>
                    <a:cs typeface="ＭＳ Ｐゴシック"/>
                  </a:defRPr>
                </a:pPr>
                <a:endParaRPr lang="ja-JP"/>
              </a:p>
            </c:txPr>
            <c:showVal val="1"/>
            <c:showCatName val="1"/>
            <c:extLst>
              <c:ext xmlns:c15="http://schemas.microsoft.com/office/drawing/2012/chart" uri="{CE6537A1-D6FC-4f65-9D91-7224C49458BB}">
                <c15:showLeaderLines val="0"/>
              </c:ext>
            </c:extLst>
          </c:dLbls>
          <c:xVal>
            <c:numRef>
              <c:f>改修前後の比較!$V$25:$Y$25</c:f>
              <c:numCache>
                <c:formatCode>#,##0;[Red]\-#,##0</c:formatCode>
                <c:ptCount val="4"/>
                <c:pt idx="0" formatCode="General">
                  <c:v>0</c:v>
                </c:pt>
                <c:pt idx="1">
                  <c:v>0</c:v>
                </c:pt>
                <c:pt idx="2">
                  <c:v>0</c:v>
                </c:pt>
                <c:pt idx="3">
                  <c:v>0.1</c:v>
                </c:pt>
              </c:numCache>
            </c:numRef>
          </c:xVal>
          <c:yVal>
            <c:numRef>
              <c:f>改修前後の比較!$V$26:$Y$26</c:f>
              <c:numCache>
                <c:formatCode>#,##0;[Red]\-#,##0</c:formatCode>
                <c:ptCount val="4"/>
                <c:pt idx="0" formatCode="General">
                  <c:v>0</c:v>
                </c:pt>
                <c:pt idx="1">
                  <c:v>0</c:v>
                </c:pt>
                <c:pt idx="2">
                  <c:v>0</c:v>
                </c:pt>
                <c:pt idx="3">
                  <c:v>0</c:v>
                </c:pt>
              </c:numCache>
            </c:numRef>
          </c:yVal>
        </c:ser>
        <c:axId val="96386432"/>
        <c:axId val="96392320"/>
      </c:scatterChart>
      <c:catAx>
        <c:axId val="96361856"/>
        <c:scaling>
          <c:orientation val="minMax"/>
        </c:scaling>
        <c:axPos val="b"/>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環境負荷　</a:t>
                </a:r>
                <a:r>
                  <a:rPr lang="en-US" altLang="ja-JP"/>
                  <a:t>L</a:t>
                </a:r>
              </a:p>
            </c:rich>
          </c:tx>
          <c:layout>
            <c:manualLayout>
              <c:xMode val="edge"/>
              <c:yMode val="edge"/>
              <c:x val="0.38432905843534731"/>
              <c:y val="0.90204081632653177"/>
            </c:manualLayout>
          </c:layout>
          <c:spPr>
            <a:noFill/>
            <a:ln w="25400">
              <a:noFill/>
            </a:ln>
          </c:spPr>
        </c:title>
        <c:majorTickMark val="none"/>
        <c:tickLblPos val="none"/>
        <c:spPr>
          <a:ln w="3175">
            <a:solidFill>
              <a:srgbClr val="000000"/>
            </a:solidFill>
            <a:prstDash val="solid"/>
          </a:ln>
        </c:spPr>
        <c:crossAx val="96384512"/>
        <c:crossesAt val="0"/>
        <c:auto val="1"/>
        <c:lblAlgn val="ctr"/>
        <c:lblOffset val="100"/>
        <c:tickLblSkip val="1"/>
        <c:tickMarkSkip val="1"/>
      </c:catAx>
      <c:valAx>
        <c:axId val="96384512"/>
        <c:scaling>
          <c:orientation val="minMax"/>
          <c:max val="100"/>
          <c:min val="0"/>
        </c:scaling>
        <c:axPos val="l"/>
        <c:title>
          <c:tx>
            <c:rich>
              <a:bodyPr/>
              <a:lstStyle/>
              <a:p>
                <a:pPr>
                  <a:defRPr sz="975" b="1" i="0" u="none" strike="noStrike" baseline="0">
                    <a:solidFill>
                      <a:srgbClr val="000000"/>
                    </a:solidFill>
                    <a:latin typeface="ＭＳ Ｐゴシック"/>
                    <a:ea typeface="ＭＳ Ｐゴシック"/>
                    <a:cs typeface="ＭＳ Ｐゴシック"/>
                  </a:defRPr>
                </a:pPr>
                <a:r>
                  <a:rPr lang="ja-JP" altLang="en-US"/>
                  <a:t>環境品質　</a:t>
                </a:r>
                <a:r>
                  <a:rPr lang="en-US" altLang="ja-JP"/>
                  <a:t>Q</a:t>
                </a:r>
              </a:p>
            </c:rich>
          </c:tx>
          <c:layout>
            <c:manualLayout>
              <c:xMode val="edge"/>
              <c:yMode val="edge"/>
              <c:x val="1.8656750409482881E-2"/>
              <c:y val="0.31428571428571456"/>
            </c:manualLayout>
          </c:layout>
          <c:spPr>
            <a:noFill/>
            <a:ln w="25400">
              <a:noFill/>
            </a:ln>
          </c:spPr>
        </c:title>
        <c:numFmt formatCode="General" sourceLinked="1"/>
        <c:maj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96361856"/>
        <c:crosses val="autoZero"/>
        <c:crossBetween val="midCat"/>
        <c:majorUnit val="50"/>
        <c:minorUnit val="4"/>
      </c:valAx>
      <c:valAx>
        <c:axId val="96386432"/>
        <c:scaling>
          <c:orientation val="minMax"/>
          <c:max val="100"/>
          <c:min val="0"/>
        </c:scaling>
        <c:axPos val="t"/>
        <c:numFmt formatCode="#,##0;[Red]\-#,##0" sourceLinked="1"/>
        <c:majorTickMark val="none"/>
        <c:tickLblPos val="low"/>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96392320"/>
        <c:crosses val="max"/>
        <c:crossBetween val="midCat"/>
        <c:majorUnit val="50"/>
        <c:minorUnit val="2"/>
      </c:valAx>
      <c:valAx>
        <c:axId val="96392320"/>
        <c:scaling>
          <c:orientation val="minMax"/>
          <c:max val="100"/>
          <c:min val="0"/>
        </c:scaling>
        <c:axPos val="r"/>
        <c:numFmt formatCode="#,##0;[Red]\-#,##0" sourceLinked="1"/>
        <c:majorTickMark val="none"/>
        <c:tickLblPos val="none"/>
        <c:spPr>
          <a:ln w="3175">
            <a:solidFill>
              <a:srgbClr val="000000"/>
            </a:solidFill>
            <a:prstDash val="solid"/>
          </a:ln>
        </c:spPr>
        <c:crossAx val="96386432"/>
        <c:crosses val="max"/>
        <c:crossBetween val="midCat"/>
        <c:majorUnit val="50"/>
        <c:minorUnit val="2"/>
      </c:valAx>
      <c:spPr>
        <a:solidFill>
          <a:srgbClr val="C0C0C0"/>
        </a:solidFill>
        <a:ln w="12700">
          <a:solidFill>
            <a:srgbClr val="808080"/>
          </a:solidFill>
          <a:prstDash val="solid"/>
        </a:ln>
      </c:spPr>
    </c:plotArea>
    <c:dispBlanksAs val="gap"/>
  </c:chart>
  <c:spPr>
    <a:noFill/>
    <a:ln w="6350">
      <a:noFill/>
    </a:ln>
  </c:spPr>
  <c:txPr>
    <a:bodyPr/>
    <a:lstStyle/>
    <a:p>
      <a:pPr>
        <a:defRPr sz="4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7906384260890854"/>
          <c:y val="0.10932475884244373"/>
          <c:w val="0.61708154991377762"/>
          <c:h val="0.72025723472668812"/>
        </c:manualLayout>
      </c:layout>
      <c:radarChart>
        <c:radarStyle val="filled"/>
        <c:ser>
          <c:idx val="0"/>
          <c:order val="0"/>
          <c:tx>
            <c:strRef>
              <c:f>改修前後の比較!$W$8</c:f>
              <c:strCache>
                <c:ptCount val="1"/>
                <c:pt idx="0">
                  <c:v>background</c:v>
                </c:pt>
              </c:strCache>
            </c:strRef>
          </c:tx>
          <c:spPr>
            <a:blipFill dpi="0" rotWithShape="0">
              <a:blip xmlns:r="http://schemas.openxmlformats.org/officeDocument/2006/relationships" r:embed="rId1"/>
              <a:srcRect/>
              <a:stretch>
                <a:fillRect/>
              </a:stretch>
            </a:blip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改修前後の比較!$W$9:$W$14</c:f>
              <c:numCache>
                <c:formatCode>General</c:formatCode>
                <c:ptCount val="6"/>
                <c:pt idx="0">
                  <c:v>5</c:v>
                </c:pt>
                <c:pt idx="1">
                  <c:v>5</c:v>
                </c:pt>
                <c:pt idx="2">
                  <c:v>5</c:v>
                </c:pt>
                <c:pt idx="3">
                  <c:v>5</c:v>
                </c:pt>
                <c:pt idx="4">
                  <c:v>5</c:v>
                </c:pt>
                <c:pt idx="5">
                  <c:v>5</c:v>
                </c:pt>
              </c:numCache>
            </c:numRef>
          </c:val>
        </c:ser>
        <c:ser>
          <c:idx val="1"/>
          <c:order val="1"/>
          <c:tx>
            <c:strRef>
              <c:f>改修前後の比較!$X$8</c:f>
              <c:strCache>
                <c:ptCount val="1"/>
                <c:pt idx="0">
                  <c:v>4</c:v>
                </c:pt>
              </c:strCache>
            </c:strRef>
          </c:tx>
          <c:spPr>
            <a:no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改修前後の比較!$X$9:$X$14</c:f>
              <c:numCache>
                <c:formatCode>General</c:formatCode>
                <c:ptCount val="6"/>
                <c:pt idx="0">
                  <c:v>4</c:v>
                </c:pt>
                <c:pt idx="1">
                  <c:v>4</c:v>
                </c:pt>
                <c:pt idx="2">
                  <c:v>4</c:v>
                </c:pt>
                <c:pt idx="3">
                  <c:v>4</c:v>
                </c:pt>
                <c:pt idx="4">
                  <c:v>4</c:v>
                </c:pt>
                <c:pt idx="5">
                  <c:v>4</c:v>
                </c:pt>
              </c:numCache>
            </c:numRef>
          </c:val>
        </c:ser>
        <c:ser>
          <c:idx val="2"/>
          <c:order val="2"/>
          <c:tx>
            <c:strRef>
              <c:f>改修前後の比較!$Y$8</c:f>
              <c:strCache>
                <c:ptCount val="1"/>
                <c:pt idx="0">
                  <c:v>2</c:v>
                </c:pt>
              </c:strCache>
            </c:strRef>
          </c:tx>
          <c:spPr>
            <a:no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改修前後の比較!$Y$9:$Y$14</c:f>
              <c:numCache>
                <c:formatCode>General</c:formatCode>
                <c:ptCount val="6"/>
                <c:pt idx="0">
                  <c:v>2</c:v>
                </c:pt>
                <c:pt idx="1">
                  <c:v>2</c:v>
                </c:pt>
                <c:pt idx="2">
                  <c:v>2</c:v>
                </c:pt>
                <c:pt idx="3">
                  <c:v>2</c:v>
                </c:pt>
                <c:pt idx="4">
                  <c:v>2</c:v>
                </c:pt>
                <c:pt idx="5">
                  <c:v>2</c:v>
                </c:pt>
              </c:numCache>
            </c:numRef>
          </c:val>
        </c:ser>
        <c:ser>
          <c:idx val="5"/>
          <c:order val="3"/>
          <c:tx>
            <c:strRef>
              <c:f>改修前後の比較!$AA$8</c:f>
              <c:strCache>
                <c:ptCount val="1"/>
                <c:pt idx="0">
                  <c:v>after</c:v>
                </c:pt>
              </c:strCache>
            </c:strRef>
          </c:tx>
          <c:spPr>
            <a:solidFill>
              <a:srgbClr val="99CCFF"/>
            </a:solidFill>
            <a:ln w="12700">
              <a:solidFill>
                <a:srgbClr val="00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改修前後の比較!$AA$9:$AA$14</c:f>
              <c:numCache>
                <c:formatCode>0.0_ </c:formatCode>
                <c:ptCount val="6"/>
                <c:pt idx="0">
                  <c:v>0</c:v>
                </c:pt>
                <c:pt idx="1">
                  <c:v>0</c:v>
                </c:pt>
                <c:pt idx="2">
                  <c:v>0</c:v>
                </c:pt>
                <c:pt idx="3">
                  <c:v>0</c:v>
                </c:pt>
                <c:pt idx="4">
                  <c:v>0</c:v>
                </c:pt>
                <c:pt idx="5">
                  <c:v>0</c:v>
                </c:pt>
              </c:numCache>
            </c:numRef>
          </c:val>
        </c:ser>
        <c:ser>
          <c:idx val="3"/>
          <c:order val="4"/>
          <c:tx>
            <c:strRef>
              <c:f>改修前後の比較!$Z$8</c:f>
              <c:strCache>
                <c:ptCount val="1"/>
                <c:pt idx="0">
                  <c:v>before</c:v>
                </c:pt>
              </c:strCache>
            </c:strRef>
          </c:tx>
          <c:spPr>
            <a:solidFill>
              <a:srgbClr val="CCFFFF"/>
            </a:solidFill>
            <a:ln w="12700">
              <a:solidFill>
                <a:srgbClr val="000000"/>
              </a:solidFill>
              <a:prstDash val="sysDash"/>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改修前後の比較!$Z$9:$Z$14</c:f>
              <c:numCache>
                <c:formatCode>0.0_ </c:formatCode>
                <c:ptCount val="6"/>
                <c:pt idx="0">
                  <c:v>0</c:v>
                </c:pt>
                <c:pt idx="1">
                  <c:v>0</c:v>
                </c:pt>
                <c:pt idx="2">
                  <c:v>0</c:v>
                </c:pt>
                <c:pt idx="3">
                  <c:v>0</c:v>
                </c:pt>
                <c:pt idx="4">
                  <c:v>0</c:v>
                </c:pt>
                <c:pt idx="5">
                  <c:v>0</c:v>
                </c:pt>
              </c:numCache>
            </c:numRef>
          </c:val>
        </c:ser>
        <c:ser>
          <c:idx val="4"/>
          <c:order val="5"/>
          <c:tx>
            <c:strRef>
              <c:f>改修前後の比較!$AB$8</c:f>
              <c:strCache>
                <c:ptCount val="1"/>
                <c:pt idx="0">
                  <c:v>std</c:v>
                </c:pt>
              </c:strCache>
            </c:strRef>
          </c:tx>
          <c:spPr>
            <a:noFill/>
            <a:ln w="12700">
              <a:solidFill>
                <a:srgbClr val="FF0000"/>
              </a:solidFill>
              <a:prstDash val="solid"/>
            </a:ln>
          </c:spPr>
          <c:cat>
            <c:strRef>
              <c:f>改修前後の比較!$V$9:$V$14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改修前後の比較!$AB$9:$AB$14</c:f>
              <c:numCache>
                <c:formatCode>General</c:formatCode>
                <c:ptCount val="6"/>
                <c:pt idx="0">
                  <c:v>3</c:v>
                </c:pt>
                <c:pt idx="1">
                  <c:v>3</c:v>
                </c:pt>
                <c:pt idx="2">
                  <c:v>3</c:v>
                </c:pt>
                <c:pt idx="3">
                  <c:v>3</c:v>
                </c:pt>
                <c:pt idx="4">
                  <c:v>3</c:v>
                </c:pt>
                <c:pt idx="5">
                  <c:v>3</c:v>
                </c:pt>
              </c:numCache>
            </c:numRef>
          </c:val>
        </c:ser>
        <c:axId val="96555776"/>
        <c:axId val="96557312"/>
      </c:radarChart>
      <c:catAx>
        <c:axId val="96555776"/>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96557312"/>
        <c:crosses val="autoZero"/>
        <c:lblAlgn val="ctr"/>
        <c:lblOffset val="100"/>
      </c:catAx>
      <c:valAx>
        <c:axId val="96557312"/>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96555776"/>
        <c:crosses val="autoZero"/>
        <c:crossBetween val="between"/>
        <c:majorUnit val="1"/>
      </c:valAx>
      <c:spPr>
        <a:noFill/>
        <a:ln w="25400">
          <a:noFill/>
        </a:ln>
      </c:spPr>
    </c:plotArea>
    <c:dispBlanksAs val="gap"/>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9406084192460712E-2"/>
          <c:y val="0.16"/>
          <c:w val="0.88614075587087104"/>
          <c:h val="0.98"/>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改修前後の比較!$R$36</c:f>
              <c:strCache>
                <c:ptCount val="1"/>
                <c:pt idx="0">
                  <c:v>Rank(green star)</c:v>
                </c:pt>
              </c:strCache>
            </c:strRef>
          </c:cat>
          <c:val>
            <c:numRef>
              <c:f>改修前後の比較!$T$36</c:f>
              <c:numCache>
                <c:formatCode>General</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改修前後の比較!$R$36</c:f>
              <c:strCache>
                <c:ptCount val="1"/>
                <c:pt idx="0">
                  <c:v>Rank(green star)</c:v>
                </c:pt>
              </c:strCache>
            </c:strRef>
          </c:cat>
          <c:val>
            <c:numRef>
              <c:f>改修前後の比較!$T$37</c:f>
              <c:numCache>
                <c:formatCode>General</c:formatCode>
                <c:ptCount val="1"/>
                <c:pt idx="0">
                  <c:v>0</c:v>
                </c:pt>
              </c:numCache>
            </c:numRef>
          </c:val>
        </c:ser>
        <c:gapWidth val="50"/>
        <c:overlap val="100"/>
        <c:axId val="96597888"/>
        <c:axId val="96599424"/>
      </c:barChart>
      <c:catAx>
        <c:axId val="96597888"/>
        <c:scaling>
          <c:orientation val="minMax"/>
        </c:scaling>
        <c:delete val="1"/>
        <c:axPos val="l"/>
        <c:numFmt formatCode="General" sourceLinked="1"/>
        <c:tickLblPos val="none"/>
        <c:crossAx val="96599424"/>
        <c:crosses val="autoZero"/>
        <c:auto val="1"/>
        <c:lblAlgn val="ctr"/>
        <c:lblOffset val="100"/>
      </c:catAx>
      <c:valAx>
        <c:axId val="96599424"/>
        <c:scaling>
          <c:orientation val="minMax"/>
        </c:scaling>
        <c:delete val="1"/>
        <c:axPos val="b"/>
        <c:numFmt formatCode="0%" sourceLinked="1"/>
        <c:tickLblPos val="none"/>
        <c:crossAx val="96597888"/>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9113300492610876E-2"/>
          <c:y val="0.1"/>
          <c:w val="0.89162561576354749"/>
          <c:h val="0.96000000000000052"/>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dPt>
            <c:idx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改修前後の比較!$R$36</c:f>
              <c:strCache>
                <c:ptCount val="1"/>
                <c:pt idx="0">
                  <c:v>Rank(green star)</c:v>
                </c:pt>
              </c:strCache>
            </c:strRef>
          </c:cat>
          <c:val>
            <c:numRef>
              <c:f>改修前後の比較!$S$36</c:f>
              <c:numCache>
                <c:formatCode>General</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pictureOptions>
            <c:pictureFormat val="stackScale"/>
            <c:pictureStackUnit val="20"/>
          </c:pictureOptions>
          <c:cat>
            <c:strRef>
              <c:f>改修前後の比較!$R$36</c:f>
              <c:strCache>
                <c:ptCount val="1"/>
                <c:pt idx="0">
                  <c:v>Rank(green star)</c:v>
                </c:pt>
              </c:strCache>
            </c:strRef>
          </c:cat>
          <c:val>
            <c:numRef>
              <c:f>改修前後の比較!$S$37</c:f>
              <c:numCache>
                <c:formatCode>General</c:formatCode>
                <c:ptCount val="1"/>
                <c:pt idx="0">
                  <c:v>0</c:v>
                </c:pt>
              </c:numCache>
            </c:numRef>
          </c:val>
        </c:ser>
        <c:gapWidth val="50"/>
        <c:overlap val="100"/>
        <c:axId val="96714112"/>
        <c:axId val="96715904"/>
      </c:barChart>
      <c:catAx>
        <c:axId val="96714112"/>
        <c:scaling>
          <c:orientation val="minMax"/>
        </c:scaling>
        <c:delete val="1"/>
        <c:axPos val="l"/>
        <c:numFmt formatCode="General" sourceLinked="1"/>
        <c:tickLblPos val="none"/>
        <c:crossAx val="96715904"/>
        <c:crosses val="autoZero"/>
        <c:auto val="1"/>
        <c:lblAlgn val="ctr"/>
        <c:lblOffset val="100"/>
      </c:catAx>
      <c:valAx>
        <c:axId val="96715904"/>
        <c:scaling>
          <c:orientation val="minMax"/>
        </c:scaling>
        <c:delete val="1"/>
        <c:axPos val="b"/>
        <c:numFmt formatCode="0%" sourceLinked="1"/>
        <c:tickLblPos val="none"/>
        <c:crossAx val="96714112"/>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5.4545575607190137E-2"/>
          <c:y val="0.12834258110842744"/>
          <c:w val="0.89545653288470539"/>
          <c:h val="0.67379855081924478"/>
        </c:manualLayout>
      </c:layout>
      <c:barChart>
        <c:barDir val="bar"/>
        <c:grouping val="stacked"/>
        <c:ser>
          <c:idx val="4"/>
          <c:order val="0"/>
          <c:tx>
            <c:strRef>
              <c:f>改修前後の比較!$S$40</c:f>
              <c:strCache>
                <c:ptCount val="1"/>
                <c:pt idx="0">
                  <c:v>オンサイト</c:v>
                </c:pt>
              </c:strCache>
            </c:strRef>
          </c:tx>
          <c:spPr>
            <a:solidFill>
              <a:srgbClr val="969696"/>
            </a:solidFill>
            <a:ln w="12700">
              <a:solidFill>
                <a:srgbClr val="000000"/>
              </a:solidFill>
              <a:prstDash val="solid"/>
            </a:ln>
          </c:spPr>
          <c:cat>
            <c:strRef>
              <c:f>改修前後の比較!$R$41:$R$44</c:f>
              <c:strCache>
                <c:ptCount val="4"/>
                <c:pt idx="0">
                  <c:v>Ref</c:v>
                </c:pt>
                <c:pt idx="1">
                  <c:v>Subjest1</c:v>
                </c:pt>
                <c:pt idx="2">
                  <c:v>Subjest2</c:v>
                </c:pt>
                <c:pt idx="3">
                  <c:v>Subjest3</c:v>
                </c:pt>
              </c:strCache>
            </c:strRef>
          </c:cat>
          <c:val>
            <c:numRef>
              <c:f>改修前後の比較!$S$41:$S$44</c:f>
              <c:numCache>
                <c:formatCode>#,##0;[Red]\-#,##0</c:formatCode>
                <c:ptCount val="4"/>
                <c:pt idx="0">
                  <c:v>0</c:v>
                </c:pt>
                <c:pt idx="1">
                  <c:v>0</c:v>
                </c:pt>
              </c:numCache>
            </c:numRef>
          </c:val>
        </c:ser>
        <c:ser>
          <c:idx val="5"/>
          <c:order val="1"/>
          <c:tx>
            <c:strRef>
              <c:f>改修前後の比較!$T$40</c:f>
              <c:strCache>
                <c:ptCount val="1"/>
                <c:pt idx="0">
                  <c:v>オフサイト</c:v>
                </c:pt>
              </c:strCache>
            </c:strRef>
          </c:tx>
          <c:spPr>
            <a:pattFill prst="pct60">
              <a:fgClr>
                <a:srgbClr val="C0C0C0"/>
              </a:fgClr>
              <a:bgClr>
                <a:srgbClr val="FFFFFF"/>
              </a:bgClr>
            </a:pattFill>
            <a:ln w="12700">
              <a:solidFill>
                <a:srgbClr val="000000"/>
              </a:solidFill>
              <a:prstDash val="solid"/>
            </a:ln>
          </c:spPr>
          <c:cat>
            <c:strRef>
              <c:f>改修前後の比較!$R$41:$R$44</c:f>
              <c:strCache>
                <c:ptCount val="4"/>
                <c:pt idx="0">
                  <c:v>Ref</c:v>
                </c:pt>
                <c:pt idx="1">
                  <c:v>Subjest1</c:v>
                </c:pt>
                <c:pt idx="2">
                  <c:v>Subjest2</c:v>
                </c:pt>
                <c:pt idx="3">
                  <c:v>Subjest3</c:v>
                </c:pt>
              </c:strCache>
            </c:strRef>
          </c:cat>
          <c:val>
            <c:numRef>
              <c:f>改修前後の比較!$T$41:$T$44</c:f>
              <c:numCache>
                <c:formatCode>General</c:formatCode>
                <c:ptCount val="4"/>
                <c:pt idx="2">
                  <c:v>0</c:v>
                </c:pt>
                <c:pt idx="3">
                  <c:v>0</c:v>
                </c:pt>
              </c:numCache>
            </c:numRef>
          </c:val>
        </c:ser>
        <c:gapWidth val="50"/>
        <c:overlap val="100"/>
        <c:axId val="96769152"/>
        <c:axId val="96770688"/>
      </c:barChart>
      <c:catAx>
        <c:axId val="96769152"/>
        <c:scaling>
          <c:orientation val="maxMin"/>
        </c:scaling>
        <c:delete val="1"/>
        <c:axPos val="l"/>
        <c:numFmt formatCode="General" sourceLinked="1"/>
        <c:tickLblPos val="none"/>
        <c:crossAx val="96770688"/>
        <c:crosses val="autoZero"/>
        <c:auto val="1"/>
        <c:lblAlgn val="ctr"/>
        <c:lblOffset val="100"/>
      </c:catAx>
      <c:valAx>
        <c:axId val="96770688"/>
        <c:scaling>
          <c:orientation val="minMax"/>
        </c:scaling>
        <c:axPos val="b"/>
        <c:numFmt formatCode="0_ " sourceLinked="0"/>
        <c:majorTickMark val="in"/>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96769152"/>
        <c:crosses val="max"/>
        <c:crossBetween val="between"/>
      </c:valAx>
      <c:spPr>
        <a:noFill/>
        <a:ln w="3175">
          <a:solidFill>
            <a:srgbClr val="000000"/>
          </a:solidFill>
          <a:prstDash val="solid"/>
        </a:ln>
      </c:spPr>
    </c:plotArea>
    <c:legend>
      <c:legendPos val="r"/>
      <c:layout>
        <c:manualLayout>
          <c:xMode val="edge"/>
          <c:yMode val="edge"/>
          <c:x val="7.7272898776852755E-2"/>
          <c:y val="2.6738037730922402E-2"/>
          <c:w val="0.8318200280096506"/>
          <c:h val="0.10695215092368972"/>
        </c:manualLayout>
      </c:layout>
      <c:spPr>
        <a:no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dispBlanksAs val="gap"/>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0"/>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08685568"/>
        <c:axId val="108695552"/>
      </c:barChart>
      <c:catAx>
        <c:axId val="108685568"/>
        <c:scaling>
          <c:orientation val="minMax"/>
        </c:scaling>
        <c:delete val="1"/>
        <c:axPos val="l"/>
        <c:tickLblPos val="none"/>
        <c:crossAx val="108695552"/>
        <c:crossesAt val="0"/>
        <c:auto val="1"/>
        <c:lblAlgn val="ctr"/>
        <c:lblOffset val="100"/>
      </c:catAx>
      <c:valAx>
        <c:axId val="108695552"/>
        <c:scaling>
          <c:orientation val="minMax"/>
          <c:max val="5"/>
          <c:min val="0"/>
        </c:scaling>
        <c:delete val="1"/>
        <c:axPos val="b"/>
        <c:majorGridlines>
          <c:spPr>
            <a:ln w="3175">
              <a:solidFill>
                <a:srgbClr val="FFFFFF"/>
              </a:solidFill>
              <a:prstDash val="solid"/>
            </a:ln>
          </c:spPr>
        </c:majorGridlines>
        <c:numFmt formatCode="General" sourceLinked="1"/>
        <c:tickLblPos val="none"/>
        <c:crossAx val="1086855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08706432"/>
        <c:axId val="108712320"/>
      </c:barChart>
      <c:catAx>
        <c:axId val="108706432"/>
        <c:scaling>
          <c:orientation val="minMax"/>
        </c:scaling>
        <c:delete val="1"/>
        <c:axPos val="l"/>
        <c:tickLblPos val="none"/>
        <c:crossAx val="108712320"/>
        <c:crossesAt val="0"/>
        <c:auto val="1"/>
        <c:lblAlgn val="ctr"/>
        <c:lblOffset val="100"/>
      </c:catAx>
      <c:valAx>
        <c:axId val="1087123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087064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09779968"/>
        <c:axId val="109785856"/>
      </c:barChart>
      <c:catAx>
        <c:axId val="109779968"/>
        <c:scaling>
          <c:orientation val="minMax"/>
        </c:scaling>
        <c:delete val="1"/>
        <c:axPos val="l"/>
        <c:tickLblPos val="none"/>
        <c:crossAx val="109785856"/>
        <c:crossesAt val="0"/>
        <c:auto val="1"/>
        <c:lblAlgn val="ctr"/>
        <c:lblOffset val="100"/>
      </c:catAx>
      <c:valAx>
        <c:axId val="109785856"/>
        <c:scaling>
          <c:orientation val="minMax"/>
          <c:max val="5"/>
          <c:min val="0"/>
        </c:scaling>
        <c:delete val="1"/>
        <c:axPos val="b"/>
        <c:majorGridlines>
          <c:spPr>
            <a:ln w="3175">
              <a:solidFill>
                <a:srgbClr val="FFFFFF"/>
              </a:solidFill>
              <a:prstDash val="solid"/>
            </a:ln>
          </c:spPr>
        </c:majorGridlines>
        <c:numFmt formatCode="General" sourceLinked="1"/>
        <c:tickLblPos val="none"/>
        <c:crossAx val="1097799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8.0924969694061891E-2"/>
          <c:y val="8.4337597472695897E-2"/>
          <c:w val="0.90462555408004763"/>
          <c:h val="0.72289369262310921"/>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'結果(改修後)'!$R$48:$R$51</c:f>
              <c:strCache>
                <c:ptCount val="4"/>
                <c:pt idx="0">
                  <c:v>音環境</c:v>
                </c:pt>
                <c:pt idx="1">
                  <c:v>温熱環境</c:v>
                </c:pt>
                <c:pt idx="2">
                  <c:v>光・視環境</c:v>
                </c:pt>
                <c:pt idx="3">
                  <c:v>空気質環境</c:v>
                </c:pt>
              </c:strCache>
            </c:strRef>
          </c:cat>
          <c:val>
            <c:numRef>
              <c:f>'結果(改修後)'!$S$48:$S$51</c:f>
              <c:numCache>
                <c:formatCode>0.0_ </c:formatCode>
                <c:ptCount val="4"/>
                <c:pt idx="0">
                  <c:v>0</c:v>
                </c:pt>
                <c:pt idx="1">
                  <c:v>0</c:v>
                </c:pt>
                <c:pt idx="2">
                  <c:v>0</c:v>
                </c:pt>
                <c:pt idx="3">
                  <c:v>0</c:v>
                </c:pt>
              </c:numCache>
            </c:numRef>
          </c:val>
        </c:ser>
        <c:dLbls>
          <c:showVal val="1"/>
        </c:dLbls>
        <c:gapWidth val="40"/>
        <c:axId val="84379136"/>
        <c:axId val="84380672"/>
      </c:barChart>
      <c:catAx>
        <c:axId val="84379136"/>
        <c:scaling>
          <c:orientation val="minMax"/>
        </c:scaling>
        <c:axPos val="b"/>
        <c:numFmt formatCode="General" sourceLinked="1"/>
        <c:majorTickMark val="none"/>
        <c:tickLblPos val="none"/>
        <c:spPr>
          <a:ln w="3175">
            <a:solidFill>
              <a:srgbClr val="000000"/>
            </a:solidFill>
            <a:prstDash val="solid"/>
          </a:ln>
        </c:spPr>
        <c:crossAx val="84380672"/>
        <c:crossesAt val="0"/>
        <c:auto val="1"/>
        <c:lblAlgn val="ctr"/>
        <c:lblOffset val="100"/>
        <c:tickMarkSkip val="1"/>
      </c:catAx>
      <c:valAx>
        <c:axId val="84380672"/>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crossAx val="84379136"/>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09813120"/>
        <c:axId val="109827200"/>
      </c:barChart>
      <c:catAx>
        <c:axId val="109813120"/>
        <c:scaling>
          <c:orientation val="minMax"/>
        </c:scaling>
        <c:delete val="1"/>
        <c:axPos val="l"/>
        <c:tickLblPos val="none"/>
        <c:crossAx val="109827200"/>
        <c:crossesAt val="0"/>
        <c:auto val="1"/>
        <c:lblAlgn val="ctr"/>
        <c:lblOffset val="100"/>
      </c:catAx>
      <c:valAx>
        <c:axId val="1098272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0981312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93032448"/>
        <c:axId val="93033984"/>
      </c:barChart>
      <c:catAx>
        <c:axId val="93032448"/>
        <c:scaling>
          <c:orientation val="minMax"/>
        </c:scaling>
        <c:delete val="1"/>
        <c:axPos val="l"/>
        <c:tickLblPos val="none"/>
        <c:crossAx val="93033984"/>
        <c:crossesAt val="0"/>
        <c:auto val="1"/>
        <c:lblAlgn val="ctr"/>
        <c:lblOffset val="100"/>
      </c:catAx>
      <c:valAx>
        <c:axId val="93033984"/>
        <c:scaling>
          <c:orientation val="minMax"/>
          <c:max val="5"/>
          <c:min val="0"/>
        </c:scaling>
        <c:delete val="1"/>
        <c:axPos val="b"/>
        <c:majorGridlines>
          <c:spPr>
            <a:ln w="3175">
              <a:solidFill>
                <a:srgbClr val="FFFFFF"/>
              </a:solidFill>
              <a:prstDash val="solid"/>
            </a:ln>
          </c:spPr>
        </c:majorGridlines>
        <c:numFmt formatCode="General" sourceLinked="1"/>
        <c:tickLblPos val="none"/>
        <c:crossAx val="9303244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93086080"/>
        <c:axId val="93087616"/>
      </c:barChart>
      <c:catAx>
        <c:axId val="93086080"/>
        <c:scaling>
          <c:orientation val="minMax"/>
        </c:scaling>
        <c:delete val="1"/>
        <c:axPos val="l"/>
        <c:tickLblPos val="none"/>
        <c:crossAx val="93087616"/>
        <c:crossesAt val="0"/>
        <c:auto val="1"/>
        <c:lblAlgn val="ctr"/>
        <c:lblOffset val="100"/>
      </c:catAx>
      <c:valAx>
        <c:axId val="93087616"/>
        <c:scaling>
          <c:orientation val="minMax"/>
          <c:max val="5"/>
          <c:min val="0"/>
        </c:scaling>
        <c:delete val="1"/>
        <c:axPos val="b"/>
        <c:majorGridlines>
          <c:spPr>
            <a:ln w="3175">
              <a:solidFill>
                <a:srgbClr val="FFFFFF"/>
              </a:solidFill>
              <a:prstDash val="solid"/>
            </a:ln>
          </c:spPr>
        </c:majorGridlines>
        <c:numFmt formatCode="General" sourceLinked="1"/>
        <c:tickLblPos val="none"/>
        <c:crossAx val="930860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93098752"/>
        <c:axId val="93100288"/>
      </c:barChart>
      <c:catAx>
        <c:axId val="93098752"/>
        <c:scaling>
          <c:orientation val="minMax"/>
        </c:scaling>
        <c:delete val="1"/>
        <c:axPos val="l"/>
        <c:tickLblPos val="none"/>
        <c:crossAx val="93100288"/>
        <c:crossesAt val="0"/>
        <c:auto val="1"/>
        <c:lblAlgn val="ctr"/>
        <c:lblOffset val="100"/>
      </c:catAx>
      <c:valAx>
        <c:axId val="93100288"/>
        <c:scaling>
          <c:orientation val="minMax"/>
          <c:max val="5"/>
          <c:min val="0"/>
        </c:scaling>
        <c:delete val="1"/>
        <c:axPos val="b"/>
        <c:majorGridlines>
          <c:spPr>
            <a:ln w="3175">
              <a:solidFill>
                <a:srgbClr val="FFFFFF"/>
              </a:solidFill>
              <a:prstDash val="solid"/>
            </a:ln>
          </c:spPr>
        </c:majorGridlines>
        <c:numFmt formatCode="General" sourceLinked="1"/>
        <c:tickLblPos val="none"/>
        <c:crossAx val="9309875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08594304"/>
        <c:axId val="108595840"/>
      </c:barChart>
      <c:catAx>
        <c:axId val="108594304"/>
        <c:scaling>
          <c:orientation val="minMax"/>
        </c:scaling>
        <c:delete val="1"/>
        <c:axPos val="l"/>
        <c:tickLblPos val="none"/>
        <c:crossAx val="108595840"/>
        <c:crossesAt val="0"/>
        <c:auto val="1"/>
        <c:lblAlgn val="ctr"/>
        <c:lblOffset val="100"/>
      </c:catAx>
      <c:valAx>
        <c:axId val="1085958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085943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08623360"/>
        <c:axId val="108624896"/>
      </c:barChart>
      <c:catAx>
        <c:axId val="108623360"/>
        <c:scaling>
          <c:orientation val="minMax"/>
        </c:scaling>
        <c:delete val="1"/>
        <c:axPos val="l"/>
        <c:tickLblPos val="none"/>
        <c:crossAx val="108624896"/>
        <c:crossesAt val="0"/>
        <c:auto val="1"/>
        <c:lblAlgn val="ctr"/>
        <c:lblOffset val="100"/>
      </c:catAx>
      <c:valAx>
        <c:axId val="1086248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086233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08644224"/>
        <c:axId val="108645760"/>
      </c:barChart>
      <c:catAx>
        <c:axId val="108644224"/>
        <c:scaling>
          <c:orientation val="minMax"/>
        </c:scaling>
        <c:delete val="1"/>
        <c:axPos val="l"/>
        <c:tickLblPos val="none"/>
        <c:crossAx val="108645760"/>
        <c:crossesAt val="0"/>
        <c:auto val="1"/>
        <c:lblAlgn val="ctr"/>
        <c:lblOffset val="100"/>
      </c:catAx>
      <c:valAx>
        <c:axId val="1086457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086442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0119168"/>
        <c:axId val="110133248"/>
      </c:barChart>
      <c:catAx>
        <c:axId val="110119168"/>
        <c:scaling>
          <c:orientation val="minMax"/>
        </c:scaling>
        <c:delete val="1"/>
        <c:axPos val="l"/>
        <c:tickLblPos val="none"/>
        <c:crossAx val="110133248"/>
        <c:crossesAt val="0"/>
        <c:auto val="1"/>
        <c:lblAlgn val="ctr"/>
        <c:lblOffset val="100"/>
      </c:catAx>
      <c:valAx>
        <c:axId val="1101332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1191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0156416"/>
        <c:axId val="110166400"/>
      </c:barChart>
      <c:catAx>
        <c:axId val="110156416"/>
        <c:scaling>
          <c:orientation val="minMax"/>
        </c:scaling>
        <c:delete val="1"/>
        <c:axPos val="l"/>
        <c:tickLblPos val="none"/>
        <c:crossAx val="110166400"/>
        <c:crossesAt val="0"/>
        <c:auto val="1"/>
        <c:lblAlgn val="ctr"/>
        <c:lblOffset val="100"/>
      </c:catAx>
      <c:valAx>
        <c:axId val="11016640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15641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0173184"/>
        <c:axId val="110191360"/>
      </c:barChart>
      <c:catAx>
        <c:axId val="110173184"/>
        <c:scaling>
          <c:orientation val="minMax"/>
        </c:scaling>
        <c:delete val="1"/>
        <c:axPos val="l"/>
        <c:tickLblPos val="none"/>
        <c:crossAx val="110191360"/>
        <c:crossesAt val="0"/>
        <c:auto val="1"/>
        <c:lblAlgn val="ctr"/>
        <c:lblOffset val="100"/>
      </c:catAx>
      <c:valAx>
        <c:axId val="1101913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1731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278488384247118E-2"/>
          <c:y val="8.3832335329341451E-2"/>
          <c:w val="0.91131770629571118"/>
          <c:h val="0.71257485029940193"/>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'結果(改修後)'!$X$48:$X$50</c:f>
              <c:strCache>
                <c:ptCount val="3"/>
                <c:pt idx="0">
                  <c:v>生物環境</c:v>
                </c:pt>
                <c:pt idx="1">
                  <c:v>まちなみ景観</c:v>
                </c:pt>
                <c:pt idx="2">
                  <c:v>地域性・文化</c:v>
                </c:pt>
              </c:strCache>
            </c:strRef>
          </c:cat>
          <c:val>
            <c:numRef>
              <c:f>'結果(改修後)'!$Y$48:$Y$50</c:f>
              <c:numCache>
                <c:formatCode>0.0_ </c:formatCode>
                <c:ptCount val="3"/>
                <c:pt idx="0">
                  <c:v>3</c:v>
                </c:pt>
                <c:pt idx="1">
                  <c:v>3</c:v>
                </c:pt>
                <c:pt idx="2">
                  <c:v>0</c:v>
                </c:pt>
              </c:numCache>
            </c:numRef>
          </c:val>
        </c:ser>
        <c:dLbls>
          <c:showVal val="1"/>
        </c:dLbls>
        <c:gapWidth val="70"/>
        <c:axId val="84422016"/>
        <c:axId val="84456576"/>
      </c:barChart>
      <c:catAx>
        <c:axId val="84422016"/>
        <c:scaling>
          <c:orientation val="minMax"/>
        </c:scaling>
        <c:axPos val="b"/>
        <c:numFmt formatCode="General" sourceLinked="1"/>
        <c:majorTickMark val="none"/>
        <c:tickLblPos val="none"/>
        <c:spPr>
          <a:ln w="3175">
            <a:solidFill>
              <a:srgbClr val="000000"/>
            </a:solidFill>
            <a:prstDash val="solid"/>
          </a:ln>
        </c:spPr>
        <c:crossAx val="84456576"/>
        <c:crossesAt val="0"/>
        <c:auto val="1"/>
        <c:lblAlgn val="ctr"/>
        <c:lblOffset val="100"/>
        <c:tickMarkSkip val="1"/>
      </c:catAx>
      <c:valAx>
        <c:axId val="84456576"/>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422016"/>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horizontalDpi="-3" verticalDpi="-3"/>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0206336"/>
        <c:axId val="110216320"/>
      </c:barChart>
      <c:catAx>
        <c:axId val="110206336"/>
        <c:scaling>
          <c:orientation val="minMax"/>
        </c:scaling>
        <c:delete val="1"/>
        <c:axPos val="l"/>
        <c:tickLblPos val="none"/>
        <c:crossAx val="110216320"/>
        <c:crossesAt val="0"/>
        <c:auto val="1"/>
        <c:lblAlgn val="ctr"/>
        <c:lblOffset val="100"/>
      </c:catAx>
      <c:valAx>
        <c:axId val="1102163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2063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0247936"/>
        <c:axId val="110249472"/>
      </c:barChart>
      <c:catAx>
        <c:axId val="110247936"/>
        <c:scaling>
          <c:orientation val="minMax"/>
        </c:scaling>
        <c:delete val="1"/>
        <c:axPos val="l"/>
        <c:tickLblPos val="none"/>
        <c:crossAx val="110249472"/>
        <c:crossesAt val="0"/>
        <c:auto val="1"/>
        <c:lblAlgn val="ctr"/>
        <c:lblOffset val="100"/>
      </c:catAx>
      <c:valAx>
        <c:axId val="1102494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2479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0285184"/>
        <c:axId val="110286720"/>
      </c:barChart>
      <c:catAx>
        <c:axId val="110285184"/>
        <c:scaling>
          <c:orientation val="minMax"/>
        </c:scaling>
        <c:delete val="1"/>
        <c:axPos val="l"/>
        <c:tickLblPos val="none"/>
        <c:crossAx val="110286720"/>
        <c:crossesAt val="0"/>
        <c:auto val="1"/>
        <c:lblAlgn val="ctr"/>
        <c:lblOffset val="100"/>
      </c:catAx>
      <c:valAx>
        <c:axId val="1102867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2851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0510848"/>
        <c:axId val="110512384"/>
      </c:barChart>
      <c:catAx>
        <c:axId val="110510848"/>
        <c:scaling>
          <c:orientation val="minMax"/>
        </c:scaling>
        <c:delete val="1"/>
        <c:axPos val="l"/>
        <c:tickLblPos val="none"/>
        <c:crossAx val="110512384"/>
        <c:crossesAt val="0"/>
        <c:auto val="1"/>
        <c:lblAlgn val="ctr"/>
        <c:lblOffset val="100"/>
      </c:catAx>
      <c:valAx>
        <c:axId val="11051238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51084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0535808"/>
        <c:axId val="110537344"/>
      </c:barChart>
      <c:catAx>
        <c:axId val="110535808"/>
        <c:scaling>
          <c:orientation val="minMax"/>
        </c:scaling>
        <c:delete val="1"/>
        <c:axPos val="l"/>
        <c:tickLblPos val="none"/>
        <c:crossAx val="110537344"/>
        <c:crossesAt val="0"/>
        <c:auto val="1"/>
        <c:lblAlgn val="ctr"/>
        <c:lblOffset val="100"/>
      </c:catAx>
      <c:valAx>
        <c:axId val="11053734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53580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0642688"/>
        <c:axId val="110644224"/>
      </c:barChart>
      <c:catAx>
        <c:axId val="110642688"/>
        <c:scaling>
          <c:orientation val="minMax"/>
        </c:scaling>
        <c:delete val="1"/>
        <c:axPos val="l"/>
        <c:tickLblPos val="none"/>
        <c:crossAx val="110644224"/>
        <c:crossesAt val="0"/>
        <c:auto val="1"/>
        <c:lblAlgn val="ctr"/>
        <c:lblOffset val="100"/>
      </c:catAx>
      <c:valAx>
        <c:axId val="1106442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64268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0663552"/>
        <c:axId val="110665088"/>
      </c:barChart>
      <c:catAx>
        <c:axId val="110663552"/>
        <c:scaling>
          <c:orientation val="minMax"/>
        </c:scaling>
        <c:delete val="1"/>
        <c:axPos val="l"/>
        <c:tickLblPos val="none"/>
        <c:crossAx val="110665088"/>
        <c:crossesAt val="0"/>
        <c:auto val="1"/>
        <c:lblAlgn val="ctr"/>
        <c:lblOffset val="100"/>
      </c:catAx>
      <c:valAx>
        <c:axId val="11066508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66355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0708992"/>
        <c:axId val="110714880"/>
      </c:barChart>
      <c:catAx>
        <c:axId val="110708992"/>
        <c:scaling>
          <c:orientation val="minMax"/>
        </c:scaling>
        <c:delete val="1"/>
        <c:axPos val="l"/>
        <c:tickLblPos val="none"/>
        <c:crossAx val="110714880"/>
        <c:crossesAt val="0"/>
        <c:auto val="1"/>
        <c:lblAlgn val="ctr"/>
        <c:lblOffset val="100"/>
      </c:catAx>
      <c:valAx>
        <c:axId val="11071488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7089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0729856"/>
        <c:axId val="110731648"/>
      </c:barChart>
      <c:catAx>
        <c:axId val="110729856"/>
        <c:scaling>
          <c:orientation val="minMax"/>
        </c:scaling>
        <c:delete val="1"/>
        <c:axPos val="l"/>
        <c:tickLblPos val="none"/>
        <c:crossAx val="110731648"/>
        <c:crossesAt val="0"/>
        <c:auto val="1"/>
        <c:lblAlgn val="ctr"/>
        <c:lblOffset val="100"/>
      </c:catAx>
      <c:valAx>
        <c:axId val="1107316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7298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0431232"/>
        <c:axId val="110441216"/>
      </c:barChart>
      <c:catAx>
        <c:axId val="110431232"/>
        <c:scaling>
          <c:orientation val="minMax"/>
        </c:scaling>
        <c:delete val="1"/>
        <c:axPos val="l"/>
        <c:tickLblPos val="none"/>
        <c:crossAx val="110441216"/>
        <c:crossesAt val="0"/>
        <c:auto val="1"/>
        <c:lblAlgn val="ctr"/>
        <c:lblOffset val="100"/>
      </c:catAx>
      <c:valAx>
        <c:axId val="1104412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43123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21188683958848026"/>
          <c:y val="0.16455721629811162"/>
          <c:w val="0.57364485839808188"/>
          <c:h val="0.70253273111886116"/>
        </c:manualLayout>
      </c:layout>
      <c:radarChart>
        <c:radarStyle val="filled"/>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'結果(改修後)'!$W$9:$W$14</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'結果(改修後)'!$X$9:$X$14</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'結果(改修後)'!$Y$9:$Y$14</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'結果(改修後)'!$Z$9:$Z$14</c:f>
              <c:numCache>
                <c:formatCode>General</c:formatCode>
                <c:ptCount val="6"/>
                <c:pt idx="0">
                  <c:v>0</c:v>
                </c:pt>
                <c:pt idx="1">
                  <c:v>0</c:v>
                </c:pt>
                <c:pt idx="2">
                  <c:v>0</c:v>
                </c:pt>
                <c:pt idx="3">
                  <c:v>0</c:v>
                </c:pt>
                <c:pt idx="4">
                  <c:v>0</c:v>
                </c:pt>
                <c:pt idx="5">
                  <c:v>0</c:v>
                </c:pt>
              </c:numCache>
            </c:numRef>
          </c:val>
        </c:ser>
        <c:ser>
          <c:idx val="4"/>
          <c:order val="4"/>
          <c:spPr>
            <a:noFill/>
            <a:ln w="12700">
              <a:solidFill>
                <a:srgbClr val="FF0000"/>
              </a:solidFill>
              <a:prstDash val="solid"/>
            </a:ln>
          </c:spPr>
          <c:cat>
            <c:strRef>
              <c:f>'結果(改修後)'!$V$9:$V$14</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'結果(改修後)'!$AA$9:$AA$14</c:f>
              <c:numCache>
                <c:formatCode>General</c:formatCode>
                <c:ptCount val="6"/>
                <c:pt idx="0">
                  <c:v>3</c:v>
                </c:pt>
                <c:pt idx="1">
                  <c:v>3</c:v>
                </c:pt>
                <c:pt idx="2">
                  <c:v>3</c:v>
                </c:pt>
                <c:pt idx="3">
                  <c:v>3</c:v>
                </c:pt>
                <c:pt idx="4">
                  <c:v>3</c:v>
                </c:pt>
                <c:pt idx="5">
                  <c:v>3</c:v>
                </c:pt>
              </c:numCache>
            </c:numRef>
          </c:val>
        </c:ser>
        <c:axId val="84266368"/>
        <c:axId val="84477056"/>
      </c:radarChart>
      <c:catAx>
        <c:axId val="84266368"/>
        <c:scaling>
          <c:orientation val="minMax"/>
        </c:scaling>
        <c:axPos val="b"/>
        <c:majorGridlines>
          <c:spPr>
            <a:ln w="3175">
              <a:solidFill>
                <a:srgbClr val="000000"/>
              </a:solidFill>
              <a:prstDash val="solid"/>
            </a:ln>
          </c:spPr>
        </c:majorGridlines>
        <c:numFmt formatCode="General" sourceLinked="1"/>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84477056"/>
        <c:crosses val="autoZero"/>
        <c:lblAlgn val="ctr"/>
        <c:lblOffset val="100"/>
      </c:catAx>
      <c:valAx>
        <c:axId val="84477056"/>
        <c:scaling>
          <c:orientation val="minMax"/>
          <c:max val="5"/>
          <c:min val="1"/>
        </c:scaling>
        <c:axPos val="l"/>
        <c:majorGridlines>
          <c:spPr>
            <a:ln w="3175">
              <a:solidFill>
                <a:srgbClr val="000000"/>
              </a:solidFill>
              <a:prstDash val="solid"/>
            </a:ln>
          </c:spPr>
        </c:majorGridlines>
        <c:numFmt formatCode="#,##0_);[Red]\(#,##0\)" sourceLinked="0"/>
        <c:majorTickMark val="cross"/>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84266368"/>
        <c:crosses val="autoZero"/>
        <c:crossBetween val="between"/>
        <c:majorUnit val="1"/>
      </c:valAx>
      <c:spPr>
        <a:noFill/>
        <a:ln w="25400">
          <a:noFill/>
        </a:ln>
      </c:spPr>
    </c:plotArea>
    <c:dispBlanksAs val="gap"/>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0448000"/>
        <c:axId val="110470272"/>
      </c:barChart>
      <c:catAx>
        <c:axId val="110448000"/>
        <c:scaling>
          <c:orientation val="minMax"/>
        </c:scaling>
        <c:delete val="1"/>
        <c:axPos val="l"/>
        <c:tickLblPos val="none"/>
        <c:crossAx val="110470272"/>
        <c:crossesAt val="0"/>
        <c:auto val="1"/>
        <c:lblAlgn val="ctr"/>
        <c:lblOffset val="100"/>
      </c:catAx>
      <c:valAx>
        <c:axId val="1104702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4480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0563712"/>
        <c:axId val="110565248"/>
      </c:barChart>
      <c:catAx>
        <c:axId val="110563712"/>
        <c:scaling>
          <c:orientation val="minMax"/>
        </c:scaling>
        <c:delete val="1"/>
        <c:axPos val="l"/>
        <c:tickLblPos val="none"/>
        <c:crossAx val="110565248"/>
        <c:crossesAt val="0"/>
        <c:auto val="1"/>
        <c:lblAlgn val="ctr"/>
        <c:lblOffset val="100"/>
      </c:catAx>
      <c:valAx>
        <c:axId val="1105652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5637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0588672"/>
        <c:axId val="110590208"/>
      </c:barChart>
      <c:catAx>
        <c:axId val="110588672"/>
        <c:scaling>
          <c:orientation val="minMax"/>
        </c:scaling>
        <c:delete val="1"/>
        <c:axPos val="l"/>
        <c:tickLblPos val="none"/>
        <c:crossAx val="110590208"/>
        <c:crossesAt val="0"/>
        <c:auto val="1"/>
        <c:lblAlgn val="ctr"/>
        <c:lblOffset val="100"/>
      </c:catAx>
      <c:valAx>
        <c:axId val="1105902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5886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0621824"/>
        <c:axId val="110623360"/>
      </c:barChart>
      <c:catAx>
        <c:axId val="110621824"/>
        <c:scaling>
          <c:orientation val="minMax"/>
        </c:scaling>
        <c:delete val="1"/>
        <c:axPos val="l"/>
        <c:tickLblPos val="none"/>
        <c:crossAx val="110623360"/>
        <c:crossesAt val="0"/>
        <c:auto val="1"/>
        <c:lblAlgn val="ctr"/>
        <c:lblOffset val="100"/>
      </c:catAx>
      <c:valAx>
        <c:axId val="1106233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06218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4120192"/>
        <c:axId val="114121728"/>
      </c:barChart>
      <c:catAx>
        <c:axId val="114120192"/>
        <c:scaling>
          <c:orientation val="minMax"/>
        </c:scaling>
        <c:delete val="1"/>
        <c:axPos val="l"/>
        <c:tickLblPos val="none"/>
        <c:crossAx val="114121728"/>
        <c:crossesAt val="0"/>
        <c:auto val="1"/>
        <c:lblAlgn val="ctr"/>
        <c:lblOffset val="100"/>
      </c:catAx>
      <c:valAx>
        <c:axId val="1141217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12019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4157440"/>
        <c:axId val="114158976"/>
      </c:barChart>
      <c:catAx>
        <c:axId val="114157440"/>
        <c:scaling>
          <c:orientation val="minMax"/>
        </c:scaling>
        <c:delete val="1"/>
        <c:axPos val="l"/>
        <c:tickLblPos val="none"/>
        <c:crossAx val="114158976"/>
        <c:crossesAt val="0"/>
        <c:auto val="1"/>
        <c:lblAlgn val="ctr"/>
        <c:lblOffset val="100"/>
      </c:catAx>
      <c:valAx>
        <c:axId val="11415897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15744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4178304"/>
        <c:axId val="114188288"/>
      </c:barChart>
      <c:catAx>
        <c:axId val="114178304"/>
        <c:scaling>
          <c:orientation val="minMax"/>
        </c:scaling>
        <c:delete val="1"/>
        <c:axPos val="l"/>
        <c:tickLblPos val="none"/>
        <c:crossAx val="114188288"/>
        <c:crossesAt val="0"/>
        <c:auto val="1"/>
        <c:lblAlgn val="ctr"/>
        <c:lblOffset val="100"/>
      </c:catAx>
      <c:valAx>
        <c:axId val="11418828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1783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227456"/>
        <c:axId val="114294784"/>
      </c:barChart>
      <c:catAx>
        <c:axId val="114227456"/>
        <c:scaling>
          <c:orientation val="minMax"/>
        </c:scaling>
        <c:delete val="1"/>
        <c:axPos val="l"/>
        <c:tickLblPos val="none"/>
        <c:crossAx val="114294784"/>
        <c:crossesAt val="0"/>
        <c:auto val="1"/>
        <c:lblAlgn val="ctr"/>
        <c:lblOffset val="100"/>
      </c:catAx>
      <c:valAx>
        <c:axId val="11429478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2274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305664"/>
        <c:axId val="114344320"/>
      </c:barChart>
      <c:catAx>
        <c:axId val="114305664"/>
        <c:scaling>
          <c:orientation val="minMax"/>
        </c:scaling>
        <c:delete val="1"/>
        <c:axPos val="l"/>
        <c:tickLblPos val="none"/>
        <c:crossAx val="114344320"/>
        <c:crossesAt val="0"/>
        <c:auto val="1"/>
        <c:lblAlgn val="ctr"/>
        <c:lblOffset val="100"/>
      </c:catAx>
      <c:valAx>
        <c:axId val="1143443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30566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359296"/>
        <c:axId val="114361088"/>
      </c:barChart>
      <c:catAx>
        <c:axId val="114359296"/>
        <c:scaling>
          <c:orientation val="minMax"/>
        </c:scaling>
        <c:delete val="1"/>
        <c:axPos val="l"/>
        <c:tickLblPos val="none"/>
        <c:crossAx val="114361088"/>
        <c:crossesAt val="0"/>
        <c:auto val="1"/>
        <c:lblAlgn val="ctr"/>
        <c:lblOffset val="100"/>
      </c:catAx>
      <c:valAx>
        <c:axId val="11436108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35929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6.7524115755627015E-2"/>
          <c:y val="8.4337597472695897E-2"/>
          <c:w val="0.91639871382636651"/>
          <c:h val="0.72891780672830064"/>
        </c:manualLayout>
      </c:layout>
      <c:barChart>
        <c:barDir val="col"/>
        <c:grouping val="clustered"/>
        <c:ser>
          <c:idx val="0"/>
          <c:order val="0"/>
          <c:spPr>
            <a:solidFill>
              <a:srgbClr val="FFFF99"/>
            </a:solidFill>
            <a:ln w="12700">
              <a:solidFill>
                <a:srgbClr val="000000"/>
              </a:solidFill>
              <a:prstDash val="solid"/>
            </a:ln>
          </c:spPr>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Val val="1"/>
            <c:extLst>
              <c:ext xmlns:c15="http://schemas.microsoft.com/office/drawing/2012/chart" uri="{CE6537A1-D6FC-4f65-9D91-7224C49458BB}">
                <c15:showLeaderLines val="0"/>
              </c:ext>
            </c:extLst>
          </c:dLbls>
          <c:cat>
            <c:strRef>
              <c:f>'結果(改修後)'!$U$48:$U$50</c:f>
              <c:strCache>
                <c:ptCount val="3"/>
                <c:pt idx="0">
                  <c:v>機能性</c:v>
                </c:pt>
                <c:pt idx="1">
                  <c:v>耐用性・信頼性</c:v>
                </c:pt>
                <c:pt idx="2">
                  <c:v>対応性･更新性</c:v>
                </c:pt>
              </c:strCache>
            </c:strRef>
          </c:cat>
          <c:val>
            <c:numRef>
              <c:f>'結果(改修後)'!$V$48:$V$50</c:f>
              <c:numCache>
                <c:formatCode>0.0_ </c:formatCode>
                <c:ptCount val="3"/>
                <c:pt idx="0">
                  <c:v>0</c:v>
                </c:pt>
                <c:pt idx="1">
                  <c:v>0</c:v>
                </c:pt>
                <c:pt idx="2">
                  <c:v>0</c:v>
                </c:pt>
              </c:numCache>
            </c:numRef>
          </c:val>
        </c:ser>
        <c:dLbls>
          <c:showVal val="1"/>
        </c:dLbls>
        <c:gapWidth val="70"/>
        <c:axId val="84510208"/>
        <c:axId val="84511744"/>
      </c:barChart>
      <c:catAx>
        <c:axId val="84510208"/>
        <c:scaling>
          <c:orientation val="minMax"/>
        </c:scaling>
        <c:axPos val="b"/>
        <c:numFmt formatCode="General" sourceLinked="1"/>
        <c:majorTickMark val="none"/>
        <c:tickLblPos val="none"/>
        <c:spPr>
          <a:ln w="3175">
            <a:solidFill>
              <a:srgbClr val="000000"/>
            </a:solidFill>
            <a:prstDash val="solid"/>
          </a:ln>
        </c:spPr>
        <c:crossAx val="84511744"/>
        <c:crossesAt val="0"/>
        <c:auto val="1"/>
        <c:lblAlgn val="ctr"/>
        <c:lblOffset val="100"/>
        <c:tickMarkSkip val="1"/>
      </c:catAx>
      <c:valAx>
        <c:axId val="84511744"/>
        <c:scaling>
          <c:orientation val="minMax"/>
          <c:max val="5"/>
          <c:min val="1"/>
        </c:scaling>
        <c:axPos val="l"/>
        <c:majorGridlines>
          <c:spPr>
            <a:ln w="3175">
              <a:solidFill>
                <a:srgbClr val="FF0000"/>
              </a:solidFill>
              <a:prstDash val="solid"/>
            </a:ln>
          </c:spPr>
        </c:majorGridlines>
        <c:minorGridlines>
          <c:spPr>
            <a:ln>
              <a:solidFill>
                <a:srgbClr val="000000"/>
              </a:solidFill>
            </a:ln>
          </c:spPr>
        </c:minorGridlines>
        <c:numFmt formatCode="General" sourceLinked="0"/>
        <c:majorTickMark val="in"/>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510208"/>
        <c:crosses val="autoZero"/>
        <c:crossBetween val="between"/>
        <c:majorUnit val="2"/>
        <c:minorUnit val="1"/>
      </c:valAx>
      <c:spPr>
        <a:noFill/>
        <a:ln w="3175">
          <a:solidFill>
            <a:srgbClr val="000000"/>
          </a:solidFill>
          <a:prstDash val="solid"/>
        </a:ln>
      </c:spPr>
    </c:plotArea>
    <c:dispBlanksAs val="gap"/>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367872"/>
        <c:axId val="114394240"/>
      </c:barChart>
      <c:catAx>
        <c:axId val="114367872"/>
        <c:scaling>
          <c:orientation val="minMax"/>
        </c:scaling>
        <c:delete val="1"/>
        <c:axPos val="l"/>
        <c:tickLblPos val="none"/>
        <c:crossAx val="114394240"/>
        <c:crossesAt val="0"/>
        <c:auto val="1"/>
        <c:lblAlgn val="ctr"/>
        <c:lblOffset val="100"/>
      </c:catAx>
      <c:valAx>
        <c:axId val="1143942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3678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425856"/>
        <c:axId val="114427392"/>
      </c:barChart>
      <c:catAx>
        <c:axId val="114425856"/>
        <c:scaling>
          <c:orientation val="minMax"/>
        </c:scaling>
        <c:delete val="1"/>
        <c:axPos val="l"/>
        <c:tickLblPos val="none"/>
        <c:crossAx val="114427392"/>
        <c:crossesAt val="0"/>
        <c:auto val="1"/>
        <c:lblAlgn val="ctr"/>
        <c:lblOffset val="100"/>
      </c:catAx>
      <c:valAx>
        <c:axId val="1144273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4258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4463104"/>
        <c:axId val="114464640"/>
      </c:barChart>
      <c:catAx>
        <c:axId val="114463104"/>
        <c:scaling>
          <c:orientation val="minMax"/>
        </c:scaling>
        <c:delete val="1"/>
        <c:axPos val="l"/>
        <c:tickLblPos val="none"/>
        <c:crossAx val="114464640"/>
        <c:crossesAt val="0"/>
        <c:auto val="1"/>
        <c:lblAlgn val="ctr"/>
        <c:lblOffset val="100"/>
      </c:catAx>
      <c:valAx>
        <c:axId val="1144646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4631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4479872"/>
        <c:axId val="114481408"/>
      </c:barChart>
      <c:catAx>
        <c:axId val="114479872"/>
        <c:scaling>
          <c:orientation val="minMax"/>
        </c:scaling>
        <c:delete val="1"/>
        <c:axPos val="l"/>
        <c:tickLblPos val="none"/>
        <c:crossAx val="114481408"/>
        <c:crossesAt val="0"/>
        <c:auto val="1"/>
        <c:lblAlgn val="ctr"/>
        <c:lblOffset val="100"/>
      </c:catAx>
      <c:valAx>
        <c:axId val="11448140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47987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4521216"/>
        <c:axId val="114522752"/>
      </c:barChart>
      <c:catAx>
        <c:axId val="114521216"/>
        <c:scaling>
          <c:orientation val="minMax"/>
        </c:scaling>
        <c:delete val="1"/>
        <c:axPos val="l"/>
        <c:tickLblPos val="none"/>
        <c:crossAx val="114522752"/>
        <c:crossesAt val="0"/>
        <c:auto val="1"/>
        <c:lblAlgn val="ctr"/>
        <c:lblOffset val="100"/>
      </c:catAx>
      <c:valAx>
        <c:axId val="11452275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52121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4546176"/>
        <c:axId val="114547712"/>
      </c:barChart>
      <c:catAx>
        <c:axId val="114546176"/>
        <c:scaling>
          <c:orientation val="minMax"/>
        </c:scaling>
        <c:delete val="1"/>
        <c:axPos val="l"/>
        <c:tickLblPos val="none"/>
        <c:crossAx val="114547712"/>
        <c:crossesAt val="0"/>
        <c:auto val="1"/>
        <c:lblAlgn val="ctr"/>
        <c:lblOffset val="100"/>
      </c:catAx>
      <c:valAx>
        <c:axId val="1145477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5461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4571136"/>
        <c:axId val="114572672"/>
      </c:barChart>
      <c:catAx>
        <c:axId val="114571136"/>
        <c:scaling>
          <c:orientation val="minMax"/>
        </c:scaling>
        <c:delete val="1"/>
        <c:axPos val="l"/>
        <c:tickLblPos val="none"/>
        <c:crossAx val="114572672"/>
        <c:crossesAt val="0"/>
        <c:auto val="1"/>
        <c:lblAlgn val="ctr"/>
        <c:lblOffset val="100"/>
      </c:catAx>
      <c:valAx>
        <c:axId val="1145726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5711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604288"/>
        <c:axId val="114610176"/>
      </c:barChart>
      <c:catAx>
        <c:axId val="114604288"/>
        <c:scaling>
          <c:orientation val="minMax"/>
        </c:scaling>
        <c:delete val="1"/>
        <c:axPos val="l"/>
        <c:tickLblPos val="none"/>
        <c:crossAx val="114610176"/>
        <c:crossesAt val="0"/>
        <c:auto val="1"/>
        <c:lblAlgn val="ctr"/>
        <c:lblOffset val="100"/>
      </c:catAx>
      <c:valAx>
        <c:axId val="11461017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60428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641536"/>
        <c:axId val="114647424"/>
      </c:barChart>
      <c:catAx>
        <c:axId val="114641536"/>
        <c:scaling>
          <c:orientation val="minMax"/>
        </c:scaling>
        <c:delete val="1"/>
        <c:axPos val="l"/>
        <c:tickLblPos val="none"/>
        <c:crossAx val="114647424"/>
        <c:crossesAt val="0"/>
        <c:auto val="1"/>
        <c:lblAlgn val="ctr"/>
        <c:lblOffset val="100"/>
      </c:catAx>
      <c:valAx>
        <c:axId val="11464742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6415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662400"/>
        <c:axId val="114664192"/>
      </c:barChart>
      <c:catAx>
        <c:axId val="114662400"/>
        <c:scaling>
          <c:orientation val="minMax"/>
        </c:scaling>
        <c:delete val="1"/>
        <c:axPos val="l"/>
        <c:tickLblPos val="none"/>
        <c:crossAx val="114664192"/>
        <c:crossesAt val="0"/>
        <c:auto val="1"/>
        <c:lblAlgn val="ctr"/>
        <c:lblOffset val="100"/>
      </c:catAx>
      <c:valAx>
        <c:axId val="1146641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66240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0.19795221843003424"/>
          <c:y val="9.8425196850393748E-2"/>
          <c:w val="0.69965870307167288"/>
          <c:h val="0.70078740157480379"/>
        </c:manualLayout>
      </c:layout>
      <c:areaChart>
        <c:grouping val="standard"/>
        <c:ser>
          <c:idx val="4"/>
          <c:order val="2"/>
          <c:tx>
            <c:strRef>
              <c:f>'結果(改修後)'!$S$29</c:f>
              <c:strCache>
                <c:ptCount val="1"/>
                <c:pt idx="0">
                  <c:v>S</c:v>
                </c:pt>
              </c:strCache>
            </c:strRef>
          </c:tx>
          <c:spPr>
            <a:pattFill prst="pct70">
              <a:fgClr>
                <a:srgbClr val="339966"/>
              </a:fgClr>
              <a:bgClr>
                <a:srgbClr val="FFFFFF"/>
              </a:bgClr>
            </a:pattFill>
            <a:ln w="12700">
              <a:solidFill>
                <a:srgbClr val="000000"/>
              </a:solidFill>
              <a:prstDash val="solid"/>
            </a:ln>
          </c:spPr>
          <c:cat>
            <c:numRef>
              <c:f>'結果(改修後)'!$T$23:$U$23</c:f>
              <c:numCache>
                <c:formatCode>#,##0;[Red]\-#,##0</c:formatCode>
                <c:ptCount val="2"/>
                <c:pt idx="0">
                  <c:v>0</c:v>
                </c:pt>
                <c:pt idx="1">
                  <c:v>0</c:v>
                </c:pt>
              </c:numCache>
            </c:numRef>
          </c:cat>
          <c:val>
            <c:numRef>
              <c:f>'結果(改修後)'!$T$29:$Z$29</c:f>
              <c:numCache>
                <c:formatCode>General</c:formatCode>
                <c:ptCount val="7"/>
                <c:pt idx="0">
                  <c:v>100</c:v>
                </c:pt>
                <c:pt idx="1">
                  <c:v>100</c:v>
                </c:pt>
                <c:pt idx="2">
                  <c:v>100</c:v>
                </c:pt>
                <c:pt idx="3">
                  <c:v>100</c:v>
                </c:pt>
                <c:pt idx="4">
                  <c:v>100</c:v>
                </c:pt>
                <c:pt idx="5">
                  <c:v>100</c:v>
                </c:pt>
                <c:pt idx="6">
                  <c:v>100</c:v>
                </c:pt>
              </c:numCache>
            </c:numRef>
          </c:val>
        </c:ser>
        <c:ser>
          <c:idx val="3"/>
          <c:order val="3"/>
          <c:tx>
            <c:strRef>
              <c:f>'結果(改修後)'!$S$30</c:f>
              <c:strCache>
                <c:ptCount val="1"/>
                <c:pt idx="0">
                  <c:v>A</c:v>
                </c:pt>
              </c:strCache>
            </c:strRef>
          </c:tx>
          <c:spPr>
            <a:pattFill prst="pct90">
              <a:fgClr>
                <a:srgbClr val="CCFFCC"/>
              </a:fgClr>
              <a:bgClr>
                <a:srgbClr val="FFFFFF"/>
              </a:bgClr>
            </a:pattFill>
            <a:ln w="12700">
              <a:solidFill>
                <a:srgbClr val="000000"/>
              </a:solidFill>
              <a:prstDash val="solid"/>
            </a:ln>
          </c:spPr>
          <c:cat>
            <c:numRef>
              <c:f>'結果(改修後)'!$T$23:$U$23</c:f>
              <c:numCache>
                <c:formatCode>#,##0;[Red]\-#,##0</c:formatCode>
                <c:ptCount val="2"/>
                <c:pt idx="0">
                  <c:v>0</c:v>
                </c:pt>
                <c:pt idx="1">
                  <c:v>0</c:v>
                </c:pt>
              </c:numCache>
            </c:numRef>
          </c:cat>
          <c:val>
            <c:numRef>
              <c:f>'結果(改修後)'!$T$30:$Z$30</c:f>
              <c:numCache>
                <c:formatCode>General</c:formatCode>
                <c:ptCount val="7"/>
                <c:pt idx="0">
                  <c:v>50</c:v>
                </c:pt>
                <c:pt idx="1">
                  <c:v>50</c:v>
                </c:pt>
                <c:pt idx="2">
                  <c:v>100</c:v>
                </c:pt>
                <c:pt idx="3">
                  <c:v>100</c:v>
                </c:pt>
                <c:pt idx="4">
                  <c:v>100</c:v>
                </c:pt>
                <c:pt idx="5">
                  <c:v>100</c:v>
                </c:pt>
                <c:pt idx="6">
                  <c:v>100</c:v>
                </c:pt>
              </c:numCache>
            </c:numRef>
          </c:val>
        </c:ser>
        <c:ser>
          <c:idx val="2"/>
          <c:order val="4"/>
          <c:tx>
            <c:strRef>
              <c:f>'結果(改修後)'!$S$31</c:f>
              <c:strCache>
                <c:ptCount val="1"/>
                <c:pt idx="0">
                  <c:v>B+</c:v>
                </c:pt>
              </c:strCache>
            </c:strRef>
          </c:tx>
          <c:spPr>
            <a:solidFill>
              <a:srgbClr val="FFFFCC"/>
            </a:solidFill>
            <a:ln w="12700">
              <a:solidFill>
                <a:srgbClr val="000000"/>
              </a:solidFill>
              <a:prstDash val="solid"/>
            </a:ln>
          </c:spPr>
          <c:cat>
            <c:numRef>
              <c:f>'結果(改修後)'!$T$23:$U$23</c:f>
              <c:numCache>
                <c:formatCode>#,##0;[Red]\-#,##0</c:formatCode>
                <c:ptCount val="2"/>
                <c:pt idx="0">
                  <c:v>0</c:v>
                </c:pt>
                <c:pt idx="1">
                  <c:v>0</c:v>
                </c:pt>
              </c:numCache>
            </c:numRef>
          </c:cat>
          <c:val>
            <c:numRef>
              <c:f>'結果(改修後)'!$T$31:$Z$31</c:f>
              <c:numCache>
                <c:formatCode>General</c:formatCode>
                <c:ptCount val="7"/>
                <c:pt idx="0">
                  <c:v>0</c:v>
                </c:pt>
                <c:pt idx="1">
                  <c:v>25</c:v>
                </c:pt>
                <c:pt idx="2">
                  <c:v>50</c:v>
                </c:pt>
                <c:pt idx="3">
                  <c:v>75</c:v>
                </c:pt>
                <c:pt idx="4">
                  <c:v>100</c:v>
                </c:pt>
                <c:pt idx="5">
                  <c:v>100</c:v>
                </c:pt>
                <c:pt idx="6">
                  <c:v>100</c:v>
                </c:pt>
              </c:numCache>
            </c:numRef>
          </c:val>
        </c:ser>
        <c:ser>
          <c:idx val="1"/>
          <c:order val="5"/>
          <c:tx>
            <c:strRef>
              <c:f>'結果(改修後)'!$S$33</c:f>
              <c:strCache>
                <c:ptCount val="1"/>
                <c:pt idx="0">
                  <c:v>B-</c:v>
                </c:pt>
              </c:strCache>
            </c:strRef>
          </c:tx>
          <c:spPr>
            <a:solidFill>
              <a:srgbClr val="FFFFFF"/>
            </a:solidFill>
            <a:ln w="12700">
              <a:solidFill>
                <a:srgbClr val="000000"/>
              </a:solidFill>
              <a:prstDash val="solid"/>
            </a:ln>
          </c:spPr>
          <c:cat>
            <c:numRef>
              <c:f>'結果(改修後)'!$T$23:$U$23</c:f>
              <c:numCache>
                <c:formatCode>#,##0;[Red]\-#,##0</c:formatCode>
                <c:ptCount val="2"/>
                <c:pt idx="0">
                  <c:v>0</c:v>
                </c:pt>
                <c:pt idx="1">
                  <c:v>0</c:v>
                </c:pt>
              </c:numCache>
            </c:numRef>
          </c:cat>
          <c:val>
            <c:numRef>
              <c:f>'結果(改修後)'!$T$33:$Z$33</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6"/>
          <c:tx>
            <c:strRef>
              <c:f>'結果(改修後)'!$S$32</c:f>
              <c:strCache>
                <c:ptCount val="1"/>
                <c:pt idx="0">
                  <c:v>B</c:v>
                </c:pt>
              </c:strCache>
            </c:strRef>
          </c:tx>
          <c:spPr>
            <a:noFill/>
            <a:ln w="12700">
              <a:solidFill>
                <a:srgbClr val="000000"/>
              </a:solidFill>
              <a:prstDash val="solid"/>
            </a:ln>
          </c:spPr>
          <c:cat>
            <c:numRef>
              <c:f>'結果(改修後)'!$T$23:$U$23</c:f>
              <c:numCache>
                <c:formatCode>#,##0;[Red]\-#,##0</c:formatCode>
                <c:ptCount val="2"/>
                <c:pt idx="0">
                  <c:v>0</c:v>
                </c:pt>
                <c:pt idx="1">
                  <c:v>0</c:v>
                </c:pt>
              </c:numCache>
            </c:numRef>
          </c:cat>
          <c:val>
            <c:numRef>
              <c:f>'結果(改修後)'!$T$32:$Z$32</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axId val="84587648"/>
        <c:axId val="84589184"/>
      </c:areaChart>
      <c:scatterChart>
        <c:scatterStyle val="lineMarker"/>
        <c:ser>
          <c:idx val="7"/>
          <c:order val="0"/>
          <c:spPr>
            <a:ln w="25400">
              <a:solidFill>
                <a:srgbClr val="008000"/>
              </a:solidFill>
              <a:prstDash val="sysDash"/>
            </a:ln>
          </c:spPr>
          <c:marker>
            <c:symbol val="none"/>
          </c:marker>
          <c:dPt>
            <c:idx val="1"/>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CatName val="1"/>
              <c:extLst>
                <c:ext xmlns:c15="http://schemas.microsoft.com/office/drawing/2012/chart" uri="{CE6537A1-D6FC-4f65-9D91-7224C49458BB}"/>
              </c:extLst>
            </c:dLbl>
            <c:dLbl>
              <c:idx val="3"/>
              <c:layout>
                <c:manualLayout>
                  <c:x val="-5.2504187829763528E-3"/>
                  <c:y val="-3.963254593175855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Val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xVal>
            <c:numRef>
              <c:f>'結果(改修後)'!$R$25:$U$25</c:f>
              <c:numCache>
                <c:formatCode>#,##0;[Red]\-#,##0</c:formatCode>
                <c:ptCount val="4"/>
                <c:pt idx="0" formatCode="General">
                  <c:v>0</c:v>
                </c:pt>
                <c:pt idx="1">
                  <c:v>0</c:v>
                </c:pt>
                <c:pt idx="2">
                  <c:v>0</c:v>
                </c:pt>
                <c:pt idx="3">
                  <c:v>0.1</c:v>
                </c:pt>
              </c:numCache>
            </c:numRef>
          </c:xVal>
          <c:yVal>
            <c:numRef>
              <c:f>'結果(改修後)'!$R$26:$U$26</c:f>
              <c:numCache>
                <c:formatCode>#,##0;[Red]\-#,##0</c:formatCode>
                <c:ptCount val="4"/>
                <c:pt idx="0" formatCode="General">
                  <c:v>0</c:v>
                </c:pt>
                <c:pt idx="1">
                  <c:v>0</c:v>
                </c:pt>
                <c:pt idx="2">
                  <c:v>0</c:v>
                </c:pt>
                <c:pt idx="3">
                  <c:v>0</c:v>
                </c:pt>
              </c:numCache>
            </c:numRef>
          </c:yVal>
        </c:ser>
        <c:ser>
          <c:idx val="5"/>
          <c:order val="1"/>
          <c:tx>
            <c:strRef>
              <c:f>'結果(改修後)'!$S$13</c:f>
              <c:strCache>
                <c:ptCount val="1"/>
                <c:pt idx="0">
                  <c:v>#DIV/0!</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dPt>
          <c:dPt>
            <c:idx val="1"/>
            <c:marker>
              <c:symbol val="triangle"/>
              <c:size val="20"/>
              <c:spPr>
                <a:solidFill>
                  <a:srgbClr val="339966"/>
                </a:solidFill>
                <a:ln>
                  <a:solidFill>
                    <a:srgbClr val="000000"/>
                  </a:solidFill>
                  <a:prstDash val="solid"/>
                </a:ln>
              </c:spPr>
            </c:marker>
            <c:spPr>
              <a:ln w="19050">
                <a:noFill/>
              </a:ln>
            </c:spPr>
          </c:dPt>
          <c:dPt>
            <c:idx val="2"/>
            <c:spPr>
              <a:ln w="38100">
                <a:solidFill>
                  <a:srgbClr val="008000"/>
                </a:solidFill>
                <a:prstDash val="solid"/>
              </a:ln>
            </c:spPr>
          </c:dPt>
          <c:dLbls>
            <c:dLbl>
              <c:idx val="1"/>
              <c:layout>
                <c:manualLayout>
                  <c:x val="-1.60375516200407E-2"/>
                  <c:y val="-5.0183727034120822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SerName val="1"/>
              <c:extLst>
                <c:ext xmlns:c15="http://schemas.microsoft.com/office/drawing/2012/chart" uri="{CE6537A1-D6FC-4f65-9D91-7224C49458BB}"/>
              </c:extLst>
            </c:dLbl>
            <c:delete val="1"/>
            <c:spPr>
              <a:noFill/>
              <a:ln>
                <a:noFill/>
              </a:ln>
              <a:effectLst/>
            </c:spPr>
            <c:extLst>
              <c:ext xmlns:c15="http://schemas.microsoft.com/office/drawing/2012/chart" uri="{CE6537A1-D6FC-4f65-9D91-7224C49458BB}">
                <c15:showLeaderLines val="0"/>
              </c:ext>
            </c:extLst>
          </c:dLbls>
          <c:xVal>
            <c:numRef>
              <c:f>'結果(改修後)'!$S$23:$U$23</c:f>
              <c:numCache>
                <c:formatCode>#,##0;[Red]\-#,##0</c:formatCode>
                <c:ptCount val="3"/>
                <c:pt idx="1">
                  <c:v>0</c:v>
                </c:pt>
                <c:pt idx="2">
                  <c:v>0</c:v>
                </c:pt>
              </c:numCache>
            </c:numRef>
          </c:xVal>
          <c:yVal>
            <c:numRef>
              <c:f>'結果(改修後)'!$S$24:$U$24</c:f>
              <c:numCache>
                <c:formatCode>#,##0;[Red]\-#,##0</c:formatCode>
                <c:ptCount val="3"/>
                <c:pt idx="1">
                  <c:v>0</c:v>
                </c:pt>
                <c:pt idx="2">
                  <c:v>0</c:v>
                </c:pt>
              </c:numCache>
            </c:numRef>
          </c:yVal>
        </c:ser>
        <c:ser>
          <c:idx val="8"/>
          <c:order val="7"/>
          <c:spPr>
            <a:ln w="19050">
              <a:noFill/>
            </a:ln>
          </c:spPr>
          <c:marker>
            <c:symbol val="none"/>
          </c:marker>
          <c:dPt>
            <c:idx val="1"/>
            <c:marker>
              <c:symbol val="circle"/>
              <c:size val="6"/>
              <c:spPr>
                <a:solidFill>
                  <a:srgbClr val="008000"/>
                </a:solidFill>
                <a:ln>
                  <a:solidFill>
                    <a:srgbClr val="000000"/>
                  </a:solidFill>
                  <a:prstDash val="solid"/>
                </a:ln>
              </c:spPr>
            </c:marker>
          </c:dPt>
          <c:dPt>
            <c:idx val="3"/>
            <c:marker>
              <c:symbol val="circle"/>
              <c:size val="6"/>
              <c:spPr>
                <a:solidFill>
                  <a:srgbClr val="008000"/>
                </a:solidFill>
                <a:ln>
                  <a:solidFill>
                    <a:srgbClr val="000000"/>
                  </a:solidFill>
                  <a:prstDash val="solid"/>
                </a:ln>
              </c:spPr>
            </c:marker>
          </c:dPt>
          <c:xVal>
            <c:numRef>
              <c:f>'結果(改修後)'!$R$25:$U$25</c:f>
              <c:numCache>
                <c:formatCode>#,##0;[Red]\-#,##0</c:formatCode>
                <c:ptCount val="4"/>
                <c:pt idx="0" formatCode="General">
                  <c:v>0</c:v>
                </c:pt>
                <c:pt idx="1">
                  <c:v>0</c:v>
                </c:pt>
                <c:pt idx="2">
                  <c:v>0</c:v>
                </c:pt>
                <c:pt idx="3">
                  <c:v>0.1</c:v>
                </c:pt>
              </c:numCache>
            </c:numRef>
          </c:xVal>
          <c:yVal>
            <c:numRef>
              <c:f>'結果(改修後)'!$R$26:$U$26</c:f>
              <c:numCache>
                <c:formatCode>#,##0;[Red]\-#,##0</c:formatCode>
                <c:ptCount val="4"/>
                <c:pt idx="0" formatCode="General">
                  <c:v>0</c:v>
                </c:pt>
                <c:pt idx="1">
                  <c:v>0</c:v>
                </c:pt>
                <c:pt idx="2">
                  <c:v>0</c:v>
                </c:pt>
                <c:pt idx="3">
                  <c:v>0</c:v>
                </c:pt>
              </c:numCache>
            </c:numRef>
          </c:yVal>
        </c:ser>
        <c:axId val="84595072"/>
        <c:axId val="84596608"/>
      </c:scatterChart>
      <c:catAx>
        <c:axId val="84587648"/>
        <c:scaling>
          <c:orientation val="minMax"/>
        </c:scaling>
        <c:axPos val="b"/>
        <c:numFmt formatCode="#,##0;[Red]\-#,##0" sourceLinked="1"/>
        <c:majorTickMark val="none"/>
        <c:tickLblPos val="none"/>
        <c:spPr>
          <a:ln w="3175">
            <a:solidFill>
              <a:srgbClr val="000000"/>
            </a:solidFill>
            <a:prstDash val="solid"/>
          </a:ln>
        </c:spPr>
        <c:crossAx val="84589184"/>
        <c:crosses val="autoZero"/>
        <c:lblAlgn val="ctr"/>
        <c:lblOffset val="100"/>
        <c:tickLblSkip val="50"/>
        <c:tickMarkSkip val="50"/>
      </c:catAx>
      <c:valAx>
        <c:axId val="84589184"/>
        <c:scaling>
          <c:orientation val="minMax"/>
          <c:max val="100"/>
          <c:min val="0"/>
        </c:scaling>
        <c:axPos val="l"/>
        <c:numFmt formatCode="General" sourceLinked="1"/>
        <c:maj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4587648"/>
        <c:crosses val="autoZero"/>
        <c:crossBetween val="midCat"/>
        <c:majorUnit val="50"/>
      </c:valAx>
      <c:valAx>
        <c:axId val="84595072"/>
        <c:scaling>
          <c:orientation val="minMax"/>
          <c:max val="100"/>
          <c:min val="0"/>
        </c:scaling>
        <c:axPos val="t"/>
        <c:numFmt formatCode="General" sourceLinked="1"/>
        <c:maj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84596608"/>
        <c:crosses val="max"/>
        <c:crossBetween val="midCat"/>
        <c:majorUnit val="50"/>
      </c:valAx>
      <c:valAx>
        <c:axId val="84596608"/>
        <c:scaling>
          <c:orientation val="minMax"/>
          <c:max val="100"/>
        </c:scaling>
        <c:axPos val="r"/>
        <c:numFmt formatCode="General" sourceLinked="1"/>
        <c:majorTickMark val="in"/>
        <c:tickLblPos val="none"/>
        <c:spPr>
          <a:ln w="3175">
            <a:solidFill>
              <a:srgbClr val="000000"/>
            </a:solidFill>
            <a:prstDash val="solid"/>
          </a:ln>
        </c:spPr>
        <c:crossAx val="84595072"/>
        <c:crosses val="max"/>
        <c:crossBetween val="midCat"/>
        <c:majorUnit val="50"/>
      </c:valAx>
      <c:spPr>
        <a:solidFill>
          <a:srgbClr val="C0C0C0"/>
        </a:solidFill>
        <a:ln w="12700">
          <a:solidFill>
            <a:srgbClr val="808080"/>
          </a:solidFill>
          <a:prstDash val="solid"/>
        </a:ln>
      </c:spPr>
    </c:plotArea>
    <c:dispBlanksAs val="gap"/>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paperSize="9" orientation="landscape"/>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691456"/>
        <c:axId val="114705536"/>
      </c:barChart>
      <c:catAx>
        <c:axId val="114691456"/>
        <c:scaling>
          <c:orientation val="minMax"/>
        </c:scaling>
        <c:delete val="1"/>
        <c:axPos val="l"/>
        <c:tickLblPos val="none"/>
        <c:crossAx val="114705536"/>
        <c:crossesAt val="0"/>
        <c:auto val="1"/>
        <c:lblAlgn val="ctr"/>
        <c:lblOffset val="100"/>
      </c:catAx>
      <c:valAx>
        <c:axId val="1147055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69145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728960"/>
        <c:axId val="114730496"/>
      </c:barChart>
      <c:catAx>
        <c:axId val="114728960"/>
        <c:scaling>
          <c:orientation val="minMax"/>
        </c:scaling>
        <c:delete val="1"/>
        <c:axPos val="l"/>
        <c:tickLblPos val="none"/>
        <c:crossAx val="114730496"/>
        <c:crossesAt val="0"/>
        <c:auto val="1"/>
        <c:lblAlgn val="ctr"/>
        <c:lblOffset val="100"/>
      </c:catAx>
      <c:valAx>
        <c:axId val="11473049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72896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770304"/>
        <c:axId val="114771840"/>
      </c:barChart>
      <c:catAx>
        <c:axId val="114770304"/>
        <c:scaling>
          <c:orientation val="minMax"/>
        </c:scaling>
        <c:delete val="1"/>
        <c:axPos val="l"/>
        <c:tickLblPos val="none"/>
        <c:crossAx val="114771840"/>
        <c:crossesAt val="0"/>
        <c:auto val="1"/>
        <c:lblAlgn val="ctr"/>
        <c:lblOffset val="100"/>
      </c:catAx>
      <c:valAx>
        <c:axId val="11477184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7703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791168"/>
        <c:axId val="114792704"/>
      </c:barChart>
      <c:catAx>
        <c:axId val="114791168"/>
        <c:scaling>
          <c:orientation val="minMax"/>
        </c:scaling>
        <c:delete val="1"/>
        <c:axPos val="l"/>
        <c:tickLblPos val="none"/>
        <c:crossAx val="114792704"/>
        <c:crossesAt val="0"/>
        <c:auto val="1"/>
        <c:lblAlgn val="ctr"/>
        <c:lblOffset val="100"/>
      </c:catAx>
      <c:valAx>
        <c:axId val="11479270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7911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820224"/>
        <c:axId val="114821760"/>
      </c:barChart>
      <c:catAx>
        <c:axId val="114820224"/>
        <c:scaling>
          <c:orientation val="minMax"/>
        </c:scaling>
        <c:delete val="1"/>
        <c:axPos val="l"/>
        <c:tickLblPos val="none"/>
        <c:crossAx val="114821760"/>
        <c:crossesAt val="0"/>
        <c:auto val="1"/>
        <c:lblAlgn val="ctr"/>
        <c:lblOffset val="100"/>
      </c:catAx>
      <c:valAx>
        <c:axId val="11482176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82022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845184"/>
        <c:axId val="114846720"/>
      </c:barChart>
      <c:catAx>
        <c:axId val="114845184"/>
        <c:scaling>
          <c:orientation val="minMax"/>
        </c:scaling>
        <c:delete val="1"/>
        <c:axPos val="l"/>
        <c:tickLblPos val="none"/>
        <c:crossAx val="114846720"/>
        <c:crossesAt val="0"/>
        <c:auto val="1"/>
        <c:lblAlgn val="ctr"/>
        <c:lblOffset val="100"/>
      </c:catAx>
      <c:valAx>
        <c:axId val="1148467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84518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4886528"/>
        <c:axId val="114888064"/>
      </c:barChart>
      <c:catAx>
        <c:axId val="114886528"/>
        <c:scaling>
          <c:orientation val="minMax"/>
        </c:scaling>
        <c:delete val="1"/>
        <c:axPos val="l"/>
        <c:tickLblPos val="none"/>
        <c:crossAx val="114888064"/>
        <c:crossesAt val="0"/>
        <c:auto val="1"/>
        <c:lblAlgn val="ctr"/>
        <c:lblOffset val="100"/>
      </c:catAx>
      <c:valAx>
        <c:axId val="1148880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88652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410336667876948E-2"/>
          <c:w val="0.95641265127366559"/>
          <c:h val="0.88462646016701929"/>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独自ｼｽﾃﾑ_改修前!$Q$17</c:f>
              <c:numCache>
                <c:formatCode>General</c:formatCode>
                <c:ptCount val="1"/>
                <c:pt idx="0">
                  <c:v>0</c:v>
                </c:pt>
              </c:numCache>
            </c:numRef>
          </c:val>
        </c:ser>
        <c:gapWidth val="0"/>
        <c:axId val="114911488"/>
        <c:axId val="114929664"/>
      </c:barChart>
      <c:catAx>
        <c:axId val="114911488"/>
        <c:scaling>
          <c:orientation val="minMax"/>
        </c:scaling>
        <c:delete val="1"/>
        <c:axPos val="l"/>
        <c:tickLblPos val="none"/>
        <c:crossAx val="114929664"/>
        <c:crossesAt val="0"/>
        <c:auto val="1"/>
        <c:lblAlgn val="ctr"/>
        <c:lblOffset val="100"/>
      </c:catAx>
      <c:valAx>
        <c:axId val="11492966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911488"/>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6667534733525172E-2"/>
          <c:w val="0.95641265127366559"/>
          <c:h val="0.89334496542923736"/>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独自ｼｽﾃﾑ_改修前!$Q$20</c:f>
              <c:numCache>
                <c:formatCode>General</c:formatCode>
                <c:ptCount val="1"/>
                <c:pt idx="0">
                  <c:v>0</c:v>
                </c:pt>
              </c:numCache>
            </c:numRef>
          </c:val>
        </c:ser>
        <c:gapWidth val="0"/>
        <c:axId val="114952832"/>
        <c:axId val="114958720"/>
      </c:barChart>
      <c:catAx>
        <c:axId val="114952832"/>
        <c:scaling>
          <c:orientation val="minMax"/>
        </c:scaling>
        <c:delete val="1"/>
        <c:axPos val="l"/>
        <c:tickLblPos val="none"/>
        <c:crossAx val="114958720"/>
        <c:crossesAt val="0"/>
        <c:auto val="1"/>
        <c:lblAlgn val="ctr"/>
        <c:lblOffset val="100"/>
      </c:catAx>
      <c:valAx>
        <c:axId val="1149587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952832"/>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2.5641089846478986E-2"/>
          <c:y val="6.6667534733525172E-2"/>
          <c:w val="0.95641265127366559"/>
          <c:h val="0.89334496542923736"/>
        </c:manualLayout>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Ref>
              <c:f>独自ｼｽﾃﾑ_改修前!$Q$23</c:f>
              <c:numCache>
                <c:formatCode>General</c:formatCode>
                <c:ptCount val="1"/>
                <c:pt idx="0">
                  <c:v>0</c:v>
                </c:pt>
              </c:numCache>
            </c:numRef>
          </c:val>
        </c:ser>
        <c:gapWidth val="0"/>
        <c:axId val="114969600"/>
        <c:axId val="114991872"/>
      </c:barChart>
      <c:catAx>
        <c:axId val="114969600"/>
        <c:scaling>
          <c:orientation val="minMax"/>
        </c:scaling>
        <c:delete val="1"/>
        <c:axPos val="l"/>
        <c:tickLblPos val="none"/>
        <c:crossAx val="114991872"/>
        <c:crossesAt val="0"/>
        <c:auto val="1"/>
        <c:lblAlgn val="ctr"/>
        <c:lblOffset val="100"/>
      </c:catAx>
      <c:valAx>
        <c:axId val="11499187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4969600"/>
        <c:crosses val="autoZero"/>
        <c:crossBetween val="between"/>
        <c:majorUnit val="1"/>
        <c:minorUnit val="0.1"/>
      </c:valAx>
      <c:spPr>
        <a:noFill/>
        <a:ln w="25400">
          <a:noFill/>
        </a:ln>
      </c:spPr>
    </c:plotArea>
    <c:dispBlanksAs val="gap"/>
  </c:chart>
  <c:spPr>
    <a:noFill/>
    <a:ln w="9525">
      <a:noFill/>
    </a:ln>
  </c:spPr>
  <c:txPr>
    <a:bodyPr/>
    <a:lstStyle/>
    <a:p>
      <a:pPr>
        <a:defRPr sz="17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ja-JP"/>
  <c:chart>
    <c:plotArea>
      <c:layout>
        <c:manualLayout>
          <c:layoutTarget val="inner"/>
          <c:xMode val="edge"/>
          <c:yMode val="edge"/>
          <c:x val="1.9011406844106463E-2"/>
          <c:y val="8.3334463629335248E-2"/>
          <c:w val="0.93916349809885935"/>
          <c:h val="0.86112279083646426"/>
        </c:manualLayout>
      </c:layout>
      <c:barChart>
        <c:barDir val="bar"/>
        <c:grouping val="percentStack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20"/>
          </c:pictureOptions>
          <c:cat>
            <c:strRef>
              <c:f>'結果(改修後)'!$R$15</c:f>
              <c:strCache>
                <c:ptCount val="1"/>
                <c:pt idx="0">
                  <c:v>Rank(red star)</c:v>
                </c:pt>
              </c:strCache>
            </c:strRef>
          </c:cat>
          <c:val>
            <c:numRef>
              <c:f>'結果(改修後)'!$S$15</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cat>
            <c:strRef>
              <c:f>'結果(改修後)'!$R$15</c:f>
              <c:strCache>
                <c:ptCount val="1"/>
                <c:pt idx="0">
                  <c:v>Rank(red star)</c:v>
                </c:pt>
              </c:strCache>
            </c:strRef>
          </c:cat>
          <c:val>
            <c:numRef>
              <c:f>'結果(改修後)'!$S$16</c:f>
              <c:numCache>
                <c:formatCode>#,##0.0;[Red]\-#,##0.0</c:formatCode>
                <c:ptCount val="1"/>
                <c:pt idx="0">
                  <c:v>0</c:v>
                </c:pt>
              </c:numCache>
            </c:numRef>
          </c:val>
        </c:ser>
        <c:gapWidth val="50"/>
        <c:overlap val="100"/>
        <c:axId val="90069632"/>
        <c:axId val="90087808"/>
      </c:barChart>
      <c:catAx>
        <c:axId val="90069632"/>
        <c:scaling>
          <c:orientation val="minMax"/>
        </c:scaling>
        <c:delete val="1"/>
        <c:axPos val="l"/>
        <c:numFmt formatCode="General" sourceLinked="1"/>
        <c:tickLblPos val="none"/>
        <c:crossAx val="90087808"/>
        <c:crosses val="autoZero"/>
        <c:auto val="1"/>
        <c:lblAlgn val="ctr"/>
        <c:lblOffset val="100"/>
      </c:catAx>
      <c:valAx>
        <c:axId val="90087808"/>
        <c:scaling>
          <c:orientation val="minMax"/>
        </c:scaling>
        <c:delete val="1"/>
        <c:axPos val="b"/>
        <c:numFmt formatCode="0%" sourceLinked="1"/>
        <c:tickLblPos val="none"/>
        <c:crossAx val="90069632"/>
        <c:crosses val="autoZero"/>
        <c:crossBetween val="between"/>
      </c:valAx>
      <c:spPr>
        <a:noFill/>
        <a:ln w="25400">
          <a:noFill/>
        </a:ln>
      </c:spPr>
    </c:plotArea>
    <c:dispBlanksAs val="gap"/>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000000000000056" r="0.75000000000000056" t="1" header="0.51200000000000001" footer="0.51200000000000001"/>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3.5</c:v>
              </c:pt>
            </c:numLit>
          </c:val>
        </c:ser>
        <c:gapWidth val="0"/>
        <c:axId val="115699712"/>
        <c:axId val="115701248"/>
      </c:barChart>
      <c:catAx>
        <c:axId val="115699712"/>
        <c:scaling>
          <c:orientation val="minMax"/>
        </c:scaling>
        <c:delete val="1"/>
        <c:axPos val="l"/>
        <c:tickLblPos val="none"/>
        <c:crossAx val="115701248"/>
        <c:crossesAt val="0"/>
        <c:auto val="1"/>
        <c:lblAlgn val="ctr"/>
        <c:lblOffset val="100"/>
      </c:catAx>
      <c:valAx>
        <c:axId val="1157012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6997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1.5</c:v>
              </c:pt>
            </c:numLit>
          </c:val>
        </c:ser>
        <c:gapWidth val="0"/>
        <c:axId val="115716480"/>
        <c:axId val="115718016"/>
      </c:barChart>
      <c:catAx>
        <c:axId val="115716480"/>
        <c:scaling>
          <c:orientation val="minMax"/>
        </c:scaling>
        <c:delete val="1"/>
        <c:axPos val="l"/>
        <c:tickLblPos val="none"/>
        <c:crossAx val="115718016"/>
        <c:crossesAt val="0"/>
        <c:auto val="1"/>
        <c:lblAlgn val="ctr"/>
        <c:lblOffset val="100"/>
      </c:catAx>
      <c:valAx>
        <c:axId val="11571801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716480"/>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3</c:v>
              </c:pt>
            </c:numLit>
          </c:val>
        </c:ser>
        <c:gapWidth val="0"/>
        <c:axId val="115610368"/>
        <c:axId val="115611904"/>
      </c:barChart>
      <c:catAx>
        <c:axId val="115610368"/>
        <c:scaling>
          <c:orientation val="minMax"/>
        </c:scaling>
        <c:delete val="1"/>
        <c:axPos val="l"/>
        <c:tickLblPos val="none"/>
        <c:crossAx val="115611904"/>
        <c:crossesAt val="0"/>
        <c:auto val="1"/>
        <c:lblAlgn val="ctr"/>
        <c:lblOffset val="100"/>
      </c:catAx>
      <c:valAx>
        <c:axId val="115611904"/>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610368"/>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4.5</c:v>
              </c:pt>
            </c:numLit>
          </c:val>
        </c:ser>
        <c:gapWidth val="0"/>
        <c:axId val="115651712"/>
        <c:axId val="115653248"/>
      </c:barChart>
      <c:catAx>
        <c:axId val="115651712"/>
        <c:scaling>
          <c:orientation val="minMax"/>
        </c:scaling>
        <c:delete val="1"/>
        <c:axPos val="l"/>
        <c:tickLblPos val="none"/>
        <c:crossAx val="115653248"/>
        <c:crossesAt val="0"/>
        <c:auto val="1"/>
        <c:lblAlgn val="ctr"/>
        <c:lblOffset val="100"/>
      </c:catAx>
      <c:valAx>
        <c:axId val="11565324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651712"/>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2.02999999999999</c:v>
              </c:pt>
            </c:numLit>
          </c:val>
        </c:ser>
        <c:gapWidth val="0"/>
        <c:axId val="115938816"/>
        <c:axId val="115940352"/>
      </c:barChart>
      <c:catAx>
        <c:axId val="115938816"/>
        <c:scaling>
          <c:orientation val="minMax"/>
        </c:scaling>
        <c:delete val="1"/>
        <c:axPos val="l"/>
        <c:tickLblPos val="none"/>
        <c:crossAx val="115940352"/>
        <c:crossesAt val="0"/>
        <c:auto val="1"/>
        <c:lblAlgn val="ctr"/>
        <c:lblOffset val="100"/>
      </c:catAx>
      <c:valAx>
        <c:axId val="11594035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93881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963776"/>
        <c:axId val="115965312"/>
      </c:barChart>
      <c:catAx>
        <c:axId val="115963776"/>
        <c:scaling>
          <c:orientation val="minMax"/>
        </c:scaling>
        <c:delete val="1"/>
        <c:axPos val="l"/>
        <c:tickLblPos val="none"/>
        <c:crossAx val="115965312"/>
        <c:crossesAt val="0"/>
        <c:auto val="1"/>
        <c:lblAlgn val="ctr"/>
        <c:lblOffset val="100"/>
      </c:catAx>
      <c:valAx>
        <c:axId val="11596531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9637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5988736"/>
        <c:axId val="115998720"/>
      </c:barChart>
      <c:catAx>
        <c:axId val="115988736"/>
        <c:scaling>
          <c:orientation val="minMax"/>
        </c:scaling>
        <c:delete val="1"/>
        <c:axPos val="l"/>
        <c:tickLblPos val="none"/>
        <c:crossAx val="115998720"/>
        <c:crossesAt val="0"/>
        <c:auto val="1"/>
        <c:lblAlgn val="ctr"/>
        <c:lblOffset val="100"/>
      </c:catAx>
      <c:valAx>
        <c:axId val="115998720"/>
        <c:scaling>
          <c:orientation val="minMax"/>
          <c:max val="5"/>
          <c:min val="0"/>
        </c:scaling>
        <c:delete val="1"/>
        <c:axPos val="b"/>
        <c:majorGridlines>
          <c:spPr>
            <a:ln w="3175">
              <a:solidFill>
                <a:srgbClr val="FFFFFF"/>
              </a:solidFill>
              <a:prstDash val="solid"/>
            </a:ln>
          </c:spPr>
        </c:majorGridlines>
        <c:numFmt formatCode="General" sourceLinked="1"/>
        <c:tickLblPos val="none"/>
        <c:crossAx val="11598873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005504"/>
        <c:axId val="116011392"/>
      </c:barChart>
      <c:catAx>
        <c:axId val="116005504"/>
        <c:scaling>
          <c:orientation val="minMax"/>
        </c:scaling>
        <c:delete val="1"/>
        <c:axPos val="l"/>
        <c:tickLblPos val="none"/>
        <c:crossAx val="116011392"/>
        <c:crossesAt val="0"/>
        <c:auto val="1"/>
        <c:lblAlgn val="ctr"/>
        <c:lblOffset val="100"/>
      </c:catAx>
      <c:valAx>
        <c:axId val="116011392"/>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00550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018176"/>
        <c:axId val="116052736"/>
      </c:barChart>
      <c:catAx>
        <c:axId val="116018176"/>
        <c:scaling>
          <c:orientation val="minMax"/>
        </c:scaling>
        <c:delete val="1"/>
        <c:axPos val="l"/>
        <c:tickLblPos val="none"/>
        <c:crossAx val="116052736"/>
        <c:crossesAt val="0"/>
        <c:auto val="1"/>
        <c:lblAlgn val="ctr"/>
        <c:lblOffset val="100"/>
      </c:catAx>
      <c:valAx>
        <c:axId val="116052736"/>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018176"/>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ja-JP"/>
  <c:chart>
    <c:plotArea>
      <c:layout/>
      <c:barChart>
        <c:barDir val="bar"/>
        <c:grouping val="clustered"/>
        <c:ser>
          <c:idx val="0"/>
          <c:order val="0"/>
          <c:spPr>
            <a:blipFill dpi="0" rotWithShape="0">
              <a:blip xmlns:r="http://schemas.openxmlformats.org/officeDocument/2006/relationships" r:embed="rId1"/>
              <a:srcRect/>
              <a:stretch>
                <a:fillRect/>
              </a:stretch>
            </a:blipFill>
            <a:ln w="25400">
              <a:noFill/>
            </a:ln>
          </c:spPr>
          <c:pictureOptions>
            <c:pictureFormat val="stackScale"/>
            <c:pictureStackUnit val="1"/>
          </c:pictureOptions>
          <c:val>
            <c:numLit>
              <c:formatCode>General</c:formatCode>
              <c:ptCount val="1"/>
              <c:pt idx="0">
                <c:v>0</c:v>
              </c:pt>
            </c:numLit>
          </c:val>
        </c:ser>
        <c:gapWidth val="0"/>
        <c:axId val="116137344"/>
        <c:axId val="116147328"/>
      </c:barChart>
      <c:catAx>
        <c:axId val="116137344"/>
        <c:scaling>
          <c:orientation val="minMax"/>
        </c:scaling>
        <c:delete val="1"/>
        <c:axPos val="l"/>
        <c:tickLblPos val="none"/>
        <c:crossAx val="116147328"/>
        <c:crossesAt val="0"/>
        <c:auto val="1"/>
        <c:lblAlgn val="ctr"/>
        <c:lblOffset val="100"/>
      </c:catAx>
      <c:valAx>
        <c:axId val="116147328"/>
        <c:scaling>
          <c:orientation val="minMax"/>
          <c:max val="5"/>
          <c:min val="0"/>
        </c:scaling>
        <c:delete val="1"/>
        <c:axPos val="b"/>
        <c:majorGridlines>
          <c:spPr>
            <a:ln w="3175">
              <a:solidFill>
                <a:srgbClr val="FFFFFF"/>
              </a:solidFill>
              <a:prstDash val="solid"/>
            </a:ln>
          </c:spPr>
        </c:majorGridlines>
        <c:numFmt formatCode="General" sourceLinked="1"/>
        <c:tickLblPos val="none"/>
        <c:crossAx val="116137344"/>
        <c:crosses val="autoZero"/>
        <c:crossBetween val="between"/>
        <c:majorUnit val="1"/>
        <c:minorUnit val="0.1"/>
      </c:valAx>
      <c:spPr>
        <a:noFill/>
        <a:ln w="25400">
          <a:noFill/>
        </a:ln>
      </c:spPr>
    </c:plotArea>
    <c:plotVisOnly val="1"/>
    <c:dispBlanksAs val="gap"/>
  </c:chart>
  <c:spPr>
    <a:noFill/>
    <a:ln w="9525">
      <a:noFill/>
    </a:ln>
  </c:spPr>
  <c:txPr>
    <a:bodyPr/>
    <a:lstStyle/>
    <a:p>
      <a:pPr>
        <a:defRPr sz="125" b="0" i="0" u="none" strike="noStrike" baseline="0">
          <a:solidFill>
            <a:srgbClr val="000000"/>
          </a:solidFill>
          <a:latin typeface="ＭＳ 明朝"/>
          <a:ea typeface="ＭＳ 明朝"/>
          <a:cs typeface="ＭＳ 明朝"/>
        </a:defRPr>
      </a:pPr>
      <a:endParaRPr lang="ja-JP"/>
    </a:p>
  </c:txPr>
  <c:printSettings>
    <c:headerFooter alignWithMargins="0"/>
    <c:pageMargins b="1" l="0.75000000000000056" r="0.75000000000000056" t="1" header="0.51200000000000001" footer="0.51200000000000001"/>
    <c:pageSetup/>
  </c:printSettings>
</c:chartSpace>
</file>

<file path=xl/ctrlProps/ctrlProp1.xml><?xml version="1.0" encoding="utf-8"?>
<formControlPr xmlns="http://schemas.microsoft.com/office/spreadsheetml/2009/9/main" objectType="Radio" firstButton="1" fmlaLink="$O$3" lockText="1"/>
</file>

<file path=xl/ctrlProps/ctrlProp10.xml><?xml version="1.0" encoding="utf-8"?>
<formControlPr xmlns="http://schemas.microsoft.com/office/spreadsheetml/2009/9/main" objectType="CheckBox" fmlaLink="$Q$92" lockText="1"/>
</file>

<file path=xl/ctrlProps/ctrlProp11.xml><?xml version="1.0" encoding="utf-8"?>
<formControlPr xmlns="http://schemas.microsoft.com/office/spreadsheetml/2009/9/main" objectType="CheckBox" fmlaLink="$Q$93" lockText="1"/>
</file>

<file path=xl/ctrlProps/ctrlProp12.xml><?xml version="1.0" encoding="utf-8"?>
<formControlPr xmlns="http://schemas.microsoft.com/office/spreadsheetml/2009/9/main" objectType="CheckBox" fmlaLink="$Q$88" lockText="1"/>
</file>

<file path=xl/ctrlProps/ctrlProp13.xml><?xml version="1.0" encoding="utf-8"?>
<formControlPr xmlns="http://schemas.microsoft.com/office/spreadsheetml/2009/9/main" objectType="CheckBox" fmlaLink="$Q$89" lockText="1"/>
</file>

<file path=xl/ctrlProps/ctrlProp14.xml><?xml version="1.0" encoding="utf-8"?>
<formControlPr xmlns="http://schemas.microsoft.com/office/spreadsheetml/2009/9/main" objectType="CheckBox" fmlaLink="$Q$90" lockText="1"/>
</file>

<file path=xl/ctrlProps/ctrlProp15.xml><?xml version="1.0" encoding="utf-8"?>
<formControlPr xmlns="http://schemas.microsoft.com/office/spreadsheetml/2009/9/main" objectType="CheckBox" fmlaLink="$Q$91" lockText="1"/>
</file>

<file path=xl/ctrlProps/ctrlProp16.xml><?xml version="1.0" encoding="utf-8"?>
<formControlPr xmlns="http://schemas.microsoft.com/office/spreadsheetml/2009/9/main" objectType="CheckBox" fmlaLink="$Q$92" lockText="1"/>
</file>

<file path=xl/ctrlProps/ctrlProp17.xml><?xml version="1.0" encoding="utf-8"?>
<formControlPr xmlns="http://schemas.microsoft.com/office/spreadsheetml/2009/9/main" objectType="CheckBox" fmlaLink="$Q$93" lockText="1"/>
</file>

<file path=xl/ctrlProps/ctrlProp18.xml><?xml version="1.0" encoding="utf-8"?>
<formControlPr xmlns="http://schemas.microsoft.com/office/spreadsheetml/2009/9/main" objectType="CheckBox" fmlaLink="$R$93" lockText="1"/>
</file>

<file path=xl/ctrlProps/ctrlProp19.xml><?xml version="1.0" encoding="utf-8"?>
<formControlPr xmlns="http://schemas.microsoft.com/office/spreadsheetml/2009/9/main" objectType="CheckBox" fmlaLink="$R$94" lockText="1"/>
</file>

<file path=xl/ctrlProps/ctrlProp2.xml><?xml version="1.0" encoding="utf-8"?>
<formControlPr xmlns="http://schemas.microsoft.com/office/spreadsheetml/2009/9/main" objectType="Radio" lockText="1"/>
</file>

<file path=xl/ctrlProps/ctrlProp20.xml><?xml version="1.0" encoding="utf-8"?>
<formControlPr xmlns="http://schemas.microsoft.com/office/spreadsheetml/2009/9/main" objectType="CheckBox" fmlaLink="$R$95" lockText="1"/>
</file>

<file path=xl/ctrlProps/ctrlProp21.xml><?xml version="1.0" encoding="utf-8"?>
<formControlPr xmlns="http://schemas.microsoft.com/office/spreadsheetml/2009/9/main" objectType="CheckBox" fmlaLink="$R$96" lockText="1"/>
</file>

<file path=xl/ctrlProps/ctrlProp22.xml><?xml version="1.0" encoding="utf-8"?>
<formControlPr xmlns="http://schemas.microsoft.com/office/spreadsheetml/2009/9/main" objectType="CheckBox" fmlaLink="$R$97" lockText="1"/>
</file>

<file path=xl/ctrlProps/ctrlProp23.xml><?xml version="1.0" encoding="utf-8"?>
<formControlPr xmlns="http://schemas.microsoft.com/office/spreadsheetml/2009/9/main" objectType="CheckBox" fmlaLink="$R$98" lockText="1"/>
</file>

<file path=xl/ctrlProps/ctrlProp24.xml><?xml version="1.0" encoding="utf-8"?>
<formControlPr xmlns="http://schemas.microsoft.com/office/spreadsheetml/2009/9/main" objectType="CheckBox" fmlaLink="$Q$93" lockText="1"/>
</file>

<file path=xl/ctrlProps/ctrlProp25.xml><?xml version="1.0" encoding="utf-8"?>
<formControlPr xmlns="http://schemas.microsoft.com/office/spreadsheetml/2009/9/main" objectType="CheckBox" fmlaLink="$Q$96" lockText="1"/>
</file>

<file path=xl/ctrlProps/ctrlProp26.xml><?xml version="1.0" encoding="utf-8"?>
<formControlPr xmlns="http://schemas.microsoft.com/office/spreadsheetml/2009/9/main" objectType="CheckBox" fmlaLink="$Q$94" lockText="1"/>
</file>

<file path=xl/ctrlProps/ctrlProp27.xml><?xml version="1.0" encoding="utf-8"?>
<formControlPr xmlns="http://schemas.microsoft.com/office/spreadsheetml/2009/9/main" objectType="CheckBox" fmlaLink="$Q$97" lockText="1"/>
</file>

<file path=xl/ctrlProps/ctrlProp28.xml><?xml version="1.0" encoding="utf-8"?>
<formControlPr xmlns="http://schemas.microsoft.com/office/spreadsheetml/2009/9/main" objectType="CheckBox" fmlaLink="$Q$95" lockText="1"/>
</file>

<file path=xl/ctrlProps/ctrlProp29.xml><?xml version="1.0" encoding="utf-8"?>
<formControlPr xmlns="http://schemas.microsoft.com/office/spreadsheetml/2009/9/main" objectType="CheckBox" fmlaLink="$Q$98" lockText="1"/>
</file>

<file path=xl/ctrlProps/ctrlProp3.xml><?xml version="1.0" encoding="utf-8"?>
<formControlPr xmlns="http://schemas.microsoft.com/office/spreadsheetml/2009/9/main" objectType="Radio" lockText="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ctrlProps/ctrlProp6.xml><?xml version="1.0" encoding="utf-8"?>
<formControlPr xmlns="http://schemas.microsoft.com/office/spreadsheetml/2009/9/main" objectType="CheckBox" fmlaLink="$Q$88" lockText="1"/>
</file>

<file path=xl/ctrlProps/ctrlProp7.xml><?xml version="1.0" encoding="utf-8"?>
<formControlPr xmlns="http://schemas.microsoft.com/office/spreadsheetml/2009/9/main" objectType="CheckBox" fmlaLink="$Q$89" lockText="1"/>
</file>

<file path=xl/ctrlProps/ctrlProp8.xml><?xml version="1.0" encoding="utf-8"?>
<formControlPr xmlns="http://schemas.microsoft.com/office/spreadsheetml/2009/9/main" objectType="CheckBox" fmlaLink="$Q$90" lockText="1"/>
</file>

<file path=xl/ctrlProps/ctrlProp9.xml><?xml version="1.0" encoding="utf-8"?>
<formControlPr xmlns="http://schemas.microsoft.com/office/spreadsheetml/2009/9/main" objectType="CheckBox" fmlaLink="$Q$91"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image" Target="../media/image8.png"/><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image" Target="../media/image7.emf"/><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5" Type="http://schemas.openxmlformats.org/officeDocument/2006/relationships/image" Target="../media/image9.png"/><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8.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7.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0.emf"/><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9.png"/></Relationships>
</file>

<file path=xl/drawings/_rels/drawing20.xml.rels><?xml version="1.0" encoding="UTF-8" standalone="yes"?>
<Relationships xmlns="http://schemas.openxmlformats.org/package/2006/relationships"><Relationship Id="rId8" Type="http://schemas.openxmlformats.org/officeDocument/2006/relationships/chart" Target="../charts/chart30.xml"/><Relationship Id="rId13" Type="http://schemas.openxmlformats.org/officeDocument/2006/relationships/chart" Target="../charts/chart35.xml"/><Relationship Id="rId18" Type="http://schemas.openxmlformats.org/officeDocument/2006/relationships/image" Target="../media/image11.png"/><Relationship Id="rId3" Type="http://schemas.openxmlformats.org/officeDocument/2006/relationships/chart" Target="../charts/chart25.xml"/><Relationship Id="rId7" Type="http://schemas.openxmlformats.org/officeDocument/2006/relationships/chart" Target="../charts/chart29.xml"/><Relationship Id="rId12" Type="http://schemas.openxmlformats.org/officeDocument/2006/relationships/chart" Target="../charts/chart34.xml"/><Relationship Id="rId17" Type="http://schemas.openxmlformats.org/officeDocument/2006/relationships/image" Target="../media/image9.png"/><Relationship Id="rId2" Type="http://schemas.openxmlformats.org/officeDocument/2006/relationships/chart" Target="../charts/chart24.xml"/><Relationship Id="rId16" Type="http://schemas.openxmlformats.org/officeDocument/2006/relationships/image" Target="../media/image8.png"/><Relationship Id="rId1" Type="http://schemas.openxmlformats.org/officeDocument/2006/relationships/chart" Target="../charts/chart23.xml"/><Relationship Id="rId6" Type="http://schemas.openxmlformats.org/officeDocument/2006/relationships/chart" Target="../charts/chart28.xml"/><Relationship Id="rId11" Type="http://schemas.openxmlformats.org/officeDocument/2006/relationships/chart" Target="../charts/chart33.xml"/><Relationship Id="rId5" Type="http://schemas.openxmlformats.org/officeDocument/2006/relationships/chart" Target="../charts/chart27.xml"/><Relationship Id="rId15" Type="http://schemas.openxmlformats.org/officeDocument/2006/relationships/image" Target="../media/image7.emf"/><Relationship Id="rId10" Type="http://schemas.openxmlformats.org/officeDocument/2006/relationships/chart" Target="../charts/chart32.xml"/><Relationship Id="rId4" Type="http://schemas.openxmlformats.org/officeDocument/2006/relationships/chart" Target="../charts/chart26.xml"/><Relationship Id="rId9" Type="http://schemas.openxmlformats.org/officeDocument/2006/relationships/chart" Target="../charts/chart31.xml"/><Relationship Id="rId14" Type="http://schemas.openxmlformats.org/officeDocument/2006/relationships/chart" Target="../charts/chart36.xml"/></Relationships>
</file>

<file path=xl/drawings/_rels/drawing30.xml.rels><?xml version="1.0" encoding="UTF-8" standalone="yes"?>
<Relationships xmlns="http://schemas.openxmlformats.org/package/2006/relationships"><Relationship Id="rId13" Type="http://schemas.openxmlformats.org/officeDocument/2006/relationships/chart" Target="../charts/chart49.xml"/><Relationship Id="rId18" Type="http://schemas.openxmlformats.org/officeDocument/2006/relationships/chart" Target="../charts/chart54.xml"/><Relationship Id="rId26" Type="http://schemas.openxmlformats.org/officeDocument/2006/relationships/chart" Target="../charts/chart62.xml"/><Relationship Id="rId39" Type="http://schemas.openxmlformats.org/officeDocument/2006/relationships/chart" Target="../charts/chart75.xml"/><Relationship Id="rId3" Type="http://schemas.openxmlformats.org/officeDocument/2006/relationships/chart" Target="../charts/chart39.xml"/><Relationship Id="rId21" Type="http://schemas.openxmlformats.org/officeDocument/2006/relationships/chart" Target="../charts/chart57.xml"/><Relationship Id="rId34" Type="http://schemas.openxmlformats.org/officeDocument/2006/relationships/chart" Target="../charts/chart70.xml"/><Relationship Id="rId42" Type="http://schemas.openxmlformats.org/officeDocument/2006/relationships/chart" Target="../charts/chart78.xml"/><Relationship Id="rId47" Type="http://schemas.openxmlformats.org/officeDocument/2006/relationships/chart" Target="../charts/chart83.xml"/><Relationship Id="rId50" Type="http://schemas.openxmlformats.org/officeDocument/2006/relationships/chart" Target="../charts/chart86.xml"/><Relationship Id="rId7" Type="http://schemas.openxmlformats.org/officeDocument/2006/relationships/chart" Target="../charts/chart43.xml"/><Relationship Id="rId12" Type="http://schemas.openxmlformats.org/officeDocument/2006/relationships/chart" Target="../charts/chart48.xml"/><Relationship Id="rId17" Type="http://schemas.openxmlformats.org/officeDocument/2006/relationships/chart" Target="../charts/chart53.xml"/><Relationship Id="rId25" Type="http://schemas.openxmlformats.org/officeDocument/2006/relationships/chart" Target="../charts/chart61.xml"/><Relationship Id="rId33" Type="http://schemas.openxmlformats.org/officeDocument/2006/relationships/chart" Target="../charts/chart69.xml"/><Relationship Id="rId38" Type="http://schemas.openxmlformats.org/officeDocument/2006/relationships/chart" Target="../charts/chart74.xml"/><Relationship Id="rId46" Type="http://schemas.openxmlformats.org/officeDocument/2006/relationships/chart" Target="../charts/chart82.xml"/><Relationship Id="rId2" Type="http://schemas.openxmlformats.org/officeDocument/2006/relationships/chart" Target="../charts/chart38.xml"/><Relationship Id="rId16" Type="http://schemas.openxmlformats.org/officeDocument/2006/relationships/chart" Target="../charts/chart52.xml"/><Relationship Id="rId20" Type="http://schemas.openxmlformats.org/officeDocument/2006/relationships/chart" Target="../charts/chart56.xml"/><Relationship Id="rId29" Type="http://schemas.openxmlformats.org/officeDocument/2006/relationships/chart" Target="../charts/chart65.xml"/><Relationship Id="rId41" Type="http://schemas.openxmlformats.org/officeDocument/2006/relationships/chart" Target="../charts/chart77.xml"/><Relationship Id="rId54" Type="http://schemas.openxmlformats.org/officeDocument/2006/relationships/image" Target="../media/image14.png"/><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24" Type="http://schemas.openxmlformats.org/officeDocument/2006/relationships/chart" Target="../charts/chart60.xml"/><Relationship Id="rId32" Type="http://schemas.openxmlformats.org/officeDocument/2006/relationships/chart" Target="../charts/chart68.xml"/><Relationship Id="rId37" Type="http://schemas.openxmlformats.org/officeDocument/2006/relationships/chart" Target="../charts/chart73.xml"/><Relationship Id="rId40" Type="http://schemas.openxmlformats.org/officeDocument/2006/relationships/chart" Target="../charts/chart76.xml"/><Relationship Id="rId45" Type="http://schemas.openxmlformats.org/officeDocument/2006/relationships/chart" Target="../charts/chart81.xml"/><Relationship Id="rId53" Type="http://schemas.openxmlformats.org/officeDocument/2006/relationships/chart" Target="../charts/chart89.xml"/><Relationship Id="rId5" Type="http://schemas.openxmlformats.org/officeDocument/2006/relationships/chart" Target="../charts/chart41.xml"/><Relationship Id="rId15" Type="http://schemas.openxmlformats.org/officeDocument/2006/relationships/chart" Target="../charts/chart51.xml"/><Relationship Id="rId23" Type="http://schemas.openxmlformats.org/officeDocument/2006/relationships/chart" Target="../charts/chart59.xml"/><Relationship Id="rId28" Type="http://schemas.openxmlformats.org/officeDocument/2006/relationships/chart" Target="../charts/chart64.xml"/><Relationship Id="rId36" Type="http://schemas.openxmlformats.org/officeDocument/2006/relationships/chart" Target="../charts/chart72.xml"/><Relationship Id="rId49" Type="http://schemas.openxmlformats.org/officeDocument/2006/relationships/chart" Target="../charts/chart85.xml"/><Relationship Id="rId10" Type="http://schemas.openxmlformats.org/officeDocument/2006/relationships/chart" Target="../charts/chart46.xml"/><Relationship Id="rId19" Type="http://schemas.openxmlformats.org/officeDocument/2006/relationships/chart" Target="../charts/chart55.xml"/><Relationship Id="rId31" Type="http://schemas.openxmlformats.org/officeDocument/2006/relationships/chart" Target="../charts/chart67.xml"/><Relationship Id="rId44" Type="http://schemas.openxmlformats.org/officeDocument/2006/relationships/chart" Target="../charts/chart80.xml"/><Relationship Id="rId52" Type="http://schemas.openxmlformats.org/officeDocument/2006/relationships/chart" Target="../charts/chart88.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 Id="rId22" Type="http://schemas.openxmlformats.org/officeDocument/2006/relationships/chart" Target="../charts/chart58.xml"/><Relationship Id="rId27" Type="http://schemas.openxmlformats.org/officeDocument/2006/relationships/chart" Target="../charts/chart63.xml"/><Relationship Id="rId30" Type="http://schemas.openxmlformats.org/officeDocument/2006/relationships/chart" Target="../charts/chart66.xml"/><Relationship Id="rId35" Type="http://schemas.openxmlformats.org/officeDocument/2006/relationships/chart" Target="../charts/chart71.xml"/><Relationship Id="rId43" Type="http://schemas.openxmlformats.org/officeDocument/2006/relationships/chart" Target="../charts/chart79.xml"/><Relationship Id="rId48" Type="http://schemas.openxmlformats.org/officeDocument/2006/relationships/chart" Target="../charts/chart84.xml"/><Relationship Id="rId8" Type="http://schemas.openxmlformats.org/officeDocument/2006/relationships/chart" Target="../charts/chart44.xml"/><Relationship Id="rId51" Type="http://schemas.openxmlformats.org/officeDocument/2006/relationships/chart" Target="../charts/chart87.xml"/></Relationships>
</file>

<file path=xl/drawings/_rels/drawing31.xml.rels><?xml version="1.0" encoding="UTF-8" standalone="yes"?>
<Relationships xmlns="http://schemas.openxmlformats.org/package/2006/relationships"><Relationship Id="rId13" Type="http://schemas.openxmlformats.org/officeDocument/2006/relationships/chart" Target="../charts/chart102.xml"/><Relationship Id="rId18" Type="http://schemas.openxmlformats.org/officeDocument/2006/relationships/chart" Target="../charts/chart107.xml"/><Relationship Id="rId26" Type="http://schemas.openxmlformats.org/officeDocument/2006/relationships/chart" Target="../charts/chart115.xml"/><Relationship Id="rId39" Type="http://schemas.openxmlformats.org/officeDocument/2006/relationships/chart" Target="../charts/chart128.xml"/><Relationship Id="rId3" Type="http://schemas.openxmlformats.org/officeDocument/2006/relationships/chart" Target="../charts/chart92.xml"/><Relationship Id="rId21" Type="http://schemas.openxmlformats.org/officeDocument/2006/relationships/chart" Target="../charts/chart110.xml"/><Relationship Id="rId34" Type="http://schemas.openxmlformats.org/officeDocument/2006/relationships/chart" Target="../charts/chart123.xml"/><Relationship Id="rId42" Type="http://schemas.openxmlformats.org/officeDocument/2006/relationships/chart" Target="../charts/chart131.xml"/><Relationship Id="rId47" Type="http://schemas.openxmlformats.org/officeDocument/2006/relationships/chart" Target="../charts/chart136.xml"/><Relationship Id="rId50" Type="http://schemas.openxmlformats.org/officeDocument/2006/relationships/chart" Target="../charts/chart139.xml"/><Relationship Id="rId7" Type="http://schemas.openxmlformats.org/officeDocument/2006/relationships/chart" Target="../charts/chart96.xml"/><Relationship Id="rId12" Type="http://schemas.openxmlformats.org/officeDocument/2006/relationships/chart" Target="../charts/chart101.xml"/><Relationship Id="rId17" Type="http://schemas.openxmlformats.org/officeDocument/2006/relationships/chart" Target="../charts/chart106.xml"/><Relationship Id="rId25" Type="http://schemas.openxmlformats.org/officeDocument/2006/relationships/chart" Target="../charts/chart114.xml"/><Relationship Id="rId33" Type="http://schemas.openxmlformats.org/officeDocument/2006/relationships/chart" Target="../charts/chart122.xml"/><Relationship Id="rId38" Type="http://schemas.openxmlformats.org/officeDocument/2006/relationships/chart" Target="../charts/chart127.xml"/><Relationship Id="rId46" Type="http://schemas.openxmlformats.org/officeDocument/2006/relationships/chart" Target="../charts/chart135.xml"/><Relationship Id="rId2" Type="http://schemas.openxmlformats.org/officeDocument/2006/relationships/chart" Target="../charts/chart91.xml"/><Relationship Id="rId16" Type="http://schemas.openxmlformats.org/officeDocument/2006/relationships/chart" Target="../charts/chart105.xml"/><Relationship Id="rId20" Type="http://schemas.openxmlformats.org/officeDocument/2006/relationships/chart" Target="../charts/chart109.xml"/><Relationship Id="rId29" Type="http://schemas.openxmlformats.org/officeDocument/2006/relationships/chart" Target="../charts/chart118.xml"/><Relationship Id="rId41" Type="http://schemas.openxmlformats.org/officeDocument/2006/relationships/chart" Target="../charts/chart130.xml"/><Relationship Id="rId54" Type="http://schemas.openxmlformats.org/officeDocument/2006/relationships/image" Target="../media/image14.png"/><Relationship Id="rId1" Type="http://schemas.openxmlformats.org/officeDocument/2006/relationships/chart" Target="../charts/chart90.xml"/><Relationship Id="rId6" Type="http://schemas.openxmlformats.org/officeDocument/2006/relationships/chart" Target="../charts/chart95.xml"/><Relationship Id="rId11" Type="http://schemas.openxmlformats.org/officeDocument/2006/relationships/chart" Target="../charts/chart100.xml"/><Relationship Id="rId24" Type="http://schemas.openxmlformats.org/officeDocument/2006/relationships/chart" Target="../charts/chart113.xml"/><Relationship Id="rId32" Type="http://schemas.openxmlformats.org/officeDocument/2006/relationships/chart" Target="../charts/chart121.xml"/><Relationship Id="rId37" Type="http://schemas.openxmlformats.org/officeDocument/2006/relationships/chart" Target="../charts/chart126.xml"/><Relationship Id="rId40" Type="http://schemas.openxmlformats.org/officeDocument/2006/relationships/chart" Target="../charts/chart129.xml"/><Relationship Id="rId45" Type="http://schemas.openxmlformats.org/officeDocument/2006/relationships/chart" Target="../charts/chart134.xml"/><Relationship Id="rId53" Type="http://schemas.openxmlformats.org/officeDocument/2006/relationships/chart" Target="../charts/chart142.xml"/><Relationship Id="rId5" Type="http://schemas.openxmlformats.org/officeDocument/2006/relationships/chart" Target="../charts/chart94.xml"/><Relationship Id="rId15" Type="http://schemas.openxmlformats.org/officeDocument/2006/relationships/chart" Target="../charts/chart104.xml"/><Relationship Id="rId23" Type="http://schemas.openxmlformats.org/officeDocument/2006/relationships/chart" Target="../charts/chart112.xml"/><Relationship Id="rId28" Type="http://schemas.openxmlformats.org/officeDocument/2006/relationships/chart" Target="../charts/chart117.xml"/><Relationship Id="rId36" Type="http://schemas.openxmlformats.org/officeDocument/2006/relationships/chart" Target="../charts/chart125.xml"/><Relationship Id="rId49" Type="http://schemas.openxmlformats.org/officeDocument/2006/relationships/chart" Target="../charts/chart138.xml"/><Relationship Id="rId10" Type="http://schemas.openxmlformats.org/officeDocument/2006/relationships/chart" Target="../charts/chart99.xml"/><Relationship Id="rId19" Type="http://schemas.openxmlformats.org/officeDocument/2006/relationships/chart" Target="../charts/chart108.xml"/><Relationship Id="rId31" Type="http://schemas.openxmlformats.org/officeDocument/2006/relationships/chart" Target="../charts/chart120.xml"/><Relationship Id="rId44" Type="http://schemas.openxmlformats.org/officeDocument/2006/relationships/chart" Target="../charts/chart133.xml"/><Relationship Id="rId52" Type="http://schemas.openxmlformats.org/officeDocument/2006/relationships/chart" Target="../charts/chart141.xml"/><Relationship Id="rId4" Type="http://schemas.openxmlformats.org/officeDocument/2006/relationships/chart" Target="../charts/chart93.xml"/><Relationship Id="rId9" Type="http://schemas.openxmlformats.org/officeDocument/2006/relationships/chart" Target="../charts/chart98.xml"/><Relationship Id="rId14" Type="http://schemas.openxmlformats.org/officeDocument/2006/relationships/chart" Target="../charts/chart103.xml"/><Relationship Id="rId22" Type="http://schemas.openxmlformats.org/officeDocument/2006/relationships/chart" Target="../charts/chart111.xml"/><Relationship Id="rId27" Type="http://schemas.openxmlformats.org/officeDocument/2006/relationships/chart" Target="../charts/chart116.xml"/><Relationship Id="rId30" Type="http://schemas.openxmlformats.org/officeDocument/2006/relationships/chart" Target="../charts/chart119.xml"/><Relationship Id="rId35" Type="http://schemas.openxmlformats.org/officeDocument/2006/relationships/chart" Target="../charts/chart124.xml"/><Relationship Id="rId43" Type="http://schemas.openxmlformats.org/officeDocument/2006/relationships/chart" Target="../charts/chart132.xml"/><Relationship Id="rId48" Type="http://schemas.openxmlformats.org/officeDocument/2006/relationships/chart" Target="../charts/chart137.xml"/><Relationship Id="rId8" Type="http://schemas.openxmlformats.org/officeDocument/2006/relationships/chart" Target="../charts/chart97.xml"/><Relationship Id="rId51" Type="http://schemas.openxmlformats.org/officeDocument/2006/relationships/chart" Target="../charts/chart140.xml"/></Relationships>
</file>

<file path=xl/drawings/_rels/drawing32.xml.rels><?xml version="1.0" encoding="UTF-8" standalone="yes"?>
<Relationships xmlns="http://schemas.openxmlformats.org/package/2006/relationships"><Relationship Id="rId13" Type="http://schemas.openxmlformats.org/officeDocument/2006/relationships/chart" Target="../charts/chart155.xml"/><Relationship Id="rId18" Type="http://schemas.openxmlformats.org/officeDocument/2006/relationships/chart" Target="../charts/chart160.xml"/><Relationship Id="rId26" Type="http://schemas.openxmlformats.org/officeDocument/2006/relationships/chart" Target="../charts/chart168.xml"/><Relationship Id="rId39" Type="http://schemas.openxmlformats.org/officeDocument/2006/relationships/chart" Target="../charts/chart181.xml"/><Relationship Id="rId21" Type="http://schemas.openxmlformats.org/officeDocument/2006/relationships/chart" Target="../charts/chart163.xml"/><Relationship Id="rId34" Type="http://schemas.openxmlformats.org/officeDocument/2006/relationships/chart" Target="../charts/chart176.xml"/><Relationship Id="rId42" Type="http://schemas.openxmlformats.org/officeDocument/2006/relationships/chart" Target="../charts/chart184.xml"/><Relationship Id="rId47" Type="http://schemas.openxmlformats.org/officeDocument/2006/relationships/chart" Target="../charts/chart189.xml"/><Relationship Id="rId50" Type="http://schemas.openxmlformats.org/officeDocument/2006/relationships/chart" Target="../charts/chart192.xml"/><Relationship Id="rId55" Type="http://schemas.openxmlformats.org/officeDocument/2006/relationships/chart" Target="../charts/chart196.xml"/><Relationship Id="rId7" Type="http://schemas.openxmlformats.org/officeDocument/2006/relationships/chart" Target="../charts/chart149.xml"/><Relationship Id="rId12" Type="http://schemas.openxmlformats.org/officeDocument/2006/relationships/chart" Target="../charts/chart154.xml"/><Relationship Id="rId17" Type="http://schemas.openxmlformats.org/officeDocument/2006/relationships/chart" Target="../charts/chart159.xml"/><Relationship Id="rId25" Type="http://schemas.openxmlformats.org/officeDocument/2006/relationships/chart" Target="../charts/chart167.xml"/><Relationship Id="rId33" Type="http://schemas.openxmlformats.org/officeDocument/2006/relationships/chart" Target="../charts/chart175.xml"/><Relationship Id="rId38" Type="http://schemas.openxmlformats.org/officeDocument/2006/relationships/chart" Target="../charts/chart180.xml"/><Relationship Id="rId46" Type="http://schemas.openxmlformats.org/officeDocument/2006/relationships/chart" Target="../charts/chart188.xml"/><Relationship Id="rId2" Type="http://schemas.openxmlformats.org/officeDocument/2006/relationships/chart" Target="../charts/chart144.xml"/><Relationship Id="rId16" Type="http://schemas.openxmlformats.org/officeDocument/2006/relationships/chart" Target="../charts/chart158.xml"/><Relationship Id="rId20" Type="http://schemas.openxmlformats.org/officeDocument/2006/relationships/chart" Target="../charts/chart162.xml"/><Relationship Id="rId29" Type="http://schemas.openxmlformats.org/officeDocument/2006/relationships/chart" Target="../charts/chart171.xml"/><Relationship Id="rId41" Type="http://schemas.openxmlformats.org/officeDocument/2006/relationships/chart" Target="../charts/chart183.xml"/><Relationship Id="rId54" Type="http://schemas.openxmlformats.org/officeDocument/2006/relationships/chart" Target="../charts/chart195.xml"/><Relationship Id="rId1" Type="http://schemas.openxmlformats.org/officeDocument/2006/relationships/chart" Target="../charts/chart143.xml"/><Relationship Id="rId6" Type="http://schemas.openxmlformats.org/officeDocument/2006/relationships/chart" Target="../charts/chart148.xml"/><Relationship Id="rId11" Type="http://schemas.openxmlformats.org/officeDocument/2006/relationships/chart" Target="../charts/chart153.xml"/><Relationship Id="rId24" Type="http://schemas.openxmlformats.org/officeDocument/2006/relationships/chart" Target="../charts/chart166.xml"/><Relationship Id="rId32" Type="http://schemas.openxmlformats.org/officeDocument/2006/relationships/chart" Target="../charts/chart174.xml"/><Relationship Id="rId37" Type="http://schemas.openxmlformats.org/officeDocument/2006/relationships/chart" Target="../charts/chart179.xml"/><Relationship Id="rId40" Type="http://schemas.openxmlformats.org/officeDocument/2006/relationships/chart" Target="../charts/chart182.xml"/><Relationship Id="rId45" Type="http://schemas.openxmlformats.org/officeDocument/2006/relationships/chart" Target="../charts/chart187.xml"/><Relationship Id="rId53" Type="http://schemas.openxmlformats.org/officeDocument/2006/relationships/chart" Target="../charts/chart194.xml"/><Relationship Id="rId5" Type="http://schemas.openxmlformats.org/officeDocument/2006/relationships/chart" Target="../charts/chart147.xml"/><Relationship Id="rId15" Type="http://schemas.openxmlformats.org/officeDocument/2006/relationships/chart" Target="../charts/chart157.xml"/><Relationship Id="rId23" Type="http://schemas.openxmlformats.org/officeDocument/2006/relationships/chart" Target="../charts/chart165.xml"/><Relationship Id="rId28" Type="http://schemas.openxmlformats.org/officeDocument/2006/relationships/chart" Target="../charts/chart170.xml"/><Relationship Id="rId36" Type="http://schemas.openxmlformats.org/officeDocument/2006/relationships/chart" Target="../charts/chart178.xml"/><Relationship Id="rId49" Type="http://schemas.openxmlformats.org/officeDocument/2006/relationships/chart" Target="../charts/chart191.xml"/><Relationship Id="rId57" Type="http://schemas.openxmlformats.org/officeDocument/2006/relationships/chart" Target="../charts/chart198.xml"/><Relationship Id="rId10" Type="http://schemas.openxmlformats.org/officeDocument/2006/relationships/chart" Target="../charts/chart152.xml"/><Relationship Id="rId19" Type="http://schemas.openxmlformats.org/officeDocument/2006/relationships/chart" Target="../charts/chart161.xml"/><Relationship Id="rId31" Type="http://schemas.openxmlformats.org/officeDocument/2006/relationships/chart" Target="../charts/chart173.xml"/><Relationship Id="rId44" Type="http://schemas.openxmlformats.org/officeDocument/2006/relationships/chart" Target="../charts/chart186.xml"/><Relationship Id="rId52" Type="http://schemas.openxmlformats.org/officeDocument/2006/relationships/image" Target="../media/image14.png"/><Relationship Id="rId4" Type="http://schemas.openxmlformats.org/officeDocument/2006/relationships/chart" Target="../charts/chart146.xml"/><Relationship Id="rId9" Type="http://schemas.openxmlformats.org/officeDocument/2006/relationships/chart" Target="../charts/chart151.xml"/><Relationship Id="rId14" Type="http://schemas.openxmlformats.org/officeDocument/2006/relationships/chart" Target="../charts/chart156.xml"/><Relationship Id="rId22" Type="http://schemas.openxmlformats.org/officeDocument/2006/relationships/chart" Target="../charts/chart164.xml"/><Relationship Id="rId27" Type="http://schemas.openxmlformats.org/officeDocument/2006/relationships/chart" Target="../charts/chart169.xml"/><Relationship Id="rId30" Type="http://schemas.openxmlformats.org/officeDocument/2006/relationships/chart" Target="../charts/chart172.xml"/><Relationship Id="rId35" Type="http://schemas.openxmlformats.org/officeDocument/2006/relationships/chart" Target="../charts/chart177.xml"/><Relationship Id="rId43" Type="http://schemas.openxmlformats.org/officeDocument/2006/relationships/chart" Target="../charts/chart185.xml"/><Relationship Id="rId48" Type="http://schemas.openxmlformats.org/officeDocument/2006/relationships/chart" Target="../charts/chart190.xml"/><Relationship Id="rId56" Type="http://schemas.openxmlformats.org/officeDocument/2006/relationships/chart" Target="../charts/chart197.xml"/><Relationship Id="rId8" Type="http://schemas.openxmlformats.org/officeDocument/2006/relationships/chart" Target="../charts/chart150.xml"/><Relationship Id="rId51" Type="http://schemas.openxmlformats.org/officeDocument/2006/relationships/chart" Target="../charts/chart193.xml"/><Relationship Id="rId3" Type="http://schemas.openxmlformats.org/officeDocument/2006/relationships/chart" Target="../charts/chart145.xml"/></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133350</xdr:rowOff>
    </xdr:from>
    <xdr:to>
      <xdr:col>3</xdr:col>
      <xdr:colOff>952500</xdr:colOff>
      <xdr:row>2</xdr:row>
      <xdr:rowOff>323850</xdr:rowOff>
    </xdr:to>
    <xdr:pic>
      <xdr:nvPicPr>
        <xdr:cNvPr id="3" name="Picture 16" descr="ロゴマークver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42900" y="133350"/>
          <a:ext cx="2971800" cy="533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3</xdr:col>
      <xdr:colOff>942975</xdr:colOff>
      <xdr:row>0</xdr:row>
      <xdr:rowOff>0</xdr:rowOff>
    </xdr:from>
    <xdr:to>
      <xdr:col>7</xdr:col>
      <xdr:colOff>333376</xdr:colOff>
      <xdr:row>2</xdr:row>
      <xdr:rowOff>400050</xdr:rowOff>
    </xdr:to>
    <xdr:sp macro="" textlink="">
      <xdr:nvSpPr>
        <xdr:cNvPr id="4" name="Text Box 20"/>
        <xdr:cNvSpPr txBox="1">
          <a:spLocks noChangeArrowheads="1"/>
        </xdr:cNvSpPr>
      </xdr:nvSpPr>
      <xdr:spPr bwMode="auto">
        <a:xfrm>
          <a:off x="3305175" y="0"/>
          <a:ext cx="2771776" cy="742950"/>
        </a:xfrm>
        <a:prstGeom prst="rect">
          <a:avLst/>
        </a:prstGeom>
        <a:noFill/>
        <a:ln>
          <a:noFill/>
        </a:ln>
        <a:extLst/>
      </xdr:spPr>
      <xdr:txBody>
        <a:bodyPr vertOverflow="clip" wrap="square" lIns="73152" tIns="45720" rIns="0" bIns="0" anchor="t" upright="1"/>
        <a:lstStyle/>
        <a:p>
          <a:pPr algn="l" rtl="0">
            <a:defRPr sz="1000"/>
          </a:pPr>
          <a:r>
            <a:rPr lang="ja-JP" altLang="en-US" sz="4400" b="0" i="0" u="none" strike="noStrike" baseline="0">
              <a:solidFill>
                <a:srgbClr val="008000"/>
              </a:solidFill>
              <a:latin typeface="HGSｺﾞｼｯｸE" pitchFamily="50" charset="-128"/>
              <a:ea typeface="HGSｺﾞｼｯｸE" pitchFamily="50" charset="-128"/>
            </a:rPr>
            <a:t>京都</a:t>
          </a:r>
          <a:r>
            <a:rPr lang="en-US" altLang="ja-JP" sz="4400" b="0" i="0" u="none" strike="noStrike" baseline="0">
              <a:solidFill>
                <a:srgbClr val="008000"/>
              </a:solidFill>
              <a:latin typeface="HGSｺﾞｼｯｸE" pitchFamily="50" charset="-128"/>
              <a:ea typeface="HGSｺﾞｼｯｸE" pitchFamily="50" charset="-128"/>
            </a:rPr>
            <a:t>-</a:t>
          </a:r>
          <a:r>
            <a:rPr lang="ja-JP" altLang="en-US" sz="4400" b="0" i="0" u="none" strike="noStrike" baseline="0">
              <a:solidFill>
                <a:srgbClr val="008000"/>
              </a:solidFill>
              <a:latin typeface="HGSｺﾞｼｯｸE" pitchFamily="50" charset="-128"/>
              <a:ea typeface="HGSｺﾞｼｯｸE" pitchFamily="50" charset="-128"/>
            </a:rPr>
            <a:t>改修</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0.77873</cdr:x>
      <cdr:y>0.16069</cdr:y>
    </cdr:from>
    <cdr:to>
      <cdr:x>0.97089</cdr:x>
      <cdr:y>0.31197</cdr:y>
    </cdr:to>
    <cdr:sp macro="" textlink="'結果(改修後)'!$X$39">
      <cdr:nvSpPr>
        <cdr:cNvPr id="66568" name="Text Box 8"/>
        <cdr:cNvSpPr txBox="1">
          <a:spLocks xmlns:a="http://schemas.openxmlformats.org/drawingml/2006/main" noChangeArrowheads="1" noTextEdit="1"/>
        </cdr:cNvSpPr>
      </cdr:nvSpPr>
      <cdr:spPr bwMode="auto">
        <a:xfrm xmlns:a="http://schemas.openxmlformats.org/drawingml/2006/main">
          <a:off x="1953959" y="269494"/>
          <a:ext cx="481363" cy="25071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1D3A3D4-1FE3-400C-9EFD-F508AF46AEA2}"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0.31055</cdr:y>
    </cdr:from>
    <cdr:to>
      <cdr:x>0.97329</cdr:x>
      <cdr:y>0.46112</cdr:y>
    </cdr:to>
    <cdr:sp macro="" textlink="'結果(改修後)'!$X$40">
      <cdr:nvSpPr>
        <cdr:cNvPr id="66569" name="Text Box 9"/>
        <cdr:cNvSpPr txBox="1">
          <a:spLocks xmlns:a="http://schemas.openxmlformats.org/drawingml/2006/main" noChangeArrowheads="1" noTextEdit="1"/>
        </cdr:cNvSpPr>
      </cdr:nvSpPr>
      <cdr:spPr bwMode="auto">
        <a:xfrm xmlns:a="http://schemas.openxmlformats.org/drawingml/2006/main">
          <a:off x="2043123" y="517868"/>
          <a:ext cx="398223" cy="2495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81C2DD32-3DB5-4655-9F0B-E429B7A6DB77}"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0.49434</cdr:y>
    </cdr:from>
    <cdr:to>
      <cdr:x>0.97329</cdr:x>
      <cdr:y>0.64491</cdr:y>
    </cdr:to>
    <cdr:sp macro="" textlink="'結果(改修後)'!$X$41">
      <cdr:nvSpPr>
        <cdr:cNvPr id="66570" name="Text Box 10"/>
        <cdr:cNvSpPr txBox="1">
          <a:spLocks xmlns:a="http://schemas.openxmlformats.org/drawingml/2006/main" noChangeArrowheads="1" noTextEdit="1"/>
        </cdr:cNvSpPr>
      </cdr:nvSpPr>
      <cdr:spPr bwMode="auto">
        <a:xfrm xmlns:a="http://schemas.openxmlformats.org/drawingml/2006/main">
          <a:off x="2043123" y="822477"/>
          <a:ext cx="398223" cy="2495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35B5E67B-ADE1-450A-8BBD-616B523DC15C}"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0.81433</cdr:x>
      <cdr:y>0.67814</cdr:y>
    </cdr:from>
    <cdr:to>
      <cdr:x>0.97329</cdr:x>
      <cdr:y>0.82871</cdr:y>
    </cdr:to>
    <cdr:sp macro="" textlink="'結果(改修後)'!$X$42">
      <cdr:nvSpPr>
        <cdr:cNvPr id="66571" name="Text Box 11"/>
        <cdr:cNvSpPr txBox="1">
          <a:spLocks xmlns:a="http://schemas.openxmlformats.org/drawingml/2006/main" noChangeArrowheads="1" noTextEdit="1"/>
        </cdr:cNvSpPr>
      </cdr:nvSpPr>
      <cdr:spPr bwMode="auto">
        <a:xfrm xmlns:a="http://schemas.openxmlformats.org/drawingml/2006/main">
          <a:off x="2043123" y="1127087"/>
          <a:ext cx="398223" cy="2495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49CB09B9-636C-470C-B436-EE60BC1B09A1}"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11</xdr:col>
      <xdr:colOff>314325</xdr:colOff>
      <xdr:row>56</xdr:row>
      <xdr:rowOff>28575</xdr:rowOff>
    </xdr:from>
    <xdr:to>
      <xdr:col>14</xdr:col>
      <xdr:colOff>567525</xdr:colOff>
      <xdr:row>56</xdr:row>
      <xdr:rowOff>28575</xdr:rowOff>
    </xdr:to>
    <xdr:cxnSp macro="">
      <xdr:nvCxnSpPr>
        <xdr:cNvPr id="6" name="直線コネクタ 5"/>
        <xdr:cNvCxnSpPr/>
      </xdr:nvCxnSpPr>
      <xdr:spPr>
        <a:xfrm>
          <a:off x="7029450" y="10544175"/>
          <a:ext cx="2844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56</xdr:row>
      <xdr:rowOff>19050</xdr:rowOff>
    </xdr:from>
    <xdr:to>
      <xdr:col>10</xdr:col>
      <xdr:colOff>728325</xdr:colOff>
      <xdr:row>56</xdr:row>
      <xdr:rowOff>19050</xdr:rowOff>
    </xdr:to>
    <xdr:cxnSp macro="">
      <xdr:nvCxnSpPr>
        <xdr:cNvPr id="62" name="直線コネクタ 61"/>
        <xdr:cNvCxnSpPr/>
      </xdr:nvCxnSpPr>
      <xdr:spPr>
        <a:xfrm>
          <a:off x="3838575" y="10534650"/>
          <a:ext cx="270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57150</xdr:colOff>
      <xdr:row>56</xdr:row>
      <xdr:rowOff>19050</xdr:rowOff>
    </xdr:from>
    <xdr:to>
      <xdr:col>6</xdr:col>
      <xdr:colOff>397200</xdr:colOff>
      <xdr:row>56</xdr:row>
      <xdr:rowOff>19050</xdr:rowOff>
    </xdr:to>
    <xdr:cxnSp macro="">
      <xdr:nvCxnSpPr>
        <xdr:cNvPr id="63" name="直線コネクタ 62"/>
        <xdr:cNvCxnSpPr/>
      </xdr:nvCxnSpPr>
      <xdr:spPr>
        <a:xfrm>
          <a:off x="276225" y="10534650"/>
          <a:ext cx="298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314325</xdr:colOff>
      <xdr:row>45</xdr:row>
      <xdr:rowOff>19050</xdr:rowOff>
    </xdr:from>
    <xdr:to>
      <xdr:col>14</xdr:col>
      <xdr:colOff>531525</xdr:colOff>
      <xdr:row>45</xdr:row>
      <xdr:rowOff>19050</xdr:rowOff>
    </xdr:to>
    <xdr:cxnSp macro="">
      <xdr:nvCxnSpPr>
        <xdr:cNvPr id="64" name="直線コネクタ 63"/>
        <xdr:cNvCxnSpPr/>
      </xdr:nvCxnSpPr>
      <xdr:spPr>
        <a:xfrm>
          <a:off x="7029450" y="8391525"/>
          <a:ext cx="280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45</xdr:row>
      <xdr:rowOff>28575</xdr:rowOff>
    </xdr:from>
    <xdr:to>
      <xdr:col>10</xdr:col>
      <xdr:colOff>747375</xdr:colOff>
      <xdr:row>45</xdr:row>
      <xdr:rowOff>28575</xdr:rowOff>
    </xdr:to>
    <xdr:cxnSp macro="">
      <xdr:nvCxnSpPr>
        <xdr:cNvPr id="65" name="直線コネクタ 64"/>
        <xdr:cNvCxnSpPr/>
      </xdr:nvCxnSpPr>
      <xdr:spPr>
        <a:xfrm>
          <a:off x="3857625" y="8401050"/>
          <a:ext cx="270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76200</xdr:colOff>
      <xdr:row>45</xdr:row>
      <xdr:rowOff>9525</xdr:rowOff>
    </xdr:from>
    <xdr:to>
      <xdr:col>6</xdr:col>
      <xdr:colOff>416250</xdr:colOff>
      <xdr:row>45</xdr:row>
      <xdr:rowOff>9525</xdr:rowOff>
    </xdr:to>
    <xdr:cxnSp macro="">
      <xdr:nvCxnSpPr>
        <xdr:cNvPr id="66" name="直線コネクタ 65"/>
        <xdr:cNvCxnSpPr/>
      </xdr:nvCxnSpPr>
      <xdr:spPr>
        <a:xfrm>
          <a:off x="295275" y="8382000"/>
          <a:ext cx="298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92</xdr:row>
      <xdr:rowOff>66675</xdr:rowOff>
    </xdr:from>
    <xdr:to>
      <xdr:col>15</xdr:col>
      <xdr:colOff>0</xdr:colOff>
      <xdr:row>96</xdr:row>
      <xdr:rowOff>104775</xdr:rowOff>
    </xdr:to>
    <xdr:sp macro="" textlink="">
      <xdr:nvSpPr>
        <xdr:cNvPr id="15390" name="Text Box 141"/>
        <xdr:cNvSpPr txBox="1">
          <a:spLocks noChangeArrowheads="1"/>
        </xdr:cNvSpPr>
      </xdr:nvSpPr>
      <xdr:spPr bwMode="auto">
        <a:xfrm>
          <a:off x="47625" y="14573250"/>
          <a:ext cx="10125075" cy="76200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114300</xdr:colOff>
      <xdr:row>52</xdr:row>
      <xdr:rowOff>85725</xdr:rowOff>
    </xdr:from>
    <xdr:to>
      <xdr:col>14</xdr:col>
      <xdr:colOff>619125</xdr:colOff>
      <xdr:row>60</xdr:row>
      <xdr:rowOff>114300</xdr:rowOff>
    </xdr:to>
    <xdr:graphicFrame macro="">
      <xdr:nvGraphicFramePr>
        <xdr:cNvPr id="153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257175</xdr:colOff>
      <xdr:row>52</xdr:row>
      <xdr:rowOff>76200</xdr:rowOff>
    </xdr:from>
    <xdr:to>
      <xdr:col>10</xdr:col>
      <xdr:colOff>771525</xdr:colOff>
      <xdr:row>60</xdr:row>
      <xdr:rowOff>114300</xdr:rowOff>
    </xdr:to>
    <xdr:graphicFrame macro="">
      <xdr:nvGraphicFramePr>
        <xdr:cNvPr id="1536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52</xdr:row>
      <xdr:rowOff>76200</xdr:rowOff>
    </xdr:from>
    <xdr:to>
      <xdr:col>6</xdr:col>
      <xdr:colOff>428625</xdr:colOff>
      <xdr:row>60</xdr:row>
      <xdr:rowOff>123825</xdr:rowOff>
    </xdr:to>
    <xdr:graphicFrame macro="">
      <xdr:nvGraphicFramePr>
        <xdr:cNvPr id="1536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41</xdr:row>
      <xdr:rowOff>66675</xdr:rowOff>
    </xdr:from>
    <xdr:to>
      <xdr:col>6</xdr:col>
      <xdr:colOff>447675</xdr:colOff>
      <xdr:row>49</xdr:row>
      <xdr:rowOff>123825</xdr:rowOff>
    </xdr:to>
    <xdr:graphicFrame macro="">
      <xdr:nvGraphicFramePr>
        <xdr:cNvPr id="1536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95250</xdr:colOff>
      <xdr:row>41</xdr:row>
      <xdr:rowOff>76200</xdr:rowOff>
    </xdr:from>
    <xdr:to>
      <xdr:col>14</xdr:col>
      <xdr:colOff>619125</xdr:colOff>
      <xdr:row>49</xdr:row>
      <xdr:rowOff>142875</xdr:rowOff>
    </xdr:to>
    <xdr:graphicFrame macro="">
      <xdr:nvGraphicFramePr>
        <xdr:cNvPr id="1536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590550</xdr:colOff>
      <xdr:row>59</xdr:row>
      <xdr:rowOff>47625</xdr:rowOff>
    </xdr:from>
    <xdr:to>
      <xdr:col>8</xdr:col>
      <xdr:colOff>161925</xdr:colOff>
      <xdr:row>60</xdr:row>
      <xdr:rowOff>123825</xdr:rowOff>
    </xdr:to>
    <xdr:sp macro="" textlink="">
      <xdr:nvSpPr>
        <xdr:cNvPr id="15366" name="Text Box 7"/>
        <xdr:cNvSpPr txBox="1">
          <a:spLocks noChangeArrowheads="1"/>
        </xdr:cNvSpPr>
      </xdr:nvSpPr>
      <xdr:spPr bwMode="auto">
        <a:xfrm>
          <a:off x="3952875" y="11163300"/>
          <a:ext cx="5524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771525</xdr:colOff>
      <xdr:row>21</xdr:row>
      <xdr:rowOff>180975</xdr:rowOff>
    </xdr:from>
    <xdr:to>
      <xdr:col>16</xdr:col>
      <xdr:colOff>19050</xdr:colOff>
      <xdr:row>37</xdr:row>
      <xdr:rowOff>85725</xdr:rowOff>
    </xdr:to>
    <xdr:graphicFrame macro="">
      <xdr:nvGraphicFramePr>
        <xdr:cNvPr id="1536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276225</xdr:colOff>
      <xdr:row>41</xdr:row>
      <xdr:rowOff>76200</xdr:rowOff>
    </xdr:from>
    <xdr:to>
      <xdr:col>10</xdr:col>
      <xdr:colOff>790575</xdr:colOff>
      <xdr:row>49</xdr:row>
      <xdr:rowOff>133350</xdr:rowOff>
    </xdr:to>
    <xdr:graphicFrame macro="">
      <xdr:nvGraphicFramePr>
        <xdr:cNvPr id="1536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123825</xdr:colOff>
      <xdr:row>25</xdr:row>
      <xdr:rowOff>123825</xdr:rowOff>
    </xdr:from>
    <xdr:to>
      <xdr:col>6</xdr:col>
      <xdr:colOff>104775</xdr:colOff>
      <xdr:row>38</xdr:row>
      <xdr:rowOff>66675</xdr:rowOff>
    </xdr:to>
    <xdr:graphicFrame macro="">
      <xdr:nvGraphicFramePr>
        <xdr:cNvPr id="1536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180975</xdr:colOff>
      <xdr:row>48</xdr:row>
      <xdr:rowOff>95250</xdr:rowOff>
    </xdr:from>
    <xdr:to>
      <xdr:col>2</xdr:col>
      <xdr:colOff>666750</xdr:colOff>
      <xdr:row>49</xdr:row>
      <xdr:rowOff>47625</xdr:rowOff>
    </xdr:to>
    <xdr:sp macro="" textlink="">
      <xdr:nvSpPr>
        <xdr:cNvPr id="15370" name="Text Box 20"/>
        <xdr:cNvSpPr txBox="1">
          <a:spLocks noChangeArrowheads="1"/>
        </xdr:cNvSpPr>
      </xdr:nvSpPr>
      <xdr:spPr bwMode="auto">
        <a:xfrm>
          <a:off x="400050" y="9039225"/>
          <a:ext cx="485775"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657225</xdr:colOff>
      <xdr:row>48</xdr:row>
      <xdr:rowOff>95250</xdr:rowOff>
    </xdr:from>
    <xdr:to>
      <xdr:col>8</xdr:col>
      <xdr:colOff>180975</xdr:colOff>
      <xdr:row>49</xdr:row>
      <xdr:rowOff>47625</xdr:rowOff>
    </xdr:to>
    <xdr:sp macro="" textlink="">
      <xdr:nvSpPr>
        <xdr:cNvPr id="15371" name="Text Box 21"/>
        <xdr:cNvSpPr txBox="1">
          <a:spLocks noChangeArrowheads="1"/>
        </xdr:cNvSpPr>
      </xdr:nvSpPr>
      <xdr:spPr bwMode="auto">
        <a:xfrm>
          <a:off x="4019550" y="9039225"/>
          <a:ext cx="504825"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571500</xdr:colOff>
      <xdr:row>48</xdr:row>
      <xdr:rowOff>104775</xdr:rowOff>
    </xdr:from>
    <xdr:ext cx="410369" cy="133370"/>
    <xdr:sp macro="" textlink="">
      <xdr:nvSpPr>
        <xdr:cNvPr id="5142" name="Text Box 22"/>
        <xdr:cNvSpPr txBox="1">
          <a:spLocks noChangeArrowheads="1"/>
        </xdr:cNvSpPr>
      </xdr:nvSpPr>
      <xdr:spPr bwMode="auto">
        <a:xfrm>
          <a:off x="7286625" y="9048750"/>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485775</xdr:colOff>
      <xdr:row>59</xdr:row>
      <xdr:rowOff>47625</xdr:rowOff>
    </xdr:from>
    <xdr:to>
      <xdr:col>9</xdr:col>
      <xdr:colOff>647700</xdr:colOff>
      <xdr:row>60</xdr:row>
      <xdr:rowOff>123825</xdr:rowOff>
    </xdr:to>
    <xdr:sp macro="" textlink="">
      <xdr:nvSpPr>
        <xdr:cNvPr id="15373" name="Text Box 104"/>
        <xdr:cNvSpPr txBox="1">
          <a:spLocks noChangeArrowheads="1"/>
        </xdr:cNvSpPr>
      </xdr:nvSpPr>
      <xdr:spPr bwMode="auto">
        <a:xfrm>
          <a:off x="4829175" y="11163300"/>
          <a:ext cx="7048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47625</xdr:colOff>
      <xdr:row>48</xdr:row>
      <xdr:rowOff>47625</xdr:rowOff>
    </xdr:from>
    <xdr:to>
      <xdr:col>9</xdr:col>
      <xdr:colOff>542925</xdr:colOff>
      <xdr:row>49</xdr:row>
      <xdr:rowOff>123825</xdr:rowOff>
    </xdr:to>
    <xdr:sp macro="" textlink="">
      <xdr:nvSpPr>
        <xdr:cNvPr id="15374" name="Text Box 107"/>
        <xdr:cNvSpPr txBox="1">
          <a:spLocks noChangeArrowheads="1"/>
        </xdr:cNvSpPr>
      </xdr:nvSpPr>
      <xdr:spPr bwMode="auto">
        <a:xfrm>
          <a:off x="4933950" y="8991600"/>
          <a:ext cx="495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28575</xdr:colOff>
      <xdr:row>48</xdr:row>
      <xdr:rowOff>47625</xdr:rowOff>
    </xdr:from>
    <xdr:to>
      <xdr:col>10</xdr:col>
      <xdr:colOff>533400</xdr:colOff>
      <xdr:row>49</xdr:row>
      <xdr:rowOff>123825</xdr:rowOff>
    </xdr:to>
    <xdr:sp macro="" textlink="">
      <xdr:nvSpPr>
        <xdr:cNvPr id="15375" name="Text Box 108"/>
        <xdr:cNvSpPr txBox="1">
          <a:spLocks noChangeArrowheads="1"/>
        </xdr:cNvSpPr>
      </xdr:nvSpPr>
      <xdr:spPr bwMode="auto">
        <a:xfrm>
          <a:off x="5838825" y="8991600"/>
          <a:ext cx="5048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495300</xdr:colOff>
      <xdr:row>48</xdr:row>
      <xdr:rowOff>47625</xdr:rowOff>
    </xdr:from>
    <xdr:to>
      <xdr:col>13</xdr:col>
      <xdr:colOff>142875</xdr:colOff>
      <xdr:row>49</xdr:row>
      <xdr:rowOff>123825</xdr:rowOff>
    </xdr:to>
    <xdr:sp macro="" textlink="">
      <xdr:nvSpPr>
        <xdr:cNvPr id="15376" name="Text Box 109"/>
        <xdr:cNvSpPr txBox="1">
          <a:spLocks noChangeArrowheads="1"/>
        </xdr:cNvSpPr>
      </xdr:nvSpPr>
      <xdr:spPr bwMode="auto">
        <a:xfrm>
          <a:off x="8029575" y="8991600"/>
          <a:ext cx="5524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523875</xdr:colOff>
      <xdr:row>48</xdr:row>
      <xdr:rowOff>47625</xdr:rowOff>
    </xdr:from>
    <xdr:to>
      <xdr:col>14</xdr:col>
      <xdr:colOff>342900</xdr:colOff>
      <xdr:row>49</xdr:row>
      <xdr:rowOff>123825</xdr:rowOff>
    </xdr:to>
    <xdr:sp macro="" textlink="">
      <xdr:nvSpPr>
        <xdr:cNvPr id="15377" name="Text Box 110"/>
        <xdr:cNvSpPr txBox="1">
          <a:spLocks noChangeArrowheads="1"/>
        </xdr:cNvSpPr>
      </xdr:nvSpPr>
      <xdr:spPr bwMode="auto">
        <a:xfrm>
          <a:off x="8963025" y="8991600"/>
          <a:ext cx="6858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666750</xdr:colOff>
      <xdr:row>21</xdr:row>
      <xdr:rowOff>180975</xdr:rowOff>
    </xdr:from>
    <xdr:to>
      <xdr:col>6</xdr:col>
      <xdr:colOff>466725</xdr:colOff>
      <xdr:row>25</xdr:row>
      <xdr:rowOff>9525</xdr:rowOff>
    </xdr:to>
    <xdr:graphicFrame macro="">
      <xdr:nvGraphicFramePr>
        <xdr:cNvPr id="1537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38100</xdr:colOff>
      <xdr:row>24</xdr:row>
      <xdr:rowOff>123825</xdr:rowOff>
    </xdr:from>
    <xdr:to>
      <xdr:col>7</xdr:col>
      <xdr:colOff>133350</xdr:colOff>
      <xdr:row>25</xdr:row>
      <xdr:rowOff>152400</xdr:rowOff>
    </xdr:to>
    <xdr:sp macro="" textlink="">
      <xdr:nvSpPr>
        <xdr:cNvPr id="15379" name="Text Box 129"/>
        <xdr:cNvSpPr txBox="1">
          <a:spLocks noChangeArrowheads="1"/>
        </xdr:cNvSpPr>
      </xdr:nvSpPr>
      <xdr:spPr bwMode="auto">
        <a:xfrm>
          <a:off x="257175" y="4410075"/>
          <a:ext cx="3238500"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twoCellAnchor>
  <xdr:oneCellAnchor>
    <xdr:from>
      <xdr:col>13</xdr:col>
      <xdr:colOff>276225</xdr:colOff>
      <xdr:row>40</xdr:row>
      <xdr:rowOff>180975</xdr:rowOff>
    </xdr:from>
    <xdr:ext cx="779957" cy="201850"/>
    <xdr:sp macro="" textlink="">
      <xdr:nvSpPr>
        <xdr:cNvPr id="5255" name="Text Box 135"/>
        <xdr:cNvSpPr txBox="1">
          <a:spLocks noChangeArrowheads="1"/>
        </xdr:cNvSpPr>
      </xdr:nvSpPr>
      <xdr:spPr bwMode="auto">
        <a:xfrm>
          <a:off x="8715375" y="76009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228600</xdr:colOff>
      <xdr:row>51</xdr:row>
      <xdr:rowOff>180975</xdr:rowOff>
    </xdr:from>
    <xdr:ext cx="845040" cy="201850"/>
    <xdr:sp macro="" textlink="">
      <xdr:nvSpPr>
        <xdr:cNvPr id="5256" name="Text Box 136"/>
        <xdr:cNvSpPr txBox="1">
          <a:spLocks noChangeArrowheads="1"/>
        </xdr:cNvSpPr>
      </xdr:nvSpPr>
      <xdr:spPr bwMode="auto">
        <a:xfrm>
          <a:off x="8667750" y="97345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51</xdr:row>
      <xdr:rowOff>171450</xdr:rowOff>
    </xdr:from>
    <xdr:ext cx="845040" cy="201850"/>
    <xdr:sp macro="" textlink="">
      <xdr:nvSpPr>
        <xdr:cNvPr id="5257" name="Text Box 137"/>
        <xdr:cNvSpPr txBox="1">
          <a:spLocks noChangeArrowheads="1"/>
        </xdr:cNvSpPr>
      </xdr:nvSpPr>
      <xdr:spPr bwMode="auto">
        <a:xfrm>
          <a:off x="4838700" y="97250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19050</xdr:colOff>
      <xdr:row>40</xdr:row>
      <xdr:rowOff>171450</xdr:rowOff>
    </xdr:from>
    <xdr:ext cx="779957" cy="201850"/>
    <xdr:sp macro="" textlink="">
      <xdr:nvSpPr>
        <xdr:cNvPr id="5258" name="Text Box 138"/>
        <xdr:cNvSpPr txBox="1">
          <a:spLocks noChangeArrowheads="1"/>
        </xdr:cNvSpPr>
      </xdr:nvSpPr>
      <xdr:spPr bwMode="auto">
        <a:xfrm>
          <a:off x="4905375" y="75914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304800</xdr:colOff>
      <xdr:row>40</xdr:row>
      <xdr:rowOff>171450</xdr:rowOff>
    </xdr:from>
    <xdr:ext cx="779957" cy="201850"/>
    <xdr:sp macro="" textlink="">
      <xdr:nvSpPr>
        <xdr:cNvPr id="5259" name="Text Box 139"/>
        <xdr:cNvSpPr txBox="1">
          <a:spLocks noChangeArrowheads="1"/>
        </xdr:cNvSpPr>
      </xdr:nvSpPr>
      <xdr:spPr bwMode="auto">
        <a:xfrm>
          <a:off x="1952625" y="75914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219075</xdr:colOff>
      <xdr:row>51</xdr:row>
      <xdr:rowOff>180975</xdr:rowOff>
    </xdr:from>
    <xdr:ext cx="845040" cy="201850"/>
    <xdr:sp macro="" textlink="">
      <xdr:nvSpPr>
        <xdr:cNvPr id="5260" name="Text Box 140"/>
        <xdr:cNvSpPr txBox="1">
          <a:spLocks noChangeArrowheads="1"/>
        </xdr:cNvSpPr>
      </xdr:nvSpPr>
      <xdr:spPr bwMode="auto">
        <a:xfrm>
          <a:off x="1866900" y="97345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895350</xdr:colOff>
      <xdr:row>48</xdr:row>
      <xdr:rowOff>104775</xdr:rowOff>
    </xdr:from>
    <xdr:to>
      <xdr:col>4</xdr:col>
      <xdr:colOff>38100</xdr:colOff>
      <xdr:row>49</xdr:row>
      <xdr:rowOff>28575</xdr:rowOff>
    </xdr:to>
    <xdr:sp macro="" textlink="">
      <xdr:nvSpPr>
        <xdr:cNvPr id="15391" name="Text Box 142"/>
        <xdr:cNvSpPr txBox="1">
          <a:spLocks noChangeArrowheads="1"/>
        </xdr:cNvSpPr>
      </xdr:nvSpPr>
      <xdr:spPr bwMode="auto">
        <a:xfrm>
          <a:off x="1114425" y="9048750"/>
          <a:ext cx="571500" cy="114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276225</xdr:colOff>
      <xdr:row>48</xdr:row>
      <xdr:rowOff>104775</xdr:rowOff>
    </xdr:from>
    <xdr:ext cx="660117" cy="133370"/>
    <xdr:sp macro="" textlink="">
      <xdr:nvSpPr>
        <xdr:cNvPr id="5263" name="Text Box 143"/>
        <xdr:cNvSpPr txBox="1">
          <a:spLocks noChangeArrowheads="1"/>
        </xdr:cNvSpPr>
      </xdr:nvSpPr>
      <xdr:spPr bwMode="auto">
        <a:xfrm>
          <a:off x="1924050" y="9048750"/>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133350</xdr:colOff>
      <xdr:row>48</xdr:row>
      <xdr:rowOff>95250</xdr:rowOff>
    </xdr:from>
    <xdr:to>
      <xdr:col>6</xdr:col>
      <xdr:colOff>361950</xdr:colOff>
      <xdr:row>49</xdr:row>
      <xdr:rowOff>47625</xdr:rowOff>
    </xdr:to>
    <xdr:sp macro="" textlink="">
      <xdr:nvSpPr>
        <xdr:cNvPr id="15393" name="Text Box 144"/>
        <xdr:cNvSpPr txBox="1">
          <a:spLocks noChangeArrowheads="1"/>
        </xdr:cNvSpPr>
      </xdr:nvSpPr>
      <xdr:spPr bwMode="auto">
        <a:xfrm>
          <a:off x="2524125" y="9039225"/>
          <a:ext cx="704850"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838200</xdr:colOff>
      <xdr:row>59</xdr:row>
      <xdr:rowOff>47625</xdr:rowOff>
    </xdr:from>
    <xdr:to>
      <xdr:col>10</xdr:col>
      <xdr:colOff>619125</xdr:colOff>
      <xdr:row>60</xdr:row>
      <xdr:rowOff>123825</xdr:rowOff>
    </xdr:to>
    <xdr:sp macro="" textlink="">
      <xdr:nvSpPr>
        <xdr:cNvPr id="15394" name="Text Box 145"/>
        <xdr:cNvSpPr txBox="1">
          <a:spLocks noChangeArrowheads="1"/>
        </xdr:cNvSpPr>
      </xdr:nvSpPr>
      <xdr:spPr bwMode="auto">
        <a:xfrm>
          <a:off x="5724525" y="11163300"/>
          <a:ext cx="7048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142875</xdr:colOff>
      <xdr:row>59</xdr:row>
      <xdr:rowOff>47625</xdr:rowOff>
    </xdr:from>
    <xdr:to>
      <xdr:col>2</xdr:col>
      <xdr:colOff>647700</xdr:colOff>
      <xdr:row>60</xdr:row>
      <xdr:rowOff>123825</xdr:rowOff>
    </xdr:to>
    <xdr:sp macro="" textlink="">
      <xdr:nvSpPr>
        <xdr:cNvPr id="15395" name="Text Box 23"/>
        <xdr:cNvSpPr txBox="1">
          <a:spLocks noChangeArrowheads="1"/>
        </xdr:cNvSpPr>
      </xdr:nvSpPr>
      <xdr:spPr bwMode="auto">
        <a:xfrm>
          <a:off x="361950" y="11163300"/>
          <a:ext cx="50482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885825</xdr:colOff>
      <xdr:row>59</xdr:row>
      <xdr:rowOff>47625</xdr:rowOff>
    </xdr:from>
    <xdr:to>
      <xdr:col>4</xdr:col>
      <xdr:colOff>19050</xdr:colOff>
      <xdr:row>60</xdr:row>
      <xdr:rowOff>123825</xdr:rowOff>
    </xdr:to>
    <xdr:sp macro="" textlink="">
      <xdr:nvSpPr>
        <xdr:cNvPr id="15396" name="Text Box 101"/>
        <xdr:cNvSpPr txBox="1">
          <a:spLocks noChangeArrowheads="1"/>
        </xdr:cNvSpPr>
      </xdr:nvSpPr>
      <xdr:spPr bwMode="auto">
        <a:xfrm>
          <a:off x="1104900" y="11163300"/>
          <a:ext cx="5619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152400</xdr:colOff>
      <xdr:row>59</xdr:row>
      <xdr:rowOff>47625</xdr:rowOff>
    </xdr:from>
    <xdr:to>
      <xdr:col>5</xdr:col>
      <xdr:colOff>76200</xdr:colOff>
      <xdr:row>60</xdr:row>
      <xdr:rowOff>114300</xdr:rowOff>
    </xdr:to>
    <xdr:sp macro="" textlink="">
      <xdr:nvSpPr>
        <xdr:cNvPr id="15397" name="Text Box 102"/>
        <xdr:cNvSpPr txBox="1">
          <a:spLocks noChangeArrowheads="1"/>
        </xdr:cNvSpPr>
      </xdr:nvSpPr>
      <xdr:spPr bwMode="auto">
        <a:xfrm>
          <a:off x="1800225" y="11163300"/>
          <a:ext cx="6667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295275</xdr:colOff>
      <xdr:row>59</xdr:row>
      <xdr:rowOff>47625</xdr:rowOff>
    </xdr:from>
    <xdr:to>
      <xdr:col>6</xdr:col>
      <xdr:colOff>219075</xdr:colOff>
      <xdr:row>60</xdr:row>
      <xdr:rowOff>114300</xdr:rowOff>
    </xdr:to>
    <xdr:sp macro="" textlink="">
      <xdr:nvSpPr>
        <xdr:cNvPr id="15398" name="Text Box 103"/>
        <xdr:cNvSpPr txBox="1">
          <a:spLocks noChangeArrowheads="1"/>
        </xdr:cNvSpPr>
      </xdr:nvSpPr>
      <xdr:spPr bwMode="auto">
        <a:xfrm>
          <a:off x="2686050" y="11163300"/>
          <a:ext cx="4000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419100</xdr:colOff>
      <xdr:row>59</xdr:row>
      <xdr:rowOff>38100</xdr:rowOff>
    </xdr:from>
    <xdr:to>
      <xdr:col>12</xdr:col>
      <xdr:colOff>219075</xdr:colOff>
      <xdr:row>60</xdr:row>
      <xdr:rowOff>114300</xdr:rowOff>
    </xdr:to>
    <xdr:sp macro="" textlink="">
      <xdr:nvSpPr>
        <xdr:cNvPr id="15399" name="Text Box 148"/>
        <xdr:cNvSpPr txBox="1">
          <a:spLocks noChangeArrowheads="1"/>
        </xdr:cNvSpPr>
      </xdr:nvSpPr>
      <xdr:spPr bwMode="auto">
        <a:xfrm>
          <a:off x="7134225" y="11153775"/>
          <a:ext cx="61912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409575</xdr:colOff>
      <xdr:row>59</xdr:row>
      <xdr:rowOff>38100</xdr:rowOff>
    </xdr:from>
    <xdr:to>
      <xdr:col>13</xdr:col>
      <xdr:colOff>219075</xdr:colOff>
      <xdr:row>60</xdr:row>
      <xdr:rowOff>114300</xdr:rowOff>
    </xdr:to>
    <xdr:sp macro="" textlink="">
      <xdr:nvSpPr>
        <xdr:cNvPr id="15400" name="Text Box 149"/>
        <xdr:cNvSpPr txBox="1">
          <a:spLocks noChangeArrowheads="1"/>
        </xdr:cNvSpPr>
      </xdr:nvSpPr>
      <xdr:spPr bwMode="auto">
        <a:xfrm>
          <a:off x="7943850" y="11153775"/>
          <a:ext cx="7143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428625</xdr:colOff>
      <xdr:row>59</xdr:row>
      <xdr:rowOff>38100</xdr:rowOff>
    </xdr:from>
    <xdr:to>
      <xdr:col>14</xdr:col>
      <xdr:colOff>476250</xdr:colOff>
      <xdr:row>60</xdr:row>
      <xdr:rowOff>114300</xdr:rowOff>
    </xdr:to>
    <xdr:sp macro="" textlink="">
      <xdr:nvSpPr>
        <xdr:cNvPr id="15401" name="Text Box 150"/>
        <xdr:cNvSpPr txBox="1">
          <a:spLocks noChangeArrowheads="1"/>
        </xdr:cNvSpPr>
      </xdr:nvSpPr>
      <xdr:spPr bwMode="auto">
        <a:xfrm>
          <a:off x="8867775" y="11153775"/>
          <a:ext cx="91440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1</xdr:col>
      <xdr:colOff>0</xdr:colOff>
      <xdr:row>22</xdr:row>
      <xdr:rowOff>180975</xdr:rowOff>
    </xdr:from>
    <xdr:ext cx="561975" cy="247650"/>
    <xdr:sp macro="" textlink="">
      <xdr:nvSpPr>
        <xdr:cNvPr id="15405" name="Text Box 45"/>
        <xdr:cNvSpPr txBox="1">
          <a:spLocks noChangeArrowheads="1"/>
        </xdr:cNvSpPr>
      </xdr:nvSpPr>
      <xdr:spPr bwMode="auto">
        <a:xfrm>
          <a:off x="57150" y="4086225"/>
          <a:ext cx="561975" cy="2476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ja-JP" altLang="en-US" sz="1300" b="1" i="0" u="none" strike="noStrike" baseline="0">
              <a:solidFill>
                <a:srgbClr val="000000"/>
              </a:solidFill>
              <a:latin typeface="Arial"/>
              <a:cs typeface="Arial"/>
            </a:rPr>
            <a:t>BEE = </a:t>
          </a:r>
        </a:p>
      </xdr:txBody>
    </xdr:sp>
    <xdr:clientData/>
  </xdr:oneCellAnchor>
  <xdr:oneCellAnchor>
    <xdr:from>
      <xdr:col>10</xdr:col>
      <xdr:colOff>76200</xdr:colOff>
      <xdr:row>34</xdr:row>
      <xdr:rowOff>19050</xdr:rowOff>
    </xdr:from>
    <xdr:ext cx="800100" cy="171450"/>
    <xdr:sp macro="" textlink="">
      <xdr:nvSpPr>
        <xdr:cNvPr id="15409" name="Text Box 134"/>
        <xdr:cNvSpPr txBox="1">
          <a:spLocks noChangeArrowheads="1"/>
        </xdr:cNvSpPr>
      </xdr:nvSpPr>
      <xdr:spPr bwMode="auto">
        <a:xfrm>
          <a:off x="5886450" y="6210300"/>
          <a:ext cx="800100" cy="17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123825</xdr:colOff>
      <xdr:row>24</xdr:row>
      <xdr:rowOff>152400</xdr:rowOff>
    </xdr:from>
    <xdr:ext cx="3114675" cy="152400"/>
    <xdr:sp macro="" textlink="">
      <xdr:nvSpPr>
        <xdr:cNvPr id="15410" name="Text Box 129"/>
        <xdr:cNvSpPr txBox="1">
          <a:spLocks noChangeArrowheads="1"/>
        </xdr:cNvSpPr>
      </xdr:nvSpPr>
      <xdr:spPr bwMode="auto">
        <a:xfrm>
          <a:off x="3486150" y="4438650"/>
          <a:ext cx="3114675" cy="152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419100</xdr:colOff>
      <xdr:row>21</xdr:row>
      <xdr:rowOff>152400</xdr:rowOff>
    </xdr:from>
    <xdr:to>
      <xdr:col>10</xdr:col>
      <xdr:colOff>485775</xdr:colOff>
      <xdr:row>25</xdr:row>
      <xdr:rowOff>104775</xdr:rowOff>
    </xdr:to>
    <xdr:graphicFrame macro="">
      <xdr:nvGraphicFramePr>
        <xdr:cNvPr id="15411"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27</xdr:row>
      <xdr:rowOff>0</xdr:rowOff>
    </xdr:from>
    <xdr:to>
      <xdr:col>7</xdr:col>
      <xdr:colOff>942975</xdr:colOff>
      <xdr:row>28</xdr:row>
      <xdr:rowOff>38100</xdr:rowOff>
    </xdr:to>
    <xdr:sp macro="" textlink="">
      <xdr:nvSpPr>
        <xdr:cNvPr id="15412" name="Text Box 131"/>
        <xdr:cNvSpPr txBox="1">
          <a:spLocks noChangeArrowheads="1"/>
        </xdr:cNvSpPr>
      </xdr:nvSpPr>
      <xdr:spPr bwMode="auto">
        <a:xfrm>
          <a:off x="3400425" y="4857750"/>
          <a:ext cx="904875"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28575</xdr:colOff>
      <xdr:row>28</xdr:row>
      <xdr:rowOff>114300</xdr:rowOff>
    </xdr:from>
    <xdr:to>
      <xdr:col>8</xdr:col>
      <xdr:colOff>28575</xdr:colOff>
      <xdr:row>29</xdr:row>
      <xdr:rowOff>152400</xdr:rowOff>
    </xdr:to>
    <xdr:sp macro="" textlink="">
      <xdr:nvSpPr>
        <xdr:cNvPr id="15413" name="Text Box 131"/>
        <xdr:cNvSpPr txBox="1">
          <a:spLocks noChangeArrowheads="1"/>
        </xdr:cNvSpPr>
      </xdr:nvSpPr>
      <xdr:spPr bwMode="auto">
        <a:xfrm>
          <a:off x="3390900" y="5162550"/>
          <a:ext cx="981075"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0</xdr:rowOff>
    </xdr:from>
    <xdr:to>
      <xdr:col>8</xdr:col>
      <xdr:colOff>19050</xdr:colOff>
      <xdr:row>31</xdr:row>
      <xdr:rowOff>104775</xdr:rowOff>
    </xdr:to>
    <xdr:sp macro="" textlink="">
      <xdr:nvSpPr>
        <xdr:cNvPr id="15414" name="Text Box 131"/>
        <xdr:cNvSpPr txBox="1">
          <a:spLocks noChangeArrowheads="1"/>
        </xdr:cNvSpPr>
      </xdr:nvSpPr>
      <xdr:spPr bwMode="auto">
        <a:xfrm>
          <a:off x="3381375" y="5429250"/>
          <a:ext cx="981075" cy="295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③上記+②以外の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895350</xdr:colOff>
      <xdr:row>25</xdr:row>
      <xdr:rowOff>180975</xdr:rowOff>
    </xdr:from>
    <xdr:to>
      <xdr:col>11</xdr:col>
      <xdr:colOff>19050</xdr:colOff>
      <xdr:row>34</xdr:row>
      <xdr:rowOff>161925</xdr:rowOff>
    </xdr:to>
    <xdr:graphicFrame macro="">
      <xdr:nvGraphicFramePr>
        <xdr:cNvPr id="15418"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9525</xdr:colOff>
      <xdr:row>31</xdr:row>
      <xdr:rowOff>142875</xdr:rowOff>
    </xdr:from>
    <xdr:to>
      <xdr:col>8</xdr:col>
      <xdr:colOff>314325</xdr:colOff>
      <xdr:row>33</xdr:row>
      <xdr:rowOff>57150</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11</xdr:col>
      <xdr:colOff>619124</xdr:colOff>
      <xdr:row>1</xdr:row>
      <xdr:rowOff>85725</xdr:rowOff>
    </xdr:from>
    <xdr:to>
      <xdr:col>14</xdr:col>
      <xdr:colOff>647699</xdr:colOff>
      <xdr:row>3</xdr:row>
      <xdr:rowOff>180975</xdr:rowOff>
    </xdr:to>
    <xdr:pic>
      <xdr:nvPicPr>
        <xdr:cNvPr id="51" name="Picture 4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l="69884" t="27533" b="27725"/>
        <a:stretch>
          <a:fillRect/>
        </a:stretch>
      </xdr:blipFill>
      <xdr:spPr bwMode="auto">
        <a:xfrm>
          <a:off x="7334249" y="161925"/>
          <a:ext cx="2619375"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628650</xdr:colOff>
      <xdr:row>2</xdr:row>
      <xdr:rowOff>142875</xdr:rowOff>
    </xdr:from>
    <xdr:to>
      <xdr:col>11</xdr:col>
      <xdr:colOff>638175</xdr:colOff>
      <xdr:row>3</xdr:row>
      <xdr:rowOff>133350</xdr:rowOff>
    </xdr:to>
    <xdr:sp macro="" textlink="">
      <xdr:nvSpPr>
        <xdr:cNvPr id="52" name="WordArt 68"/>
        <xdr:cNvSpPr>
          <a:spLocks noChangeArrowheads="1" noChangeShapeType="1" noTextEdit="1"/>
        </xdr:cNvSpPr>
      </xdr:nvSpPr>
      <xdr:spPr bwMode="auto">
        <a:xfrm>
          <a:off x="6438900" y="457200"/>
          <a:ext cx="914400" cy="228600"/>
        </a:xfrm>
        <a:prstGeom prst="rect">
          <a:avLst/>
        </a:prstGeom>
        <a:extLst/>
      </xdr:spPr>
      <xdr:txBody>
        <a:bodyPr wrap="none" fromWordArt="1">
          <a:prstTxWarp prst="textPlain">
            <a:avLst>
              <a:gd name="adj" fmla="val 50000"/>
            </a:avLst>
          </a:prstTxWarp>
        </a:bodyPr>
        <a:lstStyle/>
        <a:p>
          <a:pPr algn="ctr" rtl="0">
            <a:buNone/>
          </a:pPr>
          <a:r>
            <a:rPr lang="ja-JP" altLang="en-US" sz="1800" kern="10" spc="0">
              <a:ln>
                <a:noFill/>
              </a:ln>
              <a:solidFill>
                <a:srgbClr val="000000"/>
              </a:solidFill>
              <a:effectLst/>
              <a:latin typeface="ＭＳ Ｐゴシック"/>
              <a:ea typeface="ＭＳ Ｐゴシック"/>
            </a:rPr>
            <a:t>（改修前）</a:t>
          </a:r>
        </a:p>
      </xdr:txBody>
    </xdr:sp>
    <xdr:clientData/>
  </xdr:twoCellAnchor>
  <xdr:twoCellAnchor>
    <xdr:from>
      <xdr:col>1</xdr:col>
      <xdr:colOff>133350</xdr:colOff>
      <xdr:row>1</xdr:row>
      <xdr:rowOff>95250</xdr:rowOff>
    </xdr:from>
    <xdr:to>
      <xdr:col>7</xdr:col>
      <xdr:colOff>19050</xdr:colOff>
      <xdr:row>3</xdr:row>
      <xdr:rowOff>180975</xdr:rowOff>
    </xdr:to>
    <xdr:pic>
      <xdr:nvPicPr>
        <xdr:cNvPr id="54" name="Picture 71" descr="ロゴマークver1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90500" y="171450"/>
          <a:ext cx="319087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7</xdr:col>
      <xdr:colOff>47625</xdr:colOff>
      <xdr:row>0</xdr:row>
      <xdr:rowOff>0</xdr:rowOff>
    </xdr:from>
    <xdr:to>
      <xdr:col>11</xdr:col>
      <xdr:colOff>24021</xdr:colOff>
      <xdr:row>3</xdr:row>
      <xdr:rowOff>200025</xdr:rowOff>
    </xdr:to>
    <xdr:sp macro="" textlink="">
      <xdr:nvSpPr>
        <xdr:cNvPr id="55" name="Text Box 231"/>
        <xdr:cNvSpPr txBox="1">
          <a:spLocks noChangeArrowheads="1"/>
        </xdr:cNvSpPr>
      </xdr:nvSpPr>
      <xdr:spPr bwMode="auto">
        <a:xfrm>
          <a:off x="3409950" y="0"/>
          <a:ext cx="3329196" cy="752475"/>
        </a:xfrm>
        <a:prstGeom prst="rect">
          <a:avLst/>
        </a:prstGeom>
        <a:noFill/>
        <a:ln>
          <a:noFill/>
        </a:ln>
        <a:extLst/>
      </xdr:spPr>
      <xdr:txBody>
        <a:bodyPr vertOverflow="clip" wrap="square" lIns="73152" tIns="45720" rIns="0" bIns="0" anchor="t" upright="1"/>
        <a:lstStyle/>
        <a:p>
          <a:pPr algn="l" rtl="0">
            <a:defRPr sz="1000"/>
          </a:pPr>
          <a:r>
            <a:rPr lang="ja-JP" altLang="en-US" sz="4600" b="0" i="0" u="none" strike="noStrike" baseline="0">
              <a:solidFill>
                <a:srgbClr val="008000"/>
              </a:solidFill>
              <a:latin typeface="ＤＦ超極太明朝体"/>
              <a:ea typeface="ＤＦ超極太明朝体"/>
            </a:rPr>
            <a:t>京都</a:t>
          </a:r>
          <a:r>
            <a:rPr lang="en-US" altLang="ja-JP" sz="4600" b="0" i="0" u="none" strike="noStrike" baseline="0">
              <a:solidFill>
                <a:srgbClr val="008000"/>
              </a:solidFill>
              <a:latin typeface="ＤＦ超極太明朝体"/>
              <a:ea typeface="ＤＦ超極太明朝体"/>
            </a:rPr>
            <a:t>-</a:t>
          </a:r>
          <a:r>
            <a:rPr lang="ja-JP" altLang="en-US" sz="4600" b="0" i="0" u="none" strike="noStrike" baseline="0">
              <a:solidFill>
                <a:srgbClr val="008000"/>
              </a:solidFill>
              <a:latin typeface="ＤＦ超極太明朝体"/>
              <a:ea typeface="ＤＦ超極太明朝体"/>
            </a:rPr>
            <a:t>改修</a:t>
          </a:r>
        </a:p>
      </xdr:txBody>
    </xdr:sp>
    <xdr:clientData/>
  </xdr:twoCellAnchor>
  <xdr:twoCellAnchor editAs="oneCell">
    <xdr:from>
      <xdr:col>1</xdr:col>
      <xdr:colOff>47625</xdr:colOff>
      <xdr:row>41</xdr:row>
      <xdr:rowOff>57150</xdr:rowOff>
    </xdr:from>
    <xdr:to>
      <xdr:col>2</xdr:col>
      <xdr:colOff>50306</xdr:colOff>
      <xdr:row>48</xdr:row>
      <xdr:rowOff>107562</xdr:rowOff>
    </xdr:to>
    <xdr:pic>
      <xdr:nvPicPr>
        <xdr:cNvPr id="3" name="図 2"/>
        <xdr:cNvPicPr>
          <a:picLocks noChangeAspect="1"/>
        </xdr:cNvPicPr>
      </xdr:nvPicPr>
      <xdr:blipFill>
        <a:blip xmlns:r="http://schemas.openxmlformats.org/officeDocument/2006/relationships" r:embed="rId14" cstate="print"/>
        <a:stretch>
          <a:fillRect/>
        </a:stretch>
      </xdr:blipFill>
      <xdr:spPr>
        <a:xfrm>
          <a:off x="104775" y="7667625"/>
          <a:ext cx="164606" cy="1383912"/>
        </a:xfrm>
        <a:prstGeom prst="rect">
          <a:avLst/>
        </a:prstGeom>
      </xdr:spPr>
    </xdr:pic>
    <xdr:clientData/>
  </xdr:twoCellAnchor>
  <xdr:twoCellAnchor editAs="oneCell">
    <xdr:from>
      <xdr:col>1</xdr:col>
      <xdr:colOff>38100</xdr:colOff>
      <xdr:row>52</xdr:row>
      <xdr:rowOff>66675</xdr:rowOff>
    </xdr:from>
    <xdr:to>
      <xdr:col>2</xdr:col>
      <xdr:colOff>40781</xdr:colOff>
      <xdr:row>59</xdr:row>
      <xdr:rowOff>78987</xdr:rowOff>
    </xdr:to>
    <xdr:pic>
      <xdr:nvPicPr>
        <xdr:cNvPr id="56" name="図 55"/>
        <xdr:cNvPicPr>
          <a:picLocks noChangeAspect="1"/>
        </xdr:cNvPicPr>
      </xdr:nvPicPr>
      <xdr:blipFill>
        <a:blip xmlns:r="http://schemas.openxmlformats.org/officeDocument/2006/relationships" r:embed="rId14" cstate="print"/>
        <a:stretch>
          <a:fillRect/>
        </a:stretch>
      </xdr:blipFill>
      <xdr:spPr>
        <a:xfrm>
          <a:off x="95250" y="9810750"/>
          <a:ext cx="164606" cy="1383912"/>
        </a:xfrm>
        <a:prstGeom prst="rect">
          <a:avLst/>
        </a:prstGeom>
      </xdr:spPr>
    </xdr:pic>
    <xdr:clientData/>
  </xdr:twoCellAnchor>
  <xdr:twoCellAnchor editAs="oneCell">
    <xdr:from>
      <xdr:col>7</xdr:col>
      <xdr:colOff>209550</xdr:colOff>
      <xdr:row>52</xdr:row>
      <xdr:rowOff>57150</xdr:rowOff>
    </xdr:from>
    <xdr:to>
      <xdr:col>7</xdr:col>
      <xdr:colOff>447315</xdr:colOff>
      <xdr:row>59</xdr:row>
      <xdr:rowOff>124331</xdr:rowOff>
    </xdr:to>
    <xdr:pic>
      <xdr:nvPicPr>
        <xdr:cNvPr id="4" name="図 3"/>
        <xdr:cNvPicPr>
          <a:picLocks noChangeAspect="1"/>
        </xdr:cNvPicPr>
      </xdr:nvPicPr>
      <xdr:blipFill>
        <a:blip xmlns:r="http://schemas.openxmlformats.org/officeDocument/2006/relationships" r:embed="rId15" cstate="print"/>
        <a:stretch>
          <a:fillRect/>
        </a:stretch>
      </xdr:blipFill>
      <xdr:spPr>
        <a:xfrm>
          <a:off x="3571875" y="9801225"/>
          <a:ext cx="237765" cy="1438781"/>
        </a:xfrm>
        <a:prstGeom prst="rect">
          <a:avLst/>
        </a:prstGeom>
      </xdr:spPr>
    </xdr:pic>
    <xdr:clientData/>
  </xdr:twoCellAnchor>
  <xdr:twoCellAnchor editAs="oneCell">
    <xdr:from>
      <xdr:col>7</xdr:col>
      <xdr:colOff>209550</xdr:colOff>
      <xdr:row>41</xdr:row>
      <xdr:rowOff>57150</xdr:rowOff>
    </xdr:from>
    <xdr:to>
      <xdr:col>7</xdr:col>
      <xdr:colOff>447315</xdr:colOff>
      <xdr:row>48</xdr:row>
      <xdr:rowOff>162431</xdr:rowOff>
    </xdr:to>
    <xdr:pic>
      <xdr:nvPicPr>
        <xdr:cNvPr id="57" name="図 56"/>
        <xdr:cNvPicPr>
          <a:picLocks noChangeAspect="1"/>
        </xdr:cNvPicPr>
      </xdr:nvPicPr>
      <xdr:blipFill>
        <a:blip xmlns:r="http://schemas.openxmlformats.org/officeDocument/2006/relationships" r:embed="rId15" cstate="print"/>
        <a:stretch>
          <a:fillRect/>
        </a:stretch>
      </xdr:blipFill>
      <xdr:spPr>
        <a:xfrm>
          <a:off x="3571875" y="7667625"/>
          <a:ext cx="237765" cy="1438781"/>
        </a:xfrm>
        <a:prstGeom prst="rect">
          <a:avLst/>
        </a:prstGeom>
      </xdr:spPr>
    </xdr:pic>
    <xdr:clientData/>
  </xdr:twoCellAnchor>
  <xdr:twoCellAnchor editAs="oneCell">
    <xdr:from>
      <xdr:col>11</xdr:col>
      <xdr:colOff>38100</xdr:colOff>
      <xdr:row>41</xdr:row>
      <xdr:rowOff>47625</xdr:rowOff>
    </xdr:from>
    <xdr:to>
      <xdr:col>11</xdr:col>
      <xdr:colOff>275865</xdr:colOff>
      <xdr:row>48</xdr:row>
      <xdr:rowOff>152906</xdr:rowOff>
    </xdr:to>
    <xdr:pic>
      <xdr:nvPicPr>
        <xdr:cNvPr id="58" name="図 57"/>
        <xdr:cNvPicPr>
          <a:picLocks noChangeAspect="1"/>
        </xdr:cNvPicPr>
      </xdr:nvPicPr>
      <xdr:blipFill>
        <a:blip xmlns:r="http://schemas.openxmlformats.org/officeDocument/2006/relationships" r:embed="rId15" cstate="print"/>
        <a:stretch>
          <a:fillRect/>
        </a:stretch>
      </xdr:blipFill>
      <xdr:spPr>
        <a:xfrm>
          <a:off x="6753225" y="7658100"/>
          <a:ext cx="237765" cy="1438781"/>
        </a:xfrm>
        <a:prstGeom prst="rect">
          <a:avLst/>
        </a:prstGeom>
      </xdr:spPr>
    </xdr:pic>
    <xdr:clientData/>
  </xdr:twoCellAnchor>
  <xdr:twoCellAnchor editAs="oneCell">
    <xdr:from>
      <xdr:col>11</xdr:col>
      <xdr:colOff>47625</xdr:colOff>
      <xdr:row>52</xdr:row>
      <xdr:rowOff>76200</xdr:rowOff>
    </xdr:from>
    <xdr:to>
      <xdr:col>11</xdr:col>
      <xdr:colOff>285390</xdr:colOff>
      <xdr:row>59</xdr:row>
      <xdr:rowOff>143381</xdr:rowOff>
    </xdr:to>
    <xdr:pic>
      <xdr:nvPicPr>
        <xdr:cNvPr id="59" name="図 58"/>
        <xdr:cNvPicPr>
          <a:picLocks noChangeAspect="1"/>
        </xdr:cNvPicPr>
      </xdr:nvPicPr>
      <xdr:blipFill>
        <a:blip xmlns:r="http://schemas.openxmlformats.org/officeDocument/2006/relationships" r:embed="rId15" cstate="print"/>
        <a:stretch>
          <a:fillRect/>
        </a:stretch>
      </xdr:blipFill>
      <xdr:spPr>
        <a:xfrm>
          <a:off x="6762750" y="9820275"/>
          <a:ext cx="237765" cy="1438781"/>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結果(改修前)'!$Z$59">
      <cdr:nvSpPr>
        <cdr:cNvPr id="16385"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4B1CA0A3-53E7-4281-8EA1-6B5F2A864BBB}" type="TxLink">
            <a:rPr lang="ja-JP" altLang="en-US" sz="1100" b="0" i="0" u="none" strike="noStrike" baseline="0">
              <a:solidFill>
                <a:srgbClr val="000000"/>
              </a:solidFill>
              <a:latin typeface="Arial"/>
              <a:cs typeface="Arial"/>
            </a:rPr>
            <a:pPr algn="ctr" rtl="0">
              <a:defRPr sz="1000"/>
            </a:pPr>
            <a:t>#DIV/0!</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0.43772</cdr:x>
      <cdr:y>0.63313</cdr:y>
    </cdr:from>
    <cdr:to>
      <cdr:x>0.6122</cdr:x>
      <cdr:y>0.76955</cdr:y>
    </cdr:to>
    <cdr:sp macro="" textlink="'結果(改修前)'!$Z$60">
      <cdr:nvSpPr>
        <cdr:cNvPr id="16386"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9433C6B-B588-4597-A3DE-1673EBE704DC}"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0.74063</cdr:x>
      <cdr:y>0.63313</cdr:y>
    </cdr:from>
    <cdr:to>
      <cdr:x>0.9139</cdr:x>
      <cdr:y>0.76955</cdr:y>
    </cdr:to>
    <cdr:sp macro="" textlink="'結果(改修前)'!$Z$61">
      <cdr:nvSpPr>
        <cdr:cNvPr id="16387"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EC0373C-95EF-4DF3-AB9C-3CCB59B8B651}"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13.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結果(改修前)'!$W$59">
      <cdr:nvSpPr>
        <cdr:cNvPr id="17409"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779286D9-BFCF-4138-B0DB-67E74FDCEF32}"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0.43539</cdr:x>
      <cdr:y>0.63506</cdr:y>
    </cdr:from>
    <cdr:to>
      <cdr:x>0.60599</cdr:x>
      <cdr:y>0.77035</cdr:y>
    </cdr:to>
    <cdr:sp macro="" textlink="'結果(改修前)'!$W$60">
      <cdr:nvSpPr>
        <cdr:cNvPr id="17410"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227AB838-B143-44B7-B7BC-FA84AD92F051}"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0.74392</cdr:x>
      <cdr:y>0.63506</cdr:y>
    </cdr:from>
    <cdr:to>
      <cdr:x>0.90702</cdr:x>
      <cdr:y>0.77035</cdr:y>
    </cdr:to>
    <cdr:sp macro="" textlink="'結果(改修前)'!$W$61">
      <cdr:nvSpPr>
        <cdr:cNvPr id="17411"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E002A9A-13AA-4F58-99B5-937DAD47D537}"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14.xml><?xml version="1.0" encoding="utf-8"?>
<c:userShapes xmlns:c="http://schemas.openxmlformats.org/drawingml/2006/chart">
  <cdr:relSizeAnchor xmlns:cdr="http://schemas.openxmlformats.org/drawingml/2006/chartDrawing">
    <cdr:from>
      <cdr:x>0.09963</cdr:x>
      <cdr:y>0.63158</cdr:y>
    </cdr:from>
    <cdr:to>
      <cdr:x>0.25347</cdr:x>
      <cdr:y>0.76598</cdr:y>
    </cdr:to>
    <cdr:sp macro="" textlink="'結果(改修前)'!$T$59">
      <cdr:nvSpPr>
        <cdr:cNvPr id="18433" name="Text Box 1"/>
        <cdr:cNvSpPr txBox="1">
          <a:spLocks xmlns:a="http://schemas.openxmlformats.org/drawingml/2006/main" noChangeArrowheads="1" noTextEdit="1"/>
        </cdr:cNvSpPr>
      </cdr:nvSpPr>
      <cdr:spPr bwMode="auto">
        <a:xfrm xmlns:a="http://schemas.openxmlformats.org/drawingml/2006/main">
          <a:off x="325834" y="1031873"/>
          <a:ext cx="498206"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1185D7F4-236B-4DDA-B989-9F820F11BDE7}" type="TxLink">
            <a:rPr lang="ja-JP" altLang="en-US" sz="1100" b="0" i="0" u="none" strike="noStrike">
              <a:solidFill>
                <a:srgbClr val="000000"/>
              </a:solidFill>
              <a:latin typeface="Arialシック"/>
            </a:rPr>
            <a:pPr algn="ctr" rtl="0">
              <a:defRPr sz="1000"/>
            </a:pPr>
            <a:t>N.A.</a:t>
          </a:fld>
          <a:endParaRPr lang="ja-JP" altLang="en-US"/>
        </a:p>
      </cdr:txBody>
    </cdr:sp>
  </cdr:relSizeAnchor>
  <cdr:relSizeAnchor xmlns:cdr="http://schemas.openxmlformats.org/drawingml/2006/chartDrawing">
    <cdr:from>
      <cdr:x>0.32602</cdr:x>
      <cdr:y>0.63158</cdr:y>
    </cdr:from>
    <cdr:to>
      <cdr:x>0.48253</cdr:x>
      <cdr:y>0.76598</cdr:y>
    </cdr:to>
    <cdr:sp macro="" textlink="'結果(改修前)'!$T$60">
      <cdr:nvSpPr>
        <cdr:cNvPr id="18434" name="Text Box 2"/>
        <cdr:cNvSpPr txBox="1">
          <a:spLocks xmlns:a="http://schemas.openxmlformats.org/drawingml/2006/main" noChangeArrowheads="1" noTextEdit="1"/>
        </cdr:cNvSpPr>
      </cdr:nvSpPr>
      <cdr:spPr bwMode="auto">
        <a:xfrm xmlns:a="http://schemas.openxmlformats.org/drawingml/2006/main">
          <a:off x="1058997" y="1031873"/>
          <a:ext cx="506850"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65F26830-ECA9-46A6-961F-314FB15BD5DF}"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0.55896</cdr:x>
      <cdr:y>0.63158</cdr:y>
    </cdr:from>
    <cdr:to>
      <cdr:x>0.71474</cdr:x>
      <cdr:y>0.76598</cdr:y>
    </cdr:to>
    <cdr:sp macro="" textlink="'結果(改修前)'!$T$61">
      <cdr:nvSpPr>
        <cdr:cNvPr id="18435" name="Text Box 3"/>
        <cdr:cNvSpPr txBox="1">
          <a:spLocks xmlns:a="http://schemas.openxmlformats.org/drawingml/2006/main" noChangeArrowheads="1" noTextEdit="1"/>
        </cdr:cNvSpPr>
      </cdr:nvSpPr>
      <cdr:spPr bwMode="auto">
        <a:xfrm xmlns:a="http://schemas.openxmlformats.org/drawingml/2006/main">
          <a:off x="1813377" y="1031873"/>
          <a:ext cx="504492"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5866447-A76E-40C3-BB26-93318624F576}"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0.79093</cdr:x>
      <cdr:y>0.63158</cdr:y>
    </cdr:from>
    <cdr:to>
      <cdr:x>0.95035</cdr:x>
      <cdr:y>0.76598</cdr:y>
    </cdr:to>
    <cdr:sp macro="" textlink="'結果(改修前)'!$T$62">
      <cdr:nvSpPr>
        <cdr:cNvPr id="18436" name="Text Box 4"/>
        <cdr:cNvSpPr txBox="1">
          <a:spLocks xmlns:a="http://schemas.openxmlformats.org/drawingml/2006/main" noChangeArrowheads="1" noTextEdit="1"/>
        </cdr:cNvSpPr>
      </cdr:nvSpPr>
      <cdr:spPr bwMode="auto">
        <a:xfrm xmlns:a="http://schemas.openxmlformats.org/drawingml/2006/main">
          <a:off x="2564614" y="1031873"/>
          <a:ext cx="516279" cy="218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E982D91-77ED-408D-9829-E650A4CACCAF}"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15.xml><?xml version="1.0" encoding="utf-8"?>
<c:userShapes xmlns:c="http://schemas.openxmlformats.org/drawingml/2006/chart">
  <cdr:relSizeAnchor xmlns:cdr="http://schemas.openxmlformats.org/drawingml/2006/chartDrawing">
    <cdr:from>
      <cdr:x>0.11224</cdr:x>
      <cdr:y>0.62952</cdr:y>
    </cdr:from>
    <cdr:to>
      <cdr:x>0.25376</cdr:x>
      <cdr:y>0.76626</cdr:y>
    </cdr:to>
    <cdr:sp macro="" textlink="'結果(改修前)'!$T$48">
      <cdr:nvSpPr>
        <cdr:cNvPr id="19457"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80A492D0-41DB-4627-912C-C4A00C84260A}"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0.33946</cdr:x>
      <cdr:y>0.62952</cdr:y>
    </cdr:from>
    <cdr:to>
      <cdr:x>0.48657</cdr:x>
      <cdr:y>0.76626</cdr:y>
    </cdr:to>
    <cdr:sp macro="" textlink="'結果(改修前)'!$T$49">
      <cdr:nvSpPr>
        <cdr:cNvPr id="19458"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32F5244-910E-4EBA-9327-C3C7F6184A5C}"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0.56231</cdr:x>
      <cdr:y>0.62952</cdr:y>
    </cdr:from>
    <cdr:to>
      <cdr:x>0.7201</cdr:x>
      <cdr:y>0.76626</cdr:y>
    </cdr:to>
    <cdr:sp macro="" textlink="'結果(改修前)'!$T$50">
      <cdr:nvSpPr>
        <cdr:cNvPr id="19459"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2DA33A22-64C7-4103-8544-D9AB3DE5A5D2}"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0.79219</cdr:x>
      <cdr:y>0.62952</cdr:y>
    </cdr:from>
    <cdr:to>
      <cdr:x>0.93372</cdr:x>
      <cdr:y>0.76626</cdr:y>
    </cdr:to>
    <cdr:sp macro="" textlink="'結果(改修前)'!$T$51">
      <cdr:nvSpPr>
        <cdr:cNvPr id="19460"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6B7C0445-F2EF-40BD-B41C-2135419F9F7B}"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16.xml><?xml version="1.0" encoding="utf-8"?>
<c:userShapes xmlns:c="http://schemas.openxmlformats.org/drawingml/2006/chart">
  <cdr:relSizeAnchor xmlns:cdr="http://schemas.openxmlformats.org/drawingml/2006/chartDrawing">
    <cdr:from>
      <cdr:x>0.13062</cdr:x>
      <cdr:y>0.62062</cdr:y>
    </cdr:from>
    <cdr:to>
      <cdr:x>0.29422</cdr:x>
      <cdr:y>0.75628</cdr:y>
    </cdr:to>
    <cdr:sp macro="" textlink="'結果(改修前)'!$Z$48">
      <cdr:nvSpPr>
        <cdr:cNvPr id="20481" name="Text Box 1"/>
        <cdr:cNvSpPr txBox="1">
          <a:spLocks xmlns:a="http://schemas.openxmlformats.org/drawingml/2006/main" noChangeArrowheads="1" noTextEdit="1"/>
        </cdr:cNvSpPr>
      </cdr:nvSpPr>
      <cdr:spPr bwMode="auto">
        <a:xfrm xmlns:a="http://schemas.openxmlformats.org/drawingml/2006/main">
          <a:off x="411245" y="996285"/>
          <a:ext cx="511135"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B893CD96-D42F-4318-9550-457CC9C748F1}" type="TxLink">
            <a:rPr lang="ja-JP" altLang="en-US"/>
            <a:pPr algn="ctr" rtl="0">
              <a:defRPr sz="1000"/>
            </a:pPr>
            <a:t> </a:t>
          </a:fld>
          <a:endParaRPr lang="ja-JP" altLang="en-US"/>
        </a:p>
      </cdr:txBody>
    </cdr:sp>
  </cdr:relSizeAnchor>
  <cdr:relSizeAnchor xmlns:cdr="http://schemas.openxmlformats.org/drawingml/2006/chartDrawing">
    <cdr:from>
      <cdr:x>0.43771</cdr:x>
      <cdr:y>0.62062</cdr:y>
    </cdr:from>
    <cdr:to>
      <cdr:x>0.59501</cdr:x>
      <cdr:y>0.75628</cdr:y>
    </cdr:to>
    <cdr:sp macro="" textlink="'結果(改修前)'!$Z$49">
      <cdr:nvSpPr>
        <cdr:cNvPr id="20482" name="Text Box 2"/>
        <cdr:cNvSpPr txBox="1">
          <a:spLocks xmlns:a="http://schemas.openxmlformats.org/drawingml/2006/main" noChangeArrowheads="1" noTextEdit="1"/>
        </cdr:cNvSpPr>
      </cdr:nvSpPr>
      <cdr:spPr bwMode="auto">
        <a:xfrm xmlns:a="http://schemas.openxmlformats.org/drawingml/2006/main">
          <a:off x="1370665" y="996285"/>
          <a:ext cx="491447"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0B1607F-B65C-411E-B496-8546D69F122C}" type="TxLink">
            <a:rPr lang="ja-JP" altLang="en-US"/>
            <a:pPr algn="ctr" rtl="0">
              <a:defRPr sz="1000"/>
            </a:pPr>
            <a:t> </a:t>
          </a:fld>
          <a:endParaRPr lang="ja-JP" altLang="en-US"/>
        </a:p>
      </cdr:txBody>
    </cdr:sp>
  </cdr:relSizeAnchor>
  <cdr:relSizeAnchor xmlns:cdr="http://schemas.openxmlformats.org/drawingml/2006/chartDrawing">
    <cdr:from>
      <cdr:x>0.7322</cdr:x>
      <cdr:y>0.63849</cdr:y>
    </cdr:from>
    <cdr:to>
      <cdr:x>0.91471</cdr:x>
      <cdr:y>0.77415</cdr:y>
    </cdr:to>
    <cdr:sp macro="" textlink="'結果(改修前)'!$Z$50">
      <cdr:nvSpPr>
        <cdr:cNvPr id="20483" name="Text Box 3"/>
        <cdr:cNvSpPr txBox="1">
          <a:spLocks xmlns:a="http://schemas.openxmlformats.org/drawingml/2006/main" noChangeArrowheads="1" noTextEdit="1"/>
        </cdr:cNvSpPr>
      </cdr:nvSpPr>
      <cdr:spPr bwMode="auto">
        <a:xfrm xmlns:a="http://schemas.openxmlformats.org/drawingml/2006/main">
          <a:off x="2290709" y="1024879"/>
          <a:ext cx="570199" cy="2170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96966EB-D1A4-496D-A039-3F81080841C9}"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17.xml><?xml version="1.0" encoding="utf-8"?>
<c:userShapes xmlns:c="http://schemas.openxmlformats.org/drawingml/2006/chart">
  <cdr:relSizeAnchor xmlns:cdr="http://schemas.openxmlformats.org/drawingml/2006/chartDrawing">
    <cdr:from>
      <cdr:x>0.13121</cdr:x>
      <cdr:y>0.62835</cdr:y>
    </cdr:from>
    <cdr:to>
      <cdr:x>0.31391</cdr:x>
      <cdr:y>0.76603</cdr:y>
    </cdr:to>
    <cdr:sp macro="" textlink="'結果(改修前)'!$W$48">
      <cdr:nvSpPr>
        <cdr:cNvPr id="22529"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B8B21D1-7EB2-485E-ADE6-6DB636B7244E}"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0.43902</cdr:x>
      <cdr:y>0.63422</cdr:y>
    </cdr:from>
    <cdr:to>
      <cdr:x>0.61809</cdr:x>
      <cdr:y>0.7719</cdr:y>
    </cdr:to>
    <cdr:sp macro="" textlink="'結果(改修前)'!$W$49">
      <cdr:nvSpPr>
        <cdr:cNvPr id="22530"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8E053E0F-7F74-468E-8CE6-B3A38E5D1358}"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0.73691</cdr:x>
      <cdr:y>0.63422</cdr:y>
    </cdr:from>
    <cdr:to>
      <cdr:x>0.90678</cdr:x>
      <cdr:y>0.7719</cdr:y>
    </cdr:to>
    <cdr:sp macro="" textlink="'結果(改修前)'!$W$50">
      <cdr:nvSpPr>
        <cdr:cNvPr id="22531"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967E46D5-C61A-49A4-8002-4A5821489E2F}"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18.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0.88143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0.90475</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0.76583</cdr:x>
      <cdr:y>0.65154</cdr:y>
    </cdr:from>
    <cdr:to>
      <cdr:x>0.86118</cdr:x>
      <cdr:y>0.79885</cdr:y>
    </cdr:to>
    <cdr:sp macro="" textlink="">
      <cdr:nvSpPr>
        <cdr:cNvPr id="23559" name="Text Box 7"/>
        <cdr:cNvSpPr txBox="1">
          <a:spLocks xmlns:a="http://schemas.openxmlformats.org/drawingml/2006/main" noChangeArrowheads="1"/>
        </cdr:cNvSpPr>
      </cdr:nvSpPr>
      <cdr:spPr bwMode="auto">
        <a:xfrm xmlns:a="http://schemas.openxmlformats.org/drawingml/2006/main">
          <a:off x="2148605" y="1587492"/>
          <a:ext cx="267129" cy="3582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0.88773</cdr:x>
      <cdr:y>0.43489</cdr:y>
    </cdr:from>
    <cdr:to>
      <cdr:x>0.98285</cdr:x>
      <cdr:y>0.52102</cdr:y>
    </cdr:to>
    <cdr:sp macro="" textlink="">
      <cdr:nvSpPr>
        <cdr:cNvPr id="23561"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9.xml><?xml version="1.0" encoding="utf-8"?>
<c:userShapes xmlns:c="http://schemas.openxmlformats.org/drawingml/2006/chart">
  <cdr:relSizeAnchor xmlns:cdr="http://schemas.openxmlformats.org/drawingml/2006/chartDrawing">
    <cdr:from>
      <cdr:x>0.67118</cdr:x>
      <cdr:y>0.13958</cdr:y>
    </cdr:from>
    <cdr:to>
      <cdr:x>0.97772</cdr:x>
      <cdr:y>0.24579</cdr:y>
    </cdr:to>
    <cdr:sp macro="" textlink="'結果(改修前)'!$X$39">
      <cdr:nvSpPr>
        <cdr:cNvPr id="70657" name="Text Box 1"/>
        <cdr:cNvSpPr txBox="1">
          <a:spLocks xmlns:a="http://schemas.openxmlformats.org/drawingml/2006/main" noChangeArrowheads="1" noTextEdit="1"/>
        </cdr:cNvSpPr>
      </cdr:nvSpPr>
      <cdr:spPr bwMode="auto">
        <a:xfrm xmlns:a="http://schemas.openxmlformats.org/drawingml/2006/main">
          <a:off x="1671745" y="241150"/>
          <a:ext cx="762060"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8A22ED58-3DEA-4A42-BD2F-76C23BCB7E12}" type="TxLink">
            <a:rPr lang="ja-JP" altLang="en-US" sz="800" b="1" i="0" u="none" strike="noStrike" baseline="0">
              <a:solidFill>
                <a:srgbClr val="000000"/>
              </a:solidFill>
              <a:latin typeface="Arial"/>
              <a:cs typeface="Arial"/>
            </a:rPr>
            <a:pPr algn="r" rtl="0">
              <a:defRPr sz="1000"/>
            </a:pPr>
            <a:t>100%</a:t>
          </a:fld>
          <a:endParaRPr lang="ja-JP" altLang="en-US" sz="800" b="1" i="0" u="none" strike="noStrike" baseline="0">
            <a:solidFill>
              <a:srgbClr val="000000"/>
            </a:solidFill>
            <a:latin typeface="Arial"/>
            <a:cs typeface="Arial"/>
          </a:endParaRPr>
        </a:p>
      </cdr:txBody>
    </cdr:sp>
  </cdr:relSizeAnchor>
  <cdr:relSizeAnchor xmlns:cdr="http://schemas.openxmlformats.org/drawingml/2006/chartDrawing">
    <cdr:from>
      <cdr:x>0.6945</cdr:x>
      <cdr:y>0.30716</cdr:y>
    </cdr:from>
    <cdr:to>
      <cdr:x>0.97796</cdr:x>
      <cdr:y>0.41338</cdr:y>
    </cdr:to>
    <cdr:sp macro="" textlink="'結果(改修前)'!$X$40">
      <cdr:nvSpPr>
        <cdr:cNvPr id="70658" name="Text Box 2"/>
        <cdr:cNvSpPr txBox="1">
          <a:spLocks xmlns:a="http://schemas.openxmlformats.org/drawingml/2006/main" noChangeArrowheads="1" noTextEdit="1"/>
        </cdr:cNvSpPr>
      </cdr:nvSpPr>
      <cdr:spPr bwMode="auto">
        <a:xfrm xmlns:a="http://schemas.openxmlformats.org/drawingml/2006/main">
          <a:off x="1729722" y="526876"/>
          <a:ext cx="704681"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29D8C558-B540-494C-8E29-4CCDF7E7CA77}"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0.67118</cdr:x>
      <cdr:y>0.66475</cdr:y>
    </cdr:from>
    <cdr:to>
      <cdr:x>0.97772</cdr:x>
      <cdr:y>0.77097</cdr:y>
    </cdr:to>
    <cdr:sp macro="" textlink="'結果(改修前)'!$X$42">
      <cdr:nvSpPr>
        <cdr:cNvPr id="70659" name="Text Box 3"/>
        <cdr:cNvSpPr txBox="1">
          <a:spLocks xmlns:a="http://schemas.openxmlformats.org/drawingml/2006/main" noChangeArrowheads="1" noTextEdit="1"/>
        </cdr:cNvSpPr>
      </cdr:nvSpPr>
      <cdr:spPr bwMode="auto">
        <a:xfrm xmlns:a="http://schemas.openxmlformats.org/drawingml/2006/main">
          <a:off x="1671745" y="1136560"/>
          <a:ext cx="762060" cy="1810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D941814-12F0-43E4-8B57-564742CA54B9}"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0.61059</cdr:x>
      <cdr:y>0.46908</cdr:y>
    </cdr:from>
    <cdr:to>
      <cdr:x>0.97459</cdr:x>
      <cdr:y>0.62345</cdr:y>
    </cdr:to>
    <cdr:sp macro="" textlink="'結果(改修前)'!$X$41">
      <cdr:nvSpPr>
        <cdr:cNvPr id="70662" name="Text Box 6"/>
        <cdr:cNvSpPr txBox="1">
          <a:spLocks xmlns:a="http://schemas.openxmlformats.org/drawingml/2006/main" noChangeArrowheads="1" noTextEdit="1"/>
        </cdr:cNvSpPr>
      </cdr:nvSpPr>
      <cdr:spPr bwMode="auto">
        <a:xfrm xmlns:a="http://schemas.openxmlformats.org/drawingml/2006/main">
          <a:off x="1521127" y="802944"/>
          <a:ext cx="904908" cy="26319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B95F176C-01DC-4B4D-A2A4-2F8D55DB4BF7}"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304799</xdr:colOff>
      <xdr:row>56</xdr:row>
      <xdr:rowOff>95250</xdr:rowOff>
    </xdr:from>
    <xdr:to>
      <xdr:col>14</xdr:col>
      <xdr:colOff>521999</xdr:colOff>
      <xdr:row>56</xdr:row>
      <xdr:rowOff>95250</xdr:rowOff>
    </xdr:to>
    <xdr:cxnSp macro="">
      <xdr:nvCxnSpPr>
        <xdr:cNvPr id="66" name="直線コネクタ 65"/>
        <xdr:cNvCxnSpPr/>
      </xdr:nvCxnSpPr>
      <xdr:spPr>
        <a:xfrm>
          <a:off x="7019924" y="11287125"/>
          <a:ext cx="280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466724</xdr:colOff>
      <xdr:row>56</xdr:row>
      <xdr:rowOff>85725</xdr:rowOff>
    </xdr:from>
    <xdr:to>
      <xdr:col>10</xdr:col>
      <xdr:colOff>718799</xdr:colOff>
      <xdr:row>56</xdr:row>
      <xdr:rowOff>85725</xdr:rowOff>
    </xdr:to>
    <xdr:cxnSp macro="">
      <xdr:nvCxnSpPr>
        <xdr:cNvPr id="67" name="直線コネクタ 66"/>
        <xdr:cNvCxnSpPr/>
      </xdr:nvCxnSpPr>
      <xdr:spPr>
        <a:xfrm>
          <a:off x="3829049" y="11277600"/>
          <a:ext cx="270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47624</xdr:colOff>
      <xdr:row>56</xdr:row>
      <xdr:rowOff>76200</xdr:rowOff>
    </xdr:from>
    <xdr:to>
      <xdr:col>6</xdr:col>
      <xdr:colOff>387674</xdr:colOff>
      <xdr:row>56</xdr:row>
      <xdr:rowOff>76200</xdr:rowOff>
    </xdr:to>
    <xdr:cxnSp macro="">
      <xdr:nvCxnSpPr>
        <xdr:cNvPr id="68" name="直線コネクタ 67"/>
        <xdr:cNvCxnSpPr/>
      </xdr:nvCxnSpPr>
      <xdr:spPr>
        <a:xfrm>
          <a:off x="266699" y="11268075"/>
          <a:ext cx="298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295274</xdr:colOff>
      <xdr:row>45</xdr:row>
      <xdr:rowOff>66675</xdr:rowOff>
    </xdr:from>
    <xdr:to>
      <xdr:col>14</xdr:col>
      <xdr:colOff>512474</xdr:colOff>
      <xdr:row>45</xdr:row>
      <xdr:rowOff>66675</xdr:rowOff>
    </xdr:to>
    <xdr:cxnSp macro="">
      <xdr:nvCxnSpPr>
        <xdr:cNvPr id="69" name="直線コネクタ 68"/>
        <xdr:cNvCxnSpPr/>
      </xdr:nvCxnSpPr>
      <xdr:spPr>
        <a:xfrm>
          <a:off x="7010399" y="9115425"/>
          <a:ext cx="280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457199</xdr:colOff>
      <xdr:row>45</xdr:row>
      <xdr:rowOff>85725</xdr:rowOff>
    </xdr:from>
    <xdr:to>
      <xdr:col>10</xdr:col>
      <xdr:colOff>745274</xdr:colOff>
      <xdr:row>45</xdr:row>
      <xdr:rowOff>85725</xdr:rowOff>
    </xdr:to>
    <xdr:cxnSp macro="">
      <xdr:nvCxnSpPr>
        <xdr:cNvPr id="70" name="直線コネクタ 69"/>
        <xdr:cNvCxnSpPr/>
      </xdr:nvCxnSpPr>
      <xdr:spPr>
        <a:xfrm>
          <a:off x="3819524" y="9134475"/>
          <a:ext cx="2736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47624</xdr:colOff>
      <xdr:row>45</xdr:row>
      <xdr:rowOff>66675</xdr:rowOff>
    </xdr:from>
    <xdr:to>
      <xdr:col>6</xdr:col>
      <xdr:colOff>387674</xdr:colOff>
      <xdr:row>45</xdr:row>
      <xdr:rowOff>66675</xdr:rowOff>
    </xdr:to>
    <xdr:cxnSp macro="">
      <xdr:nvCxnSpPr>
        <xdr:cNvPr id="4" name="直線コネクタ 3"/>
        <xdr:cNvCxnSpPr/>
      </xdr:nvCxnSpPr>
      <xdr:spPr>
        <a:xfrm>
          <a:off x="266699" y="9115425"/>
          <a:ext cx="298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92</xdr:row>
      <xdr:rowOff>47625</xdr:rowOff>
    </xdr:from>
    <xdr:to>
      <xdr:col>15</xdr:col>
      <xdr:colOff>0</xdr:colOff>
      <xdr:row>96</xdr:row>
      <xdr:rowOff>104775</xdr:rowOff>
    </xdr:to>
    <xdr:sp macro="" textlink="">
      <xdr:nvSpPr>
        <xdr:cNvPr id="4126" name="Text Box 141"/>
        <xdr:cNvSpPr txBox="1">
          <a:spLocks noChangeArrowheads="1"/>
        </xdr:cNvSpPr>
      </xdr:nvSpPr>
      <xdr:spPr bwMode="auto">
        <a:xfrm>
          <a:off x="47625" y="15230475"/>
          <a:ext cx="10125075" cy="78105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11</xdr:col>
      <xdr:colOff>95250</xdr:colOff>
      <xdr:row>52</xdr:row>
      <xdr:rowOff>142875</xdr:rowOff>
    </xdr:from>
    <xdr:to>
      <xdr:col>14</xdr:col>
      <xdr:colOff>600075</xdr:colOff>
      <xdr:row>60</xdr:row>
      <xdr:rowOff>171450</xdr:rowOff>
    </xdr:to>
    <xdr:graphicFrame macro="">
      <xdr:nvGraphicFramePr>
        <xdr:cNvPr id="40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238125</xdr:colOff>
      <xdr:row>52</xdr:row>
      <xdr:rowOff>133350</xdr:rowOff>
    </xdr:from>
    <xdr:to>
      <xdr:col>10</xdr:col>
      <xdr:colOff>752475</xdr:colOff>
      <xdr:row>60</xdr:row>
      <xdr:rowOff>171450</xdr:rowOff>
    </xdr:to>
    <xdr:graphicFrame macro="">
      <xdr:nvGraphicFramePr>
        <xdr:cNvPr id="40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52</xdr:row>
      <xdr:rowOff>133350</xdr:rowOff>
    </xdr:from>
    <xdr:to>
      <xdr:col>6</xdr:col>
      <xdr:colOff>409575</xdr:colOff>
      <xdr:row>60</xdr:row>
      <xdr:rowOff>180975</xdr:rowOff>
    </xdr:to>
    <xdr:graphicFrame macro="">
      <xdr:nvGraphicFramePr>
        <xdr:cNvPr id="40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123825</xdr:rowOff>
    </xdr:from>
    <xdr:to>
      <xdr:col>6</xdr:col>
      <xdr:colOff>428625</xdr:colOff>
      <xdr:row>49</xdr:row>
      <xdr:rowOff>180975</xdr:rowOff>
    </xdr:to>
    <xdr:graphicFrame macro="">
      <xdr:nvGraphicFramePr>
        <xdr:cNvPr id="41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41</xdr:row>
      <xdr:rowOff>133350</xdr:rowOff>
    </xdr:from>
    <xdr:to>
      <xdr:col>14</xdr:col>
      <xdr:colOff>600075</xdr:colOff>
      <xdr:row>50</xdr:row>
      <xdr:rowOff>9525</xdr:rowOff>
    </xdr:to>
    <xdr:graphicFrame macro="">
      <xdr:nvGraphicFramePr>
        <xdr:cNvPr id="41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571500</xdr:colOff>
      <xdr:row>59</xdr:row>
      <xdr:rowOff>104775</xdr:rowOff>
    </xdr:from>
    <xdr:to>
      <xdr:col>8</xdr:col>
      <xdr:colOff>142875</xdr:colOff>
      <xdr:row>60</xdr:row>
      <xdr:rowOff>180975</xdr:rowOff>
    </xdr:to>
    <xdr:sp macro="" textlink="">
      <xdr:nvSpPr>
        <xdr:cNvPr id="4102" name="Text Box 7"/>
        <xdr:cNvSpPr txBox="1">
          <a:spLocks noChangeArrowheads="1"/>
        </xdr:cNvSpPr>
      </xdr:nvSpPr>
      <xdr:spPr bwMode="auto">
        <a:xfrm>
          <a:off x="3933825" y="11896725"/>
          <a:ext cx="5524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10</xdr:col>
      <xdr:colOff>695325</xdr:colOff>
      <xdr:row>21</xdr:row>
      <xdr:rowOff>228600</xdr:rowOff>
    </xdr:from>
    <xdr:to>
      <xdr:col>15</xdr:col>
      <xdr:colOff>19050</xdr:colOff>
      <xdr:row>37</xdr:row>
      <xdr:rowOff>133350</xdr:rowOff>
    </xdr:to>
    <xdr:graphicFrame macro="">
      <xdr:nvGraphicFramePr>
        <xdr:cNvPr id="410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257175</xdr:colOff>
      <xdr:row>41</xdr:row>
      <xdr:rowOff>133350</xdr:rowOff>
    </xdr:from>
    <xdr:to>
      <xdr:col>10</xdr:col>
      <xdr:colOff>771525</xdr:colOff>
      <xdr:row>50</xdr:row>
      <xdr:rowOff>0</xdr:rowOff>
    </xdr:to>
    <xdr:graphicFrame macro="">
      <xdr:nvGraphicFramePr>
        <xdr:cNvPr id="410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104775</xdr:colOff>
      <xdr:row>25</xdr:row>
      <xdr:rowOff>123825</xdr:rowOff>
    </xdr:from>
    <xdr:to>
      <xdr:col>6</xdr:col>
      <xdr:colOff>85725</xdr:colOff>
      <xdr:row>38</xdr:row>
      <xdr:rowOff>66675</xdr:rowOff>
    </xdr:to>
    <xdr:graphicFrame macro="">
      <xdr:nvGraphicFramePr>
        <xdr:cNvPr id="4105"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161925</xdr:colOff>
      <xdr:row>48</xdr:row>
      <xdr:rowOff>152400</xdr:rowOff>
    </xdr:from>
    <xdr:to>
      <xdr:col>2</xdr:col>
      <xdr:colOff>647700</xdr:colOff>
      <xdr:row>49</xdr:row>
      <xdr:rowOff>104775</xdr:rowOff>
    </xdr:to>
    <xdr:sp macro="" textlink="">
      <xdr:nvSpPr>
        <xdr:cNvPr id="4106" name="Text Box 20"/>
        <xdr:cNvSpPr txBox="1">
          <a:spLocks noChangeArrowheads="1"/>
        </xdr:cNvSpPr>
      </xdr:nvSpPr>
      <xdr:spPr bwMode="auto">
        <a:xfrm>
          <a:off x="381000" y="9772650"/>
          <a:ext cx="485775"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638175</xdr:colOff>
      <xdr:row>48</xdr:row>
      <xdr:rowOff>152400</xdr:rowOff>
    </xdr:from>
    <xdr:to>
      <xdr:col>8</xdr:col>
      <xdr:colOff>161925</xdr:colOff>
      <xdr:row>49</xdr:row>
      <xdr:rowOff>104775</xdr:rowOff>
    </xdr:to>
    <xdr:sp macro="" textlink="">
      <xdr:nvSpPr>
        <xdr:cNvPr id="4107" name="Text Box 21"/>
        <xdr:cNvSpPr txBox="1">
          <a:spLocks noChangeArrowheads="1"/>
        </xdr:cNvSpPr>
      </xdr:nvSpPr>
      <xdr:spPr bwMode="auto">
        <a:xfrm>
          <a:off x="4000500" y="9772650"/>
          <a:ext cx="504825"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571500</xdr:colOff>
      <xdr:row>48</xdr:row>
      <xdr:rowOff>142875</xdr:rowOff>
    </xdr:from>
    <xdr:ext cx="410369" cy="133370"/>
    <xdr:sp macro="" textlink="">
      <xdr:nvSpPr>
        <xdr:cNvPr id="5142" name="Text Box 22"/>
        <xdr:cNvSpPr txBox="1">
          <a:spLocks noChangeArrowheads="1"/>
        </xdr:cNvSpPr>
      </xdr:nvSpPr>
      <xdr:spPr bwMode="auto">
        <a:xfrm>
          <a:off x="7286625" y="9763125"/>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8</xdr:col>
      <xdr:colOff>466725</xdr:colOff>
      <xdr:row>59</xdr:row>
      <xdr:rowOff>104775</xdr:rowOff>
    </xdr:from>
    <xdr:to>
      <xdr:col>9</xdr:col>
      <xdr:colOff>628650</xdr:colOff>
      <xdr:row>60</xdr:row>
      <xdr:rowOff>180975</xdr:rowOff>
    </xdr:to>
    <xdr:sp macro="" textlink="">
      <xdr:nvSpPr>
        <xdr:cNvPr id="4109" name="Text Box 104"/>
        <xdr:cNvSpPr txBox="1">
          <a:spLocks noChangeArrowheads="1"/>
        </xdr:cNvSpPr>
      </xdr:nvSpPr>
      <xdr:spPr bwMode="auto">
        <a:xfrm>
          <a:off x="4810125" y="11896725"/>
          <a:ext cx="7048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28575</xdr:colOff>
      <xdr:row>48</xdr:row>
      <xdr:rowOff>104775</xdr:rowOff>
    </xdr:from>
    <xdr:to>
      <xdr:col>9</xdr:col>
      <xdr:colOff>523875</xdr:colOff>
      <xdr:row>49</xdr:row>
      <xdr:rowOff>180975</xdr:rowOff>
    </xdr:to>
    <xdr:sp macro="" textlink="">
      <xdr:nvSpPr>
        <xdr:cNvPr id="4110" name="Text Box 107"/>
        <xdr:cNvSpPr txBox="1">
          <a:spLocks noChangeArrowheads="1"/>
        </xdr:cNvSpPr>
      </xdr:nvSpPr>
      <xdr:spPr bwMode="auto">
        <a:xfrm>
          <a:off x="4914900" y="9725025"/>
          <a:ext cx="495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9525</xdr:colOff>
      <xdr:row>48</xdr:row>
      <xdr:rowOff>104775</xdr:rowOff>
    </xdr:from>
    <xdr:to>
      <xdr:col>10</xdr:col>
      <xdr:colOff>514350</xdr:colOff>
      <xdr:row>49</xdr:row>
      <xdr:rowOff>180975</xdr:rowOff>
    </xdr:to>
    <xdr:sp macro="" textlink="">
      <xdr:nvSpPr>
        <xdr:cNvPr id="4111" name="Text Box 108"/>
        <xdr:cNvSpPr txBox="1">
          <a:spLocks noChangeArrowheads="1"/>
        </xdr:cNvSpPr>
      </xdr:nvSpPr>
      <xdr:spPr bwMode="auto">
        <a:xfrm>
          <a:off x="5819775" y="9725025"/>
          <a:ext cx="5048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476250</xdr:colOff>
      <xdr:row>48</xdr:row>
      <xdr:rowOff>104775</xdr:rowOff>
    </xdr:from>
    <xdr:to>
      <xdr:col>13</xdr:col>
      <xdr:colOff>314325</xdr:colOff>
      <xdr:row>49</xdr:row>
      <xdr:rowOff>180975</xdr:rowOff>
    </xdr:to>
    <xdr:sp macro="" textlink="">
      <xdr:nvSpPr>
        <xdr:cNvPr id="4112" name="Text Box 109"/>
        <xdr:cNvSpPr txBox="1">
          <a:spLocks noChangeArrowheads="1"/>
        </xdr:cNvSpPr>
      </xdr:nvSpPr>
      <xdr:spPr bwMode="auto">
        <a:xfrm>
          <a:off x="8010525" y="9725025"/>
          <a:ext cx="7429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504825</xdr:colOff>
      <xdr:row>48</xdr:row>
      <xdr:rowOff>104775</xdr:rowOff>
    </xdr:from>
    <xdr:to>
      <xdr:col>14</xdr:col>
      <xdr:colOff>152400</xdr:colOff>
      <xdr:row>49</xdr:row>
      <xdr:rowOff>180975</xdr:rowOff>
    </xdr:to>
    <xdr:sp macro="" textlink="">
      <xdr:nvSpPr>
        <xdr:cNvPr id="4113" name="Text Box 110"/>
        <xdr:cNvSpPr txBox="1">
          <a:spLocks noChangeArrowheads="1"/>
        </xdr:cNvSpPr>
      </xdr:nvSpPr>
      <xdr:spPr bwMode="auto">
        <a:xfrm>
          <a:off x="8943975" y="9725025"/>
          <a:ext cx="5143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647700</xdr:colOff>
      <xdr:row>21</xdr:row>
      <xdr:rowOff>200025</xdr:rowOff>
    </xdr:from>
    <xdr:to>
      <xdr:col>7</xdr:col>
      <xdr:colOff>9525</xdr:colOff>
      <xdr:row>25</xdr:row>
      <xdr:rowOff>66675</xdr:rowOff>
    </xdr:to>
    <xdr:graphicFrame macro="">
      <xdr:nvGraphicFramePr>
        <xdr:cNvPr id="411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104775</xdr:colOff>
      <xdr:row>24</xdr:row>
      <xdr:rowOff>180975</xdr:rowOff>
    </xdr:from>
    <xdr:to>
      <xdr:col>7</xdr:col>
      <xdr:colOff>38100</xdr:colOff>
      <xdr:row>26</xdr:row>
      <xdr:rowOff>19050</xdr:rowOff>
    </xdr:to>
    <xdr:sp macro="" textlink="">
      <xdr:nvSpPr>
        <xdr:cNvPr id="4115" name="Text Box 129"/>
        <xdr:cNvSpPr txBox="1">
          <a:spLocks noChangeArrowheads="1"/>
        </xdr:cNvSpPr>
      </xdr:nvSpPr>
      <xdr:spPr bwMode="auto">
        <a:xfrm>
          <a:off x="161925" y="5143500"/>
          <a:ext cx="3238500"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twoCellAnchor>
  <xdr:oneCellAnchor>
    <xdr:from>
      <xdr:col>10</xdr:col>
      <xdr:colOff>104775</xdr:colOff>
      <xdr:row>34</xdr:row>
      <xdr:rowOff>28575</xdr:rowOff>
    </xdr:from>
    <xdr:ext cx="800100" cy="171450"/>
    <xdr:sp macro="" textlink="">
      <xdr:nvSpPr>
        <xdr:cNvPr id="4119" name="Text Box 134"/>
        <xdr:cNvSpPr txBox="1">
          <a:spLocks noChangeArrowheads="1"/>
        </xdr:cNvSpPr>
      </xdr:nvSpPr>
      <xdr:spPr bwMode="auto">
        <a:xfrm>
          <a:off x="5915025" y="6896100"/>
          <a:ext cx="800100" cy="17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13</xdr:col>
      <xdr:colOff>257175</xdr:colOff>
      <xdr:row>40</xdr:row>
      <xdr:rowOff>180975</xdr:rowOff>
    </xdr:from>
    <xdr:ext cx="779957" cy="201850"/>
    <xdr:sp macro="" textlink="">
      <xdr:nvSpPr>
        <xdr:cNvPr id="5255" name="Text Box 135"/>
        <xdr:cNvSpPr txBox="1">
          <a:spLocks noChangeArrowheads="1"/>
        </xdr:cNvSpPr>
      </xdr:nvSpPr>
      <xdr:spPr bwMode="auto">
        <a:xfrm>
          <a:off x="8696325" y="82772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13</xdr:col>
      <xdr:colOff>190500</xdr:colOff>
      <xdr:row>52</xdr:row>
      <xdr:rowOff>0</xdr:rowOff>
    </xdr:from>
    <xdr:ext cx="845040" cy="201850"/>
    <xdr:sp macro="" textlink="">
      <xdr:nvSpPr>
        <xdr:cNvPr id="5256" name="Text Box 136"/>
        <xdr:cNvSpPr txBox="1">
          <a:spLocks noChangeArrowheads="1"/>
        </xdr:cNvSpPr>
      </xdr:nvSpPr>
      <xdr:spPr bwMode="auto">
        <a:xfrm>
          <a:off x="8629650" y="104203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485775</xdr:colOff>
      <xdr:row>51</xdr:row>
      <xdr:rowOff>180975</xdr:rowOff>
    </xdr:from>
    <xdr:ext cx="845040" cy="201850"/>
    <xdr:sp macro="" textlink="">
      <xdr:nvSpPr>
        <xdr:cNvPr id="5257" name="Text Box 137"/>
        <xdr:cNvSpPr txBox="1">
          <a:spLocks noChangeArrowheads="1"/>
        </xdr:cNvSpPr>
      </xdr:nvSpPr>
      <xdr:spPr bwMode="auto">
        <a:xfrm>
          <a:off x="4829175" y="10410825"/>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0</xdr:colOff>
      <xdr:row>40</xdr:row>
      <xdr:rowOff>171450</xdr:rowOff>
    </xdr:from>
    <xdr:ext cx="779957" cy="201850"/>
    <xdr:sp macro="" textlink="">
      <xdr:nvSpPr>
        <xdr:cNvPr id="5258" name="Text Box 138"/>
        <xdr:cNvSpPr txBox="1">
          <a:spLocks noChangeArrowheads="1"/>
        </xdr:cNvSpPr>
      </xdr:nvSpPr>
      <xdr:spPr bwMode="auto">
        <a:xfrm>
          <a:off x="4886325" y="82677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314325</xdr:colOff>
      <xdr:row>40</xdr:row>
      <xdr:rowOff>171450</xdr:rowOff>
    </xdr:from>
    <xdr:ext cx="779957" cy="201850"/>
    <xdr:sp macro="" textlink="">
      <xdr:nvSpPr>
        <xdr:cNvPr id="5259" name="Text Box 139"/>
        <xdr:cNvSpPr txBox="1">
          <a:spLocks noChangeArrowheads="1"/>
        </xdr:cNvSpPr>
      </xdr:nvSpPr>
      <xdr:spPr bwMode="auto">
        <a:xfrm>
          <a:off x="1962150" y="82677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52</xdr:row>
      <xdr:rowOff>0</xdr:rowOff>
    </xdr:from>
    <xdr:ext cx="845040" cy="201850"/>
    <xdr:sp macro="" textlink="">
      <xdr:nvSpPr>
        <xdr:cNvPr id="5260" name="Text Box 140"/>
        <xdr:cNvSpPr txBox="1">
          <a:spLocks noChangeArrowheads="1"/>
        </xdr:cNvSpPr>
      </xdr:nvSpPr>
      <xdr:spPr bwMode="auto">
        <a:xfrm>
          <a:off x="1905000" y="1042035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876300</xdr:colOff>
      <xdr:row>48</xdr:row>
      <xdr:rowOff>161925</xdr:rowOff>
    </xdr:from>
    <xdr:to>
      <xdr:col>4</xdr:col>
      <xdr:colOff>19050</xdr:colOff>
      <xdr:row>49</xdr:row>
      <xdr:rowOff>85725</xdr:rowOff>
    </xdr:to>
    <xdr:sp macro="" textlink="">
      <xdr:nvSpPr>
        <xdr:cNvPr id="4127" name="Text Box 142"/>
        <xdr:cNvSpPr txBox="1">
          <a:spLocks noChangeArrowheads="1"/>
        </xdr:cNvSpPr>
      </xdr:nvSpPr>
      <xdr:spPr bwMode="auto">
        <a:xfrm>
          <a:off x="1095375" y="9782175"/>
          <a:ext cx="571500" cy="114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257175</xdr:colOff>
      <xdr:row>48</xdr:row>
      <xdr:rowOff>180975</xdr:rowOff>
    </xdr:from>
    <xdr:ext cx="660117" cy="133370"/>
    <xdr:sp macro="" textlink="">
      <xdr:nvSpPr>
        <xdr:cNvPr id="5263" name="Text Box 143"/>
        <xdr:cNvSpPr txBox="1">
          <a:spLocks noChangeArrowheads="1"/>
        </xdr:cNvSpPr>
      </xdr:nvSpPr>
      <xdr:spPr bwMode="auto">
        <a:xfrm>
          <a:off x="1905000" y="980122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114300</xdr:colOff>
      <xdr:row>48</xdr:row>
      <xdr:rowOff>152400</xdr:rowOff>
    </xdr:from>
    <xdr:to>
      <xdr:col>6</xdr:col>
      <xdr:colOff>342900</xdr:colOff>
      <xdr:row>49</xdr:row>
      <xdr:rowOff>104775</xdr:rowOff>
    </xdr:to>
    <xdr:sp macro="" textlink="">
      <xdr:nvSpPr>
        <xdr:cNvPr id="4129" name="Text Box 144"/>
        <xdr:cNvSpPr txBox="1">
          <a:spLocks noChangeArrowheads="1"/>
        </xdr:cNvSpPr>
      </xdr:nvSpPr>
      <xdr:spPr bwMode="auto">
        <a:xfrm>
          <a:off x="2505075" y="9772650"/>
          <a:ext cx="704850"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9</xdr:col>
      <xdr:colOff>819150</xdr:colOff>
      <xdr:row>59</xdr:row>
      <xdr:rowOff>104775</xdr:rowOff>
    </xdr:from>
    <xdr:to>
      <xdr:col>10</xdr:col>
      <xdr:colOff>600075</xdr:colOff>
      <xdr:row>60</xdr:row>
      <xdr:rowOff>180975</xdr:rowOff>
    </xdr:to>
    <xdr:sp macro="" textlink="">
      <xdr:nvSpPr>
        <xdr:cNvPr id="4130" name="Text Box 145"/>
        <xdr:cNvSpPr txBox="1">
          <a:spLocks noChangeArrowheads="1"/>
        </xdr:cNvSpPr>
      </xdr:nvSpPr>
      <xdr:spPr bwMode="auto">
        <a:xfrm>
          <a:off x="5705475" y="11896725"/>
          <a:ext cx="7048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123825</xdr:colOff>
      <xdr:row>59</xdr:row>
      <xdr:rowOff>104775</xdr:rowOff>
    </xdr:from>
    <xdr:to>
      <xdr:col>2</xdr:col>
      <xdr:colOff>628650</xdr:colOff>
      <xdr:row>60</xdr:row>
      <xdr:rowOff>180975</xdr:rowOff>
    </xdr:to>
    <xdr:sp macro="" textlink="">
      <xdr:nvSpPr>
        <xdr:cNvPr id="4131" name="Text Box 23"/>
        <xdr:cNvSpPr txBox="1">
          <a:spLocks noChangeArrowheads="1"/>
        </xdr:cNvSpPr>
      </xdr:nvSpPr>
      <xdr:spPr bwMode="auto">
        <a:xfrm>
          <a:off x="342900" y="11896725"/>
          <a:ext cx="50482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866775</xdr:colOff>
      <xdr:row>59</xdr:row>
      <xdr:rowOff>104775</xdr:rowOff>
    </xdr:from>
    <xdr:to>
      <xdr:col>4</xdr:col>
      <xdr:colOff>0</xdr:colOff>
      <xdr:row>60</xdr:row>
      <xdr:rowOff>180975</xdr:rowOff>
    </xdr:to>
    <xdr:sp macro="" textlink="">
      <xdr:nvSpPr>
        <xdr:cNvPr id="4132" name="Text Box 101"/>
        <xdr:cNvSpPr txBox="1">
          <a:spLocks noChangeArrowheads="1"/>
        </xdr:cNvSpPr>
      </xdr:nvSpPr>
      <xdr:spPr bwMode="auto">
        <a:xfrm>
          <a:off x="1085850" y="11896725"/>
          <a:ext cx="5619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133350</xdr:colOff>
      <xdr:row>59</xdr:row>
      <xdr:rowOff>104775</xdr:rowOff>
    </xdr:from>
    <xdr:to>
      <xdr:col>5</xdr:col>
      <xdr:colOff>57150</xdr:colOff>
      <xdr:row>60</xdr:row>
      <xdr:rowOff>171450</xdr:rowOff>
    </xdr:to>
    <xdr:sp macro="" textlink="">
      <xdr:nvSpPr>
        <xdr:cNvPr id="4133" name="Text Box 102"/>
        <xdr:cNvSpPr txBox="1">
          <a:spLocks noChangeArrowheads="1"/>
        </xdr:cNvSpPr>
      </xdr:nvSpPr>
      <xdr:spPr bwMode="auto">
        <a:xfrm>
          <a:off x="1781175" y="11896725"/>
          <a:ext cx="6667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276225</xdr:colOff>
      <xdr:row>59</xdr:row>
      <xdr:rowOff>104775</xdr:rowOff>
    </xdr:from>
    <xdr:to>
      <xdr:col>6</xdr:col>
      <xdr:colOff>200025</xdr:colOff>
      <xdr:row>60</xdr:row>
      <xdr:rowOff>171450</xdr:rowOff>
    </xdr:to>
    <xdr:sp macro="" textlink="">
      <xdr:nvSpPr>
        <xdr:cNvPr id="4134" name="Text Box 103"/>
        <xdr:cNvSpPr txBox="1">
          <a:spLocks noChangeArrowheads="1"/>
        </xdr:cNvSpPr>
      </xdr:nvSpPr>
      <xdr:spPr bwMode="auto">
        <a:xfrm>
          <a:off x="2667000" y="11896725"/>
          <a:ext cx="4000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400050</xdr:colOff>
      <xdr:row>59</xdr:row>
      <xdr:rowOff>95250</xdr:rowOff>
    </xdr:from>
    <xdr:to>
      <xdr:col>12</xdr:col>
      <xdr:colOff>200025</xdr:colOff>
      <xdr:row>60</xdr:row>
      <xdr:rowOff>171450</xdr:rowOff>
    </xdr:to>
    <xdr:sp macro="" textlink="">
      <xdr:nvSpPr>
        <xdr:cNvPr id="4135" name="Text Box 148"/>
        <xdr:cNvSpPr txBox="1">
          <a:spLocks noChangeArrowheads="1"/>
        </xdr:cNvSpPr>
      </xdr:nvSpPr>
      <xdr:spPr bwMode="auto">
        <a:xfrm>
          <a:off x="7115175" y="11887200"/>
          <a:ext cx="61912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390525</xdr:colOff>
      <xdr:row>59</xdr:row>
      <xdr:rowOff>95250</xdr:rowOff>
    </xdr:from>
    <xdr:to>
      <xdr:col>13</xdr:col>
      <xdr:colOff>390525</xdr:colOff>
      <xdr:row>60</xdr:row>
      <xdr:rowOff>171450</xdr:rowOff>
    </xdr:to>
    <xdr:sp macro="" textlink="">
      <xdr:nvSpPr>
        <xdr:cNvPr id="4136" name="Text Box 149"/>
        <xdr:cNvSpPr txBox="1">
          <a:spLocks noChangeArrowheads="1"/>
        </xdr:cNvSpPr>
      </xdr:nvSpPr>
      <xdr:spPr bwMode="auto">
        <a:xfrm>
          <a:off x="7924800" y="11887200"/>
          <a:ext cx="9048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409575</xdr:colOff>
      <xdr:row>59</xdr:row>
      <xdr:rowOff>95250</xdr:rowOff>
    </xdr:from>
    <xdr:to>
      <xdr:col>14</xdr:col>
      <xdr:colOff>285750</xdr:colOff>
      <xdr:row>60</xdr:row>
      <xdr:rowOff>171450</xdr:rowOff>
    </xdr:to>
    <xdr:sp macro="" textlink="">
      <xdr:nvSpPr>
        <xdr:cNvPr id="4137" name="Text Box 150"/>
        <xdr:cNvSpPr txBox="1">
          <a:spLocks noChangeArrowheads="1"/>
        </xdr:cNvSpPr>
      </xdr:nvSpPr>
      <xdr:spPr bwMode="auto">
        <a:xfrm>
          <a:off x="8848725" y="11887200"/>
          <a:ext cx="7429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oneCellAnchor>
    <xdr:from>
      <xdr:col>1</xdr:col>
      <xdr:colOff>0</xdr:colOff>
      <xdr:row>23</xdr:row>
      <xdr:rowOff>0</xdr:rowOff>
    </xdr:from>
    <xdr:ext cx="561975" cy="247650"/>
    <xdr:sp macro="" textlink="">
      <xdr:nvSpPr>
        <xdr:cNvPr id="4141" name="Text Box 45"/>
        <xdr:cNvSpPr txBox="1">
          <a:spLocks noChangeArrowheads="1"/>
        </xdr:cNvSpPr>
      </xdr:nvSpPr>
      <xdr:spPr bwMode="auto">
        <a:xfrm>
          <a:off x="57150" y="4772025"/>
          <a:ext cx="561975" cy="2476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ja-JP" altLang="en-US" sz="1300" b="1" i="0" u="none" strike="noStrike" baseline="0">
              <a:solidFill>
                <a:srgbClr val="000000"/>
              </a:solidFill>
              <a:latin typeface="Arial"/>
              <a:cs typeface="Arial"/>
            </a:rPr>
            <a:t>BEE = </a:t>
          </a:r>
        </a:p>
      </xdr:txBody>
    </xdr:sp>
    <xdr:clientData/>
  </xdr:oneCellAnchor>
  <xdr:oneCellAnchor>
    <xdr:from>
      <xdr:col>7</xdr:col>
      <xdr:colOff>257175</xdr:colOff>
      <xdr:row>25</xdr:row>
      <xdr:rowOff>38100</xdr:rowOff>
    </xdr:from>
    <xdr:ext cx="3114675" cy="152400"/>
    <xdr:sp macro="" textlink="">
      <xdr:nvSpPr>
        <xdr:cNvPr id="4146" name="Text Box 129"/>
        <xdr:cNvSpPr txBox="1">
          <a:spLocks noChangeArrowheads="1"/>
        </xdr:cNvSpPr>
      </xdr:nvSpPr>
      <xdr:spPr bwMode="auto">
        <a:xfrm>
          <a:off x="3619500" y="5191125"/>
          <a:ext cx="3114675" cy="152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438150</xdr:colOff>
      <xdr:row>21</xdr:row>
      <xdr:rowOff>180975</xdr:rowOff>
    </xdr:from>
    <xdr:to>
      <xdr:col>10</xdr:col>
      <xdr:colOff>504825</xdr:colOff>
      <xdr:row>25</xdr:row>
      <xdr:rowOff>133350</xdr:rowOff>
    </xdr:to>
    <xdr:graphicFrame macro="">
      <xdr:nvGraphicFramePr>
        <xdr:cNvPr id="41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28575</xdr:colOff>
      <xdr:row>27</xdr:row>
      <xdr:rowOff>0</xdr:rowOff>
    </xdr:from>
    <xdr:to>
      <xdr:col>7</xdr:col>
      <xdr:colOff>933450</xdr:colOff>
      <xdr:row>28</xdr:row>
      <xdr:rowOff>38100</xdr:rowOff>
    </xdr:to>
    <xdr:sp macro="" textlink="">
      <xdr:nvSpPr>
        <xdr:cNvPr id="4151" name="Text Box 131"/>
        <xdr:cNvSpPr txBox="1">
          <a:spLocks noChangeArrowheads="1"/>
        </xdr:cNvSpPr>
      </xdr:nvSpPr>
      <xdr:spPr bwMode="auto">
        <a:xfrm>
          <a:off x="3390900" y="5534025"/>
          <a:ext cx="904875"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①参照値</a:t>
          </a:r>
        </a:p>
      </xdr:txBody>
    </xdr:sp>
    <xdr:clientData/>
  </xdr:twoCellAnchor>
  <xdr:twoCellAnchor>
    <xdr:from>
      <xdr:col>7</xdr:col>
      <xdr:colOff>19050</xdr:colOff>
      <xdr:row>28</xdr:row>
      <xdr:rowOff>66675</xdr:rowOff>
    </xdr:from>
    <xdr:to>
      <xdr:col>8</xdr:col>
      <xdr:colOff>19050</xdr:colOff>
      <xdr:row>29</xdr:row>
      <xdr:rowOff>104775</xdr:rowOff>
    </xdr:to>
    <xdr:sp macro="" textlink="">
      <xdr:nvSpPr>
        <xdr:cNvPr id="4152" name="Text Box 131"/>
        <xdr:cNvSpPr txBox="1">
          <a:spLocks noChangeArrowheads="1"/>
        </xdr:cNvSpPr>
      </xdr:nvSpPr>
      <xdr:spPr bwMode="auto">
        <a:xfrm>
          <a:off x="3381375" y="5791200"/>
          <a:ext cx="981075" cy="228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②建築物の取組み</a:t>
          </a:r>
        </a:p>
      </xdr:txBody>
    </xdr:sp>
    <xdr:clientData/>
  </xdr:twoCellAnchor>
  <xdr:twoCellAnchor>
    <xdr:from>
      <xdr:col>7</xdr:col>
      <xdr:colOff>19050</xdr:colOff>
      <xdr:row>30</xdr:row>
      <xdr:rowOff>0</xdr:rowOff>
    </xdr:from>
    <xdr:to>
      <xdr:col>8</xdr:col>
      <xdr:colOff>19050</xdr:colOff>
      <xdr:row>31</xdr:row>
      <xdr:rowOff>104775</xdr:rowOff>
    </xdr:to>
    <xdr:sp macro="" textlink="">
      <xdr:nvSpPr>
        <xdr:cNvPr id="4153" name="Text Box 131"/>
        <xdr:cNvSpPr txBox="1">
          <a:spLocks noChangeArrowheads="1"/>
        </xdr:cNvSpPr>
      </xdr:nvSpPr>
      <xdr:spPr bwMode="auto">
        <a:xfrm>
          <a:off x="3381375" y="6105525"/>
          <a:ext cx="981075" cy="2952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③上記+②以外の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876300</xdr:colOff>
      <xdr:row>25</xdr:row>
      <xdr:rowOff>180975</xdr:rowOff>
    </xdr:from>
    <xdr:to>
      <xdr:col>11</xdr:col>
      <xdr:colOff>19050</xdr:colOff>
      <xdr:row>34</xdr:row>
      <xdr:rowOff>114300</xdr:rowOff>
    </xdr:to>
    <xdr:graphicFrame macro="">
      <xdr:nvGraphicFramePr>
        <xdr:cNvPr id="416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19050</xdr:colOff>
      <xdr:row>31</xdr:row>
      <xdr:rowOff>133350</xdr:rowOff>
    </xdr:from>
    <xdr:to>
      <xdr:col>8</xdr:col>
      <xdr:colOff>323850</xdr:colOff>
      <xdr:row>33</xdr:row>
      <xdr:rowOff>47625</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11</xdr:col>
      <xdr:colOff>523874</xdr:colOff>
      <xdr:row>1</xdr:row>
      <xdr:rowOff>152400</xdr:rowOff>
    </xdr:from>
    <xdr:to>
      <xdr:col>14</xdr:col>
      <xdr:colOff>647699</xdr:colOff>
      <xdr:row>4</xdr:row>
      <xdr:rowOff>9525</xdr:rowOff>
    </xdr:to>
    <xdr:pic>
      <xdr:nvPicPr>
        <xdr:cNvPr id="51" name="Picture 43"/>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rcRect l="69884" t="27533" b="27725"/>
        <a:stretch>
          <a:fillRect/>
        </a:stretch>
      </xdr:blipFill>
      <xdr:spPr bwMode="auto">
        <a:xfrm>
          <a:off x="7238999" y="228600"/>
          <a:ext cx="2714625"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523875</xdr:colOff>
      <xdr:row>2</xdr:row>
      <xdr:rowOff>180975</xdr:rowOff>
    </xdr:from>
    <xdr:to>
      <xdr:col>11</xdr:col>
      <xdr:colOff>533400</xdr:colOff>
      <xdr:row>3</xdr:row>
      <xdr:rowOff>171450</xdr:rowOff>
    </xdr:to>
    <xdr:sp macro="" textlink="">
      <xdr:nvSpPr>
        <xdr:cNvPr id="52" name="WordArt 68"/>
        <xdr:cNvSpPr>
          <a:spLocks noChangeArrowheads="1" noChangeShapeType="1" noTextEdit="1"/>
        </xdr:cNvSpPr>
      </xdr:nvSpPr>
      <xdr:spPr bwMode="auto">
        <a:xfrm>
          <a:off x="6334125" y="495300"/>
          <a:ext cx="914400" cy="228600"/>
        </a:xfrm>
        <a:prstGeom prst="rect">
          <a:avLst/>
        </a:prstGeom>
        <a:extLst/>
      </xdr:spPr>
      <xdr:txBody>
        <a:bodyPr wrap="none" fromWordArt="1">
          <a:prstTxWarp prst="textPlain">
            <a:avLst>
              <a:gd name="adj" fmla="val 50000"/>
            </a:avLst>
          </a:prstTxWarp>
        </a:bodyPr>
        <a:lstStyle/>
        <a:p>
          <a:pPr algn="ctr" rtl="0">
            <a:buNone/>
          </a:pPr>
          <a:r>
            <a:rPr lang="ja-JP" altLang="en-US" sz="1800" kern="10" spc="0">
              <a:ln>
                <a:noFill/>
              </a:ln>
              <a:solidFill>
                <a:srgbClr val="000000"/>
              </a:solidFill>
              <a:effectLst/>
              <a:latin typeface="ＭＳ Ｐゴシック"/>
              <a:ea typeface="ＭＳ Ｐゴシック"/>
            </a:rPr>
            <a:t>（改修後）</a:t>
          </a:r>
        </a:p>
      </xdr:txBody>
    </xdr:sp>
    <xdr:clientData/>
  </xdr:twoCellAnchor>
  <xdr:twoCellAnchor>
    <xdr:from>
      <xdr:col>1</xdr:col>
      <xdr:colOff>57150</xdr:colOff>
      <xdr:row>1</xdr:row>
      <xdr:rowOff>133350</xdr:rowOff>
    </xdr:from>
    <xdr:to>
      <xdr:col>6</xdr:col>
      <xdr:colOff>419100</xdr:colOff>
      <xdr:row>3</xdr:row>
      <xdr:rowOff>219075</xdr:rowOff>
    </xdr:to>
    <xdr:pic>
      <xdr:nvPicPr>
        <xdr:cNvPr id="54" name="Picture 69" descr="ロゴマークver1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rcRect/>
        <a:stretch>
          <a:fillRect/>
        </a:stretch>
      </xdr:blipFill>
      <xdr:spPr bwMode="auto">
        <a:xfrm>
          <a:off x="114300" y="209550"/>
          <a:ext cx="317182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476250</xdr:colOff>
      <xdr:row>0</xdr:row>
      <xdr:rowOff>19050</xdr:rowOff>
    </xdr:from>
    <xdr:to>
      <xdr:col>10</xdr:col>
      <xdr:colOff>862221</xdr:colOff>
      <xdr:row>3</xdr:row>
      <xdr:rowOff>219075</xdr:rowOff>
    </xdr:to>
    <xdr:sp macro="" textlink="">
      <xdr:nvSpPr>
        <xdr:cNvPr id="55" name="Text Box 231"/>
        <xdr:cNvSpPr txBox="1">
          <a:spLocks noChangeArrowheads="1"/>
        </xdr:cNvSpPr>
      </xdr:nvSpPr>
      <xdr:spPr bwMode="auto">
        <a:xfrm>
          <a:off x="3343275" y="19050"/>
          <a:ext cx="3329196" cy="752475"/>
        </a:xfrm>
        <a:prstGeom prst="rect">
          <a:avLst/>
        </a:prstGeom>
        <a:noFill/>
        <a:ln>
          <a:noFill/>
        </a:ln>
        <a:extLst/>
      </xdr:spPr>
      <xdr:txBody>
        <a:bodyPr vertOverflow="clip" wrap="square" lIns="73152" tIns="45720" rIns="0" bIns="0" anchor="t" upright="1"/>
        <a:lstStyle/>
        <a:p>
          <a:pPr algn="l" rtl="0">
            <a:defRPr sz="1000"/>
          </a:pPr>
          <a:r>
            <a:rPr lang="ja-JP" altLang="en-US" sz="4600" b="0" i="0" u="none" strike="noStrike" baseline="0">
              <a:solidFill>
                <a:srgbClr val="008000"/>
              </a:solidFill>
              <a:latin typeface="ＤＦ超極太明朝体"/>
              <a:ea typeface="ＤＦ超極太明朝体"/>
            </a:rPr>
            <a:t>京都</a:t>
          </a:r>
          <a:r>
            <a:rPr lang="en-US" altLang="ja-JP" sz="4600" b="0" i="0" u="none" strike="noStrike" baseline="0">
              <a:solidFill>
                <a:srgbClr val="008000"/>
              </a:solidFill>
              <a:latin typeface="ＤＦ超極太明朝体"/>
              <a:ea typeface="ＤＦ超極太明朝体"/>
            </a:rPr>
            <a:t>-</a:t>
          </a:r>
          <a:r>
            <a:rPr lang="ja-JP" altLang="en-US" sz="4600" b="0" i="0" u="none" strike="noStrike" baseline="0">
              <a:solidFill>
                <a:srgbClr val="008000"/>
              </a:solidFill>
              <a:latin typeface="ＤＦ超極太明朝体"/>
              <a:ea typeface="ＤＦ超極太明朝体"/>
            </a:rPr>
            <a:t>改修</a:t>
          </a:r>
        </a:p>
      </xdr:txBody>
    </xdr:sp>
    <xdr:clientData/>
  </xdr:twoCellAnchor>
  <xdr:twoCellAnchor editAs="oneCell">
    <xdr:from>
      <xdr:col>7</xdr:col>
      <xdr:colOff>200025</xdr:colOff>
      <xdr:row>41</xdr:row>
      <xdr:rowOff>95250</xdr:rowOff>
    </xdr:from>
    <xdr:to>
      <xdr:col>7</xdr:col>
      <xdr:colOff>437790</xdr:colOff>
      <xdr:row>49</xdr:row>
      <xdr:rowOff>10031</xdr:rowOff>
    </xdr:to>
    <xdr:pic>
      <xdr:nvPicPr>
        <xdr:cNvPr id="2" name="図 1"/>
        <xdr:cNvPicPr>
          <a:picLocks noChangeAspect="1"/>
        </xdr:cNvPicPr>
      </xdr:nvPicPr>
      <xdr:blipFill>
        <a:blip xmlns:r="http://schemas.openxmlformats.org/officeDocument/2006/relationships" r:embed="rId14" cstate="print"/>
        <a:stretch>
          <a:fillRect/>
        </a:stretch>
      </xdr:blipFill>
      <xdr:spPr>
        <a:xfrm>
          <a:off x="3562350" y="8382000"/>
          <a:ext cx="237765" cy="1438781"/>
        </a:xfrm>
        <a:prstGeom prst="rect">
          <a:avLst/>
        </a:prstGeom>
      </xdr:spPr>
    </xdr:pic>
    <xdr:clientData/>
  </xdr:twoCellAnchor>
  <xdr:twoCellAnchor editAs="oneCell">
    <xdr:from>
      <xdr:col>11</xdr:col>
      <xdr:colOff>38100</xdr:colOff>
      <xdr:row>52</xdr:row>
      <xdr:rowOff>114300</xdr:rowOff>
    </xdr:from>
    <xdr:to>
      <xdr:col>11</xdr:col>
      <xdr:colOff>275865</xdr:colOff>
      <xdr:row>59</xdr:row>
      <xdr:rowOff>181481</xdr:rowOff>
    </xdr:to>
    <xdr:pic>
      <xdr:nvPicPr>
        <xdr:cNvPr id="57" name="図 56"/>
        <xdr:cNvPicPr>
          <a:picLocks noChangeAspect="1"/>
        </xdr:cNvPicPr>
      </xdr:nvPicPr>
      <xdr:blipFill>
        <a:blip xmlns:r="http://schemas.openxmlformats.org/officeDocument/2006/relationships" r:embed="rId14" cstate="print"/>
        <a:stretch>
          <a:fillRect/>
        </a:stretch>
      </xdr:blipFill>
      <xdr:spPr>
        <a:xfrm>
          <a:off x="6753225" y="10534650"/>
          <a:ext cx="237765" cy="1438781"/>
        </a:xfrm>
        <a:prstGeom prst="rect">
          <a:avLst/>
        </a:prstGeom>
      </xdr:spPr>
    </xdr:pic>
    <xdr:clientData/>
  </xdr:twoCellAnchor>
  <xdr:twoCellAnchor editAs="oneCell">
    <xdr:from>
      <xdr:col>11</xdr:col>
      <xdr:colOff>19050</xdr:colOff>
      <xdr:row>41</xdr:row>
      <xdr:rowOff>114300</xdr:rowOff>
    </xdr:from>
    <xdr:to>
      <xdr:col>11</xdr:col>
      <xdr:colOff>256815</xdr:colOff>
      <xdr:row>49</xdr:row>
      <xdr:rowOff>29081</xdr:rowOff>
    </xdr:to>
    <xdr:pic>
      <xdr:nvPicPr>
        <xdr:cNvPr id="58" name="図 57"/>
        <xdr:cNvPicPr>
          <a:picLocks noChangeAspect="1"/>
        </xdr:cNvPicPr>
      </xdr:nvPicPr>
      <xdr:blipFill>
        <a:blip xmlns:r="http://schemas.openxmlformats.org/officeDocument/2006/relationships" r:embed="rId14" cstate="print"/>
        <a:stretch>
          <a:fillRect/>
        </a:stretch>
      </xdr:blipFill>
      <xdr:spPr>
        <a:xfrm>
          <a:off x="6734175" y="8401050"/>
          <a:ext cx="237765" cy="1438781"/>
        </a:xfrm>
        <a:prstGeom prst="rect">
          <a:avLst/>
        </a:prstGeom>
      </xdr:spPr>
    </xdr:pic>
    <xdr:clientData/>
  </xdr:twoCellAnchor>
  <xdr:twoCellAnchor editAs="oneCell">
    <xdr:from>
      <xdr:col>7</xdr:col>
      <xdr:colOff>200025</xdr:colOff>
      <xdr:row>52</xdr:row>
      <xdr:rowOff>114300</xdr:rowOff>
    </xdr:from>
    <xdr:to>
      <xdr:col>7</xdr:col>
      <xdr:colOff>437790</xdr:colOff>
      <xdr:row>59</xdr:row>
      <xdr:rowOff>181481</xdr:rowOff>
    </xdr:to>
    <xdr:pic>
      <xdr:nvPicPr>
        <xdr:cNvPr id="59" name="図 58"/>
        <xdr:cNvPicPr>
          <a:picLocks noChangeAspect="1"/>
        </xdr:cNvPicPr>
      </xdr:nvPicPr>
      <xdr:blipFill>
        <a:blip xmlns:r="http://schemas.openxmlformats.org/officeDocument/2006/relationships" r:embed="rId14" cstate="print"/>
        <a:stretch>
          <a:fillRect/>
        </a:stretch>
      </xdr:blipFill>
      <xdr:spPr>
        <a:xfrm>
          <a:off x="3562350" y="10534650"/>
          <a:ext cx="237765" cy="1438781"/>
        </a:xfrm>
        <a:prstGeom prst="rect">
          <a:avLst/>
        </a:prstGeom>
      </xdr:spPr>
    </xdr:pic>
    <xdr:clientData/>
  </xdr:twoCellAnchor>
  <xdr:twoCellAnchor editAs="oneCell">
    <xdr:from>
      <xdr:col>1</xdr:col>
      <xdr:colOff>37071</xdr:colOff>
      <xdr:row>41</xdr:row>
      <xdr:rowOff>85725</xdr:rowOff>
    </xdr:from>
    <xdr:to>
      <xdr:col>2</xdr:col>
      <xdr:colOff>39939</xdr:colOff>
      <xdr:row>48</xdr:row>
      <xdr:rowOff>133350</xdr:rowOff>
    </xdr:to>
    <xdr:pic>
      <xdr:nvPicPr>
        <xdr:cNvPr id="63" name="図 62"/>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94221" y="8372475"/>
          <a:ext cx="164793" cy="1381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xdr:col>
      <xdr:colOff>27546</xdr:colOff>
      <xdr:row>52</xdr:row>
      <xdr:rowOff>123825</xdr:rowOff>
    </xdr:from>
    <xdr:to>
      <xdr:col>2</xdr:col>
      <xdr:colOff>30414</xdr:colOff>
      <xdr:row>59</xdr:row>
      <xdr:rowOff>133350</xdr:rowOff>
    </xdr:to>
    <xdr:pic>
      <xdr:nvPicPr>
        <xdr:cNvPr id="65" name="図 6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a:stretch>
          <a:fillRect/>
        </a:stretch>
      </xdr:blipFill>
      <xdr:spPr bwMode="auto">
        <a:xfrm>
          <a:off x="84696" y="10544175"/>
          <a:ext cx="164793" cy="13811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371474</xdr:colOff>
      <xdr:row>56</xdr:row>
      <xdr:rowOff>19050</xdr:rowOff>
    </xdr:from>
    <xdr:to>
      <xdr:col>14</xdr:col>
      <xdr:colOff>600299</xdr:colOff>
      <xdr:row>56</xdr:row>
      <xdr:rowOff>19050</xdr:rowOff>
    </xdr:to>
    <xdr:cxnSp macro="">
      <xdr:nvCxnSpPr>
        <xdr:cNvPr id="70" name="直線コネクタ 69"/>
        <xdr:cNvCxnSpPr/>
      </xdr:nvCxnSpPr>
      <xdr:spPr>
        <a:xfrm>
          <a:off x="7086599" y="10782300"/>
          <a:ext cx="2772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390524</xdr:colOff>
      <xdr:row>56</xdr:row>
      <xdr:rowOff>0</xdr:rowOff>
    </xdr:from>
    <xdr:to>
      <xdr:col>10</xdr:col>
      <xdr:colOff>786599</xdr:colOff>
      <xdr:row>56</xdr:row>
      <xdr:rowOff>0</xdr:rowOff>
    </xdr:to>
    <xdr:cxnSp macro="">
      <xdr:nvCxnSpPr>
        <xdr:cNvPr id="71" name="直線コネクタ 70"/>
        <xdr:cNvCxnSpPr/>
      </xdr:nvCxnSpPr>
      <xdr:spPr>
        <a:xfrm>
          <a:off x="3752849" y="10763250"/>
          <a:ext cx="2844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66674</xdr:colOff>
      <xdr:row>55</xdr:row>
      <xdr:rowOff>190500</xdr:rowOff>
    </xdr:from>
    <xdr:to>
      <xdr:col>6</xdr:col>
      <xdr:colOff>478724</xdr:colOff>
      <xdr:row>55</xdr:row>
      <xdr:rowOff>190500</xdr:rowOff>
    </xdr:to>
    <xdr:cxnSp macro="">
      <xdr:nvCxnSpPr>
        <xdr:cNvPr id="72" name="直線コネクタ 71"/>
        <xdr:cNvCxnSpPr/>
      </xdr:nvCxnSpPr>
      <xdr:spPr>
        <a:xfrm>
          <a:off x="285749" y="10753725"/>
          <a:ext cx="306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380999</xdr:colOff>
      <xdr:row>44</xdr:row>
      <xdr:rowOff>161925</xdr:rowOff>
    </xdr:from>
    <xdr:to>
      <xdr:col>14</xdr:col>
      <xdr:colOff>609824</xdr:colOff>
      <xdr:row>44</xdr:row>
      <xdr:rowOff>161925</xdr:rowOff>
    </xdr:to>
    <xdr:cxnSp macro="">
      <xdr:nvCxnSpPr>
        <xdr:cNvPr id="73" name="直線コネクタ 72"/>
        <xdr:cNvCxnSpPr/>
      </xdr:nvCxnSpPr>
      <xdr:spPr>
        <a:xfrm>
          <a:off x="7096124" y="8591550"/>
          <a:ext cx="2772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380999</xdr:colOff>
      <xdr:row>44</xdr:row>
      <xdr:rowOff>180975</xdr:rowOff>
    </xdr:from>
    <xdr:to>
      <xdr:col>10</xdr:col>
      <xdr:colOff>741074</xdr:colOff>
      <xdr:row>44</xdr:row>
      <xdr:rowOff>180975</xdr:rowOff>
    </xdr:to>
    <xdr:cxnSp macro="">
      <xdr:nvCxnSpPr>
        <xdr:cNvPr id="74" name="直線コネクタ 73"/>
        <xdr:cNvCxnSpPr/>
      </xdr:nvCxnSpPr>
      <xdr:spPr>
        <a:xfrm>
          <a:off x="3743324" y="8610600"/>
          <a:ext cx="2808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47624</xdr:colOff>
      <xdr:row>44</xdr:row>
      <xdr:rowOff>171450</xdr:rowOff>
    </xdr:from>
    <xdr:to>
      <xdr:col>6</xdr:col>
      <xdr:colOff>459674</xdr:colOff>
      <xdr:row>44</xdr:row>
      <xdr:rowOff>171450</xdr:rowOff>
    </xdr:to>
    <xdr:cxnSp macro="">
      <xdr:nvCxnSpPr>
        <xdr:cNvPr id="5" name="直線コネクタ 4"/>
        <xdr:cNvCxnSpPr/>
      </xdr:nvCxnSpPr>
      <xdr:spPr>
        <a:xfrm>
          <a:off x="266699" y="8601075"/>
          <a:ext cx="30600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xdr:colOff>
      <xdr:row>84</xdr:row>
      <xdr:rowOff>85725</xdr:rowOff>
    </xdr:from>
    <xdr:to>
      <xdr:col>14</xdr:col>
      <xdr:colOff>866775</xdr:colOff>
      <xdr:row>89</xdr:row>
      <xdr:rowOff>104775</xdr:rowOff>
    </xdr:to>
    <xdr:sp macro="" textlink="">
      <xdr:nvSpPr>
        <xdr:cNvPr id="26658" name="Text Box 141"/>
        <xdr:cNvSpPr txBox="1">
          <a:spLocks noChangeArrowheads="1"/>
        </xdr:cNvSpPr>
      </xdr:nvSpPr>
      <xdr:spPr bwMode="auto">
        <a:xfrm>
          <a:off x="38100" y="17573625"/>
          <a:ext cx="10029825" cy="847725"/>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t"/>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 </a:t>
          </a:r>
          <a:r>
            <a:rPr lang="ja-JP" altLang="en-US" sz="900" b="0" i="0" u="none" strike="noStrike" baseline="0">
              <a:solidFill>
                <a:srgbClr val="000000"/>
              </a:solidFill>
              <a:latin typeface="ＭＳ Ｐゴシック"/>
              <a:ea typeface="ＭＳ Ｐゴシック"/>
            </a:rPr>
            <a:t>（建築環境総合性能評価システム）</a:t>
          </a:r>
        </a:p>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7</xdr:col>
      <xdr:colOff>171450</xdr:colOff>
      <xdr:row>41</xdr:row>
      <xdr:rowOff>38100</xdr:rowOff>
    </xdr:from>
    <xdr:to>
      <xdr:col>10</xdr:col>
      <xdr:colOff>790575</xdr:colOff>
      <xdr:row>49</xdr:row>
      <xdr:rowOff>123825</xdr:rowOff>
    </xdr:to>
    <xdr:graphicFrame macro="">
      <xdr:nvGraphicFramePr>
        <xdr:cNvPr id="26625"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171450</xdr:colOff>
      <xdr:row>52</xdr:row>
      <xdr:rowOff>66675</xdr:rowOff>
    </xdr:from>
    <xdr:to>
      <xdr:col>14</xdr:col>
      <xdr:colOff>638175</xdr:colOff>
      <xdr:row>60</xdr:row>
      <xdr:rowOff>104775</xdr:rowOff>
    </xdr:to>
    <xdr:graphicFrame macro="">
      <xdr:nvGraphicFramePr>
        <xdr:cNvPr id="26626"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171450</xdr:colOff>
      <xdr:row>41</xdr:row>
      <xdr:rowOff>28575</xdr:rowOff>
    </xdr:from>
    <xdr:to>
      <xdr:col>14</xdr:col>
      <xdr:colOff>647700</xdr:colOff>
      <xdr:row>49</xdr:row>
      <xdr:rowOff>123825</xdr:rowOff>
    </xdr:to>
    <xdr:graphicFrame macro="">
      <xdr:nvGraphicFramePr>
        <xdr:cNvPr id="26627"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190500</xdr:colOff>
      <xdr:row>52</xdr:row>
      <xdr:rowOff>57150</xdr:rowOff>
    </xdr:from>
    <xdr:to>
      <xdr:col>10</xdr:col>
      <xdr:colOff>819150</xdr:colOff>
      <xdr:row>60</xdr:row>
      <xdr:rowOff>85725</xdr:rowOff>
    </xdr:to>
    <xdr:graphicFrame macro="">
      <xdr:nvGraphicFramePr>
        <xdr:cNvPr id="26628"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52</xdr:row>
      <xdr:rowOff>57150</xdr:rowOff>
    </xdr:from>
    <xdr:to>
      <xdr:col>7</xdr:col>
      <xdr:colOff>28575</xdr:colOff>
      <xdr:row>60</xdr:row>
      <xdr:rowOff>85725</xdr:rowOff>
    </xdr:to>
    <xdr:graphicFrame macro="">
      <xdr:nvGraphicFramePr>
        <xdr:cNvPr id="26629"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41</xdr:row>
      <xdr:rowOff>38100</xdr:rowOff>
    </xdr:from>
    <xdr:to>
      <xdr:col>7</xdr:col>
      <xdr:colOff>28575</xdr:colOff>
      <xdr:row>49</xdr:row>
      <xdr:rowOff>95250</xdr:rowOff>
    </xdr:to>
    <xdr:graphicFrame macro="">
      <xdr:nvGraphicFramePr>
        <xdr:cNvPr id="2663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12</xdr:col>
      <xdr:colOff>762000</xdr:colOff>
      <xdr:row>40</xdr:row>
      <xdr:rowOff>180975</xdr:rowOff>
    </xdr:from>
    <xdr:ext cx="779957" cy="201850"/>
    <xdr:sp macro="" textlink="">
      <xdr:nvSpPr>
        <xdr:cNvPr id="5255" name="Text Box 135"/>
        <xdr:cNvSpPr txBox="1">
          <a:spLocks noChangeArrowheads="1"/>
        </xdr:cNvSpPr>
      </xdr:nvSpPr>
      <xdr:spPr bwMode="auto">
        <a:xfrm>
          <a:off x="830580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12</xdr:col>
      <xdr:colOff>676275</xdr:colOff>
      <xdr:row>51</xdr:row>
      <xdr:rowOff>180975</xdr:rowOff>
    </xdr:from>
    <xdr:ext cx="845040" cy="201850"/>
    <xdr:sp macro="" textlink="">
      <xdr:nvSpPr>
        <xdr:cNvPr id="5256" name="Text Box 136"/>
        <xdr:cNvSpPr txBox="1">
          <a:spLocks noChangeArrowheads="1"/>
        </xdr:cNvSpPr>
      </xdr:nvSpPr>
      <xdr:spPr bwMode="auto">
        <a:xfrm>
          <a:off x="8220075" y="99822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447675</xdr:colOff>
      <xdr:row>51</xdr:row>
      <xdr:rowOff>180975</xdr:rowOff>
    </xdr:from>
    <xdr:ext cx="845040" cy="201850"/>
    <xdr:sp macro="" textlink="">
      <xdr:nvSpPr>
        <xdr:cNvPr id="5257" name="Text Box 137"/>
        <xdr:cNvSpPr txBox="1">
          <a:spLocks noChangeArrowheads="1"/>
        </xdr:cNvSpPr>
      </xdr:nvSpPr>
      <xdr:spPr bwMode="auto">
        <a:xfrm>
          <a:off x="4791075" y="99822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514350</xdr:colOff>
      <xdr:row>40</xdr:row>
      <xdr:rowOff>180975</xdr:rowOff>
    </xdr:from>
    <xdr:ext cx="779957" cy="201850"/>
    <xdr:sp macro="" textlink="">
      <xdr:nvSpPr>
        <xdr:cNvPr id="5258" name="Text Box 138"/>
        <xdr:cNvSpPr txBox="1">
          <a:spLocks noChangeArrowheads="1"/>
        </xdr:cNvSpPr>
      </xdr:nvSpPr>
      <xdr:spPr bwMode="auto">
        <a:xfrm>
          <a:off x="485775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257175</xdr:colOff>
      <xdr:row>40</xdr:row>
      <xdr:rowOff>180975</xdr:rowOff>
    </xdr:from>
    <xdr:ext cx="779957" cy="201850"/>
    <xdr:sp macro="" textlink="">
      <xdr:nvSpPr>
        <xdr:cNvPr id="5259" name="Text Box 139"/>
        <xdr:cNvSpPr txBox="1">
          <a:spLocks noChangeArrowheads="1"/>
        </xdr:cNvSpPr>
      </xdr:nvSpPr>
      <xdr:spPr bwMode="auto">
        <a:xfrm>
          <a:off x="1905000" y="784860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228600</xdr:colOff>
      <xdr:row>51</xdr:row>
      <xdr:rowOff>142875</xdr:rowOff>
    </xdr:from>
    <xdr:ext cx="845040" cy="201850"/>
    <xdr:sp macro="" textlink="">
      <xdr:nvSpPr>
        <xdr:cNvPr id="5260" name="Text Box 140"/>
        <xdr:cNvSpPr txBox="1">
          <a:spLocks noChangeArrowheads="1"/>
        </xdr:cNvSpPr>
      </xdr:nvSpPr>
      <xdr:spPr bwMode="auto">
        <a:xfrm>
          <a:off x="1876425" y="9944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xdr:from>
      <xdr:col>2</xdr:col>
      <xdr:colOff>171450</xdr:colOff>
      <xdr:row>71</xdr:row>
      <xdr:rowOff>19050</xdr:rowOff>
    </xdr:from>
    <xdr:to>
      <xdr:col>6</xdr:col>
      <xdr:colOff>47625</xdr:colOff>
      <xdr:row>84</xdr:row>
      <xdr:rowOff>19050</xdr:rowOff>
    </xdr:to>
    <xdr:graphicFrame macro="">
      <xdr:nvGraphicFramePr>
        <xdr:cNvPr id="26657" name="グラフ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xdr:col>
      <xdr:colOff>0</xdr:colOff>
      <xdr:row>25</xdr:row>
      <xdr:rowOff>38100</xdr:rowOff>
    </xdr:from>
    <xdr:ext cx="3009900" cy="200025"/>
    <xdr:sp macro="" textlink="">
      <xdr:nvSpPr>
        <xdr:cNvPr id="26631" name="Text Box 129"/>
        <xdr:cNvSpPr txBox="1">
          <a:spLocks noChangeArrowheads="1"/>
        </xdr:cNvSpPr>
      </xdr:nvSpPr>
      <xdr:spPr bwMode="auto">
        <a:xfrm>
          <a:off x="219075" y="4610100"/>
          <a:ext cx="3009900" cy="200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950" b="0" i="0" u="none" strike="noStrike" baseline="0">
              <a:solidFill>
                <a:srgbClr val="000000"/>
              </a:solidFill>
              <a:latin typeface="ＭＳ Ｐゴシック"/>
              <a:ea typeface="ＭＳ Ｐゴシック"/>
            </a:rPr>
            <a:t>S: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A: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B</a:t>
          </a:r>
          <a:r>
            <a:rPr lang="ja-JP" altLang="en-US" sz="950" b="0" i="0" u="none" strike="noStrike" baseline="30000">
              <a:solidFill>
                <a:srgbClr val="000000"/>
              </a:solidFill>
              <a:latin typeface="ＭＳ Ｐゴシック"/>
              <a:ea typeface="ＭＳ Ｐゴシック"/>
            </a:rPr>
            <a:t>-</a:t>
          </a:r>
          <a:r>
            <a:rPr lang="ja-JP" altLang="en-US" sz="950" b="0" i="0" u="none" strike="noStrike" baseline="0">
              <a:solidFill>
                <a:srgbClr val="000000"/>
              </a:solidFill>
              <a:latin typeface="ＭＳ Ｐゴシック"/>
              <a:ea typeface="ＭＳ Ｐゴシック"/>
            </a:rPr>
            <a:t>: </a:t>
          </a:r>
          <a:r>
            <a:rPr lang="ja-JP" altLang="en-US" sz="950" b="0" i="0" u="none" strike="noStrike" baseline="0">
              <a:solidFill>
                <a:srgbClr val="333333"/>
              </a:solidFill>
              <a:latin typeface="ＭＳ Ｐゴシック"/>
              <a:ea typeface="ＭＳ Ｐゴシック"/>
            </a:rPr>
            <a:t>★★  </a:t>
          </a:r>
          <a:r>
            <a:rPr lang="ja-JP" altLang="en-US" sz="950" b="0" i="0" u="none" strike="noStrike" baseline="0">
              <a:solidFill>
                <a:srgbClr val="000000"/>
              </a:solidFill>
              <a:latin typeface="ＭＳ Ｐゴシック"/>
              <a:ea typeface="ＭＳ Ｐゴシック"/>
            </a:rPr>
            <a:t>C: </a:t>
          </a:r>
          <a:r>
            <a:rPr lang="ja-JP" altLang="en-US" sz="950" b="0" i="0" u="none" strike="noStrike" baseline="0">
              <a:solidFill>
                <a:srgbClr val="333333"/>
              </a:solidFill>
              <a:latin typeface="ＭＳ Ｐゴシック"/>
              <a:ea typeface="ＭＳ Ｐゴシック"/>
            </a:rPr>
            <a:t>★</a:t>
          </a:r>
        </a:p>
      </xdr:txBody>
    </xdr:sp>
    <xdr:clientData/>
  </xdr:oneCellAnchor>
  <xdr:twoCellAnchor>
    <xdr:from>
      <xdr:col>3</xdr:col>
      <xdr:colOff>285750</xdr:colOff>
      <xdr:row>21</xdr:row>
      <xdr:rowOff>180975</xdr:rowOff>
    </xdr:from>
    <xdr:to>
      <xdr:col>6</xdr:col>
      <xdr:colOff>400050</xdr:colOff>
      <xdr:row>24</xdr:row>
      <xdr:rowOff>9525</xdr:rowOff>
    </xdr:to>
    <xdr:graphicFrame macro="">
      <xdr:nvGraphicFramePr>
        <xdr:cNvPr id="26645"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285750</xdr:colOff>
      <xdr:row>23</xdr:row>
      <xdr:rowOff>123825</xdr:rowOff>
    </xdr:from>
    <xdr:to>
      <xdr:col>6</xdr:col>
      <xdr:colOff>419100</xdr:colOff>
      <xdr:row>25</xdr:row>
      <xdr:rowOff>57150</xdr:rowOff>
    </xdr:to>
    <xdr:graphicFrame macro="">
      <xdr:nvGraphicFramePr>
        <xdr:cNvPr id="26646"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180975</xdr:colOff>
      <xdr:row>25</xdr:row>
      <xdr:rowOff>171450</xdr:rowOff>
    </xdr:from>
    <xdr:to>
      <xdr:col>6</xdr:col>
      <xdr:colOff>85725</xdr:colOff>
      <xdr:row>37</xdr:row>
      <xdr:rowOff>85725</xdr:rowOff>
    </xdr:to>
    <xdr:graphicFrame macro="">
      <xdr:nvGraphicFramePr>
        <xdr:cNvPr id="26647"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733425</xdr:colOff>
      <xdr:row>36</xdr:row>
      <xdr:rowOff>219075</xdr:rowOff>
    </xdr:from>
    <xdr:to>
      <xdr:col>3</xdr:col>
      <xdr:colOff>400050</xdr:colOff>
      <xdr:row>38</xdr:row>
      <xdr:rowOff>0</xdr:rowOff>
    </xdr:to>
    <xdr:sp macro="" textlink="">
      <xdr:nvSpPr>
        <xdr:cNvPr id="26648" name="Text Box 138"/>
        <xdr:cNvSpPr txBox="1">
          <a:spLocks noChangeArrowheads="1"/>
        </xdr:cNvSpPr>
      </xdr:nvSpPr>
      <xdr:spPr bwMode="auto">
        <a:xfrm>
          <a:off x="952500" y="6991350"/>
          <a:ext cx="685800" cy="2000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ctr" rtl="0">
            <a:defRPr sz="1000"/>
          </a:pPr>
          <a:r>
            <a:rPr lang="ja-JP" altLang="en-US" sz="1100" b="1" i="0" u="none" strike="noStrike" baseline="0">
              <a:solidFill>
                <a:srgbClr val="000000"/>
              </a:solidFill>
              <a:latin typeface="ＭＳ Ｐゴシック"/>
              <a:ea typeface="ＭＳ Ｐゴシック"/>
            </a:rPr>
            <a:t>⊿</a:t>
          </a:r>
          <a:r>
            <a:rPr lang="ja-JP" altLang="en-US" sz="1100" b="1" i="0" u="none" strike="noStrike" baseline="0">
              <a:solidFill>
                <a:srgbClr val="000000"/>
              </a:solidFill>
              <a:latin typeface="Arial"/>
              <a:ea typeface="ＭＳ Ｐゴシック"/>
              <a:cs typeface="Arial"/>
            </a:rPr>
            <a:t>BEE=</a:t>
          </a:r>
          <a:endParaRPr lang="ja-JP" altLang="en-US" sz="1100" b="1" i="0" u="none" strike="noStrike" baseline="0">
            <a:solidFill>
              <a:srgbClr val="000000"/>
            </a:solidFill>
            <a:latin typeface="Arial"/>
            <a:cs typeface="Arial"/>
          </a:endParaRPr>
        </a:p>
      </xdr:txBody>
    </xdr:sp>
    <xdr:clientData/>
  </xdr:twoCellAnchor>
  <xdr:twoCellAnchor>
    <xdr:from>
      <xdr:col>10</xdr:col>
      <xdr:colOff>866775</xdr:colOff>
      <xdr:row>23</xdr:row>
      <xdr:rowOff>114300</xdr:rowOff>
    </xdr:from>
    <xdr:to>
      <xdr:col>16</xdr:col>
      <xdr:colOff>9525</xdr:colOff>
      <xdr:row>37</xdr:row>
      <xdr:rowOff>152400</xdr:rowOff>
    </xdr:to>
    <xdr:graphicFrame macro="">
      <xdr:nvGraphicFramePr>
        <xdr:cNvPr id="26649"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3</xdr:col>
      <xdr:colOff>390525</xdr:colOff>
      <xdr:row>21</xdr:row>
      <xdr:rowOff>152400</xdr:rowOff>
    </xdr:from>
    <xdr:ext cx="0" cy="171450"/>
    <xdr:sp macro="" textlink="">
      <xdr:nvSpPr>
        <xdr:cNvPr id="26652" name="Text Box 28"/>
        <xdr:cNvSpPr txBox="1">
          <a:spLocks noChangeArrowheads="1"/>
        </xdr:cNvSpPr>
      </xdr:nvSpPr>
      <xdr:spPr bwMode="auto">
        <a:xfrm>
          <a:off x="1628775" y="3829050"/>
          <a:ext cx="0" cy="17145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sp>
    <xdr:clientData/>
  </xdr:oneCellAnchor>
  <xdr:oneCellAnchor>
    <xdr:from>
      <xdr:col>3</xdr:col>
      <xdr:colOff>390525</xdr:colOff>
      <xdr:row>21</xdr:row>
      <xdr:rowOff>152400</xdr:rowOff>
    </xdr:from>
    <xdr:ext cx="0" cy="171450"/>
    <xdr:sp macro="" textlink="">
      <xdr:nvSpPr>
        <xdr:cNvPr id="26653" name="Text Box 29"/>
        <xdr:cNvSpPr txBox="1">
          <a:spLocks noChangeArrowheads="1"/>
        </xdr:cNvSpPr>
      </xdr:nvSpPr>
      <xdr:spPr bwMode="auto">
        <a:xfrm>
          <a:off x="1628775" y="3829050"/>
          <a:ext cx="0" cy="17145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sp>
    <xdr:clientData/>
  </xdr:oneCellAnchor>
  <xdr:oneCellAnchor>
    <xdr:from>
      <xdr:col>3</xdr:col>
      <xdr:colOff>390525</xdr:colOff>
      <xdr:row>21</xdr:row>
      <xdr:rowOff>104775</xdr:rowOff>
    </xdr:from>
    <xdr:ext cx="0" cy="171450"/>
    <xdr:sp macro="" textlink="">
      <xdr:nvSpPr>
        <xdr:cNvPr id="26654" name="Text Box 30"/>
        <xdr:cNvSpPr txBox="1">
          <a:spLocks noChangeArrowheads="1"/>
        </xdr:cNvSpPr>
      </xdr:nvSpPr>
      <xdr:spPr bwMode="auto">
        <a:xfrm>
          <a:off x="1628775" y="3781425"/>
          <a:ext cx="0" cy="17145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sp>
    <xdr:clientData/>
  </xdr:oneCellAnchor>
  <xdr:twoCellAnchor>
    <xdr:from>
      <xdr:col>1</xdr:col>
      <xdr:colOff>38100</xdr:colOff>
      <xdr:row>22</xdr:row>
      <xdr:rowOff>104775</xdr:rowOff>
    </xdr:from>
    <xdr:to>
      <xdr:col>2</xdr:col>
      <xdr:colOff>904875</xdr:colOff>
      <xdr:row>23</xdr:row>
      <xdr:rowOff>219075</xdr:rowOff>
    </xdr:to>
    <xdr:sp macro="" textlink="">
      <xdr:nvSpPr>
        <xdr:cNvPr id="26655" name="Text Box 31"/>
        <xdr:cNvSpPr txBox="1">
          <a:spLocks noChangeArrowheads="1"/>
        </xdr:cNvSpPr>
      </xdr:nvSpPr>
      <xdr:spPr bwMode="auto">
        <a:xfrm>
          <a:off x="95250" y="4029075"/>
          <a:ext cx="1028700" cy="257175"/>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改修前</a:t>
          </a:r>
          <a:r>
            <a:rPr lang="ja-JP" altLang="en-US" sz="1200" b="0" i="0" u="none" strike="noStrike" baseline="0">
              <a:solidFill>
                <a:srgbClr val="000000"/>
              </a:solidFill>
              <a:latin typeface="Arial"/>
              <a:ea typeface="ＭＳ Ｐゴシック"/>
              <a:cs typeface="Arial"/>
            </a:rPr>
            <a:t> BEE=</a:t>
          </a:r>
          <a:endParaRPr lang="ja-JP" altLang="en-US" sz="1200" b="0" i="0" u="none" strike="noStrike" baseline="0">
            <a:solidFill>
              <a:srgbClr val="000000"/>
            </a:solidFill>
            <a:latin typeface="Arial"/>
            <a:cs typeface="Arial"/>
          </a:endParaRPr>
        </a:p>
      </xdr:txBody>
    </xdr:sp>
    <xdr:clientData/>
  </xdr:twoCellAnchor>
  <xdr:twoCellAnchor>
    <xdr:from>
      <xdr:col>1</xdr:col>
      <xdr:colOff>38100</xdr:colOff>
      <xdr:row>23</xdr:row>
      <xdr:rowOff>266700</xdr:rowOff>
    </xdr:from>
    <xdr:to>
      <xdr:col>2</xdr:col>
      <xdr:colOff>904875</xdr:colOff>
      <xdr:row>25</xdr:row>
      <xdr:rowOff>47625</xdr:rowOff>
    </xdr:to>
    <xdr:sp macro="" textlink="">
      <xdr:nvSpPr>
        <xdr:cNvPr id="26656" name="Text Box 32"/>
        <xdr:cNvSpPr txBox="1">
          <a:spLocks noChangeArrowheads="1"/>
        </xdr:cNvSpPr>
      </xdr:nvSpPr>
      <xdr:spPr bwMode="auto">
        <a:xfrm>
          <a:off x="95250" y="4333875"/>
          <a:ext cx="1028700" cy="28575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改修後</a:t>
          </a:r>
          <a:r>
            <a:rPr lang="ja-JP" altLang="en-US" sz="1200" b="0" i="0" u="none" strike="noStrike" baseline="0">
              <a:solidFill>
                <a:srgbClr val="000000"/>
              </a:solidFill>
              <a:latin typeface="Arial"/>
              <a:ea typeface="ＭＳ Ｐゴシック"/>
              <a:cs typeface="Arial"/>
            </a:rPr>
            <a:t> BEE=</a:t>
          </a:r>
          <a:endParaRPr lang="ja-JP" altLang="en-US" sz="1200" b="0" i="0" u="none" strike="noStrike" baseline="0">
            <a:solidFill>
              <a:srgbClr val="000000"/>
            </a:solidFill>
            <a:latin typeface="Arial"/>
            <a:cs typeface="Arial"/>
          </a:endParaRPr>
        </a:p>
      </xdr:txBody>
    </xdr:sp>
    <xdr:clientData/>
  </xdr:twoCellAnchor>
  <xdr:twoCellAnchor>
    <xdr:from>
      <xdr:col>7</xdr:col>
      <xdr:colOff>952500</xdr:colOff>
      <xdr:row>23</xdr:row>
      <xdr:rowOff>95250</xdr:rowOff>
    </xdr:from>
    <xdr:to>
      <xdr:col>10</xdr:col>
      <xdr:colOff>428625</xdr:colOff>
      <xdr:row>25</xdr:row>
      <xdr:rowOff>66675</xdr:rowOff>
    </xdr:to>
    <xdr:graphicFrame macro="">
      <xdr:nvGraphicFramePr>
        <xdr:cNvPr id="26662"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942975</xdr:colOff>
      <xdr:row>21</xdr:row>
      <xdr:rowOff>200025</xdr:rowOff>
    </xdr:from>
    <xdr:to>
      <xdr:col>10</xdr:col>
      <xdr:colOff>428625</xdr:colOff>
      <xdr:row>24</xdr:row>
      <xdr:rowOff>0</xdr:rowOff>
    </xdr:to>
    <xdr:graphicFrame macro="">
      <xdr:nvGraphicFramePr>
        <xdr:cNvPr id="26666"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10</xdr:col>
      <xdr:colOff>114300</xdr:colOff>
      <xdr:row>34</xdr:row>
      <xdr:rowOff>66675</xdr:rowOff>
    </xdr:from>
    <xdr:ext cx="800100" cy="171450"/>
    <xdr:sp macro="" textlink="">
      <xdr:nvSpPr>
        <xdr:cNvPr id="26669" name="Text Box 134"/>
        <xdr:cNvSpPr txBox="1">
          <a:spLocks noChangeArrowheads="1"/>
        </xdr:cNvSpPr>
      </xdr:nvSpPr>
      <xdr:spPr bwMode="auto">
        <a:xfrm>
          <a:off x="5924550" y="6457950"/>
          <a:ext cx="800100" cy="1714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wrap="none" lIns="0" tIns="18288" rIns="27432" bIns="0" anchor="t">
          <a:spAutoFit/>
        </a:bodyPr>
        <a:lstStyle/>
        <a:p>
          <a:pPr algn="r" rtl="0">
            <a:defRPr sz="1000"/>
          </a:pPr>
          <a:r>
            <a:rPr lang="ja-JP" altLang="en-US" sz="800" b="0" i="0" u="none" strike="noStrike" baseline="0">
              <a:solidFill>
                <a:srgbClr val="000000"/>
              </a:solidFill>
              <a:latin typeface="ＭＳ Ｐゴシック"/>
              <a:ea typeface="ＭＳ Ｐゴシック"/>
            </a:rPr>
            <a:t>（kg-CO</a:t>
          </a:r>
          <a:r>
            <a:rPr lang="ja-JP" altLang="en-US" sz="800" b="0" i="0" u="none" strike="noStrike" baseline="-25000">
              <a:solidFill>
                <a:srgbClr val="000000"/>
              </a:solidFill>
              <a:latin typeface="ＭＳ Ｐゴシック"/>
              <a:ea typeface="ＭＳ Ｐゴシック"/>
            </a:rPr>
            <a:t>2</a:t>
          </a:r>
          <a:r>
            <a:rPr lang="ja-JP" altLang="en-US" sz="800" b="0" i="0" u="none" strike="noStrike" baseline="0">
              <a:solidFill>
                <a:srgbClr val="000000"/>
              </a:solidFill>
              <a:latin typeface="ＭＳ Ｐゴシック"/>
              <a:ea typeface="ＭＳ Ｐゴシック"/>
            </a:rPr>
            <a:t>/年・㎡）</a:t>
          </a:r>
        </a:p>
      </xdr:txBody>
    </xdr:sp>
    <xdr:clientData/>
  </xdr:oneCellAnchor>
  <xdr:oneCellAnchor>
    <xdr:from>
      <xdr:col>7</xdr:col>
      <xdr:colOff>171450</xdr:colOff>
      <xdr:row>25</xdr:row>
      <xdr:rowOff>57150</xdr:rowOff>
    </xdr:from>
    <xdr:ext cx="3114675" cy="152400"/>
    <xdr:sp macro="" textlink="">
      <xdr:nvSpPr>
        <xdr:cNvPr id="26670" name="Text Box 129"/>
        <xdr:cNvSpPr txBox="1">
          <a:spLocks noChangeArrowheads="1"/>
        </xdr:cNvSpPr>
      </xdr:nvSpPr>
      <xdr:spPr bwMode="auto">
        <a:xfrm>
          <a:off x="3533775" y="4629150"/>
          <a:ext cx="3114675" cy="1524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wrap="none" lIns="27432" tIns="18288"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30%: </a:t>
          </a:r>
          <a:r>
            <a:rPr lang="ja-JP" altLang="en-US" sz="800" b="0" i="0" u="none" strike="noStrike" baseline="0">
              <a:solidFill>
                <a:srgbClr val="333333"/>
              </a:solidFill>
              <a:latin typeface="ＭＳ Ｐゴシック"/>
              <a:ea typeface="ＭＳ Ｐゴシック"/>
            </a:rPr>
            <a:t>☆☆☆☆☆  60%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80%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a:t>
          </a:r>
          <a:r>
            <a:rPr lang="ja-JP" altLang="en-US" sz="800" b="0" i="0" u="none" strike="noStrike" baseline="0">
              <a:solidFill>
                <a:srgbClr val="000000"/>
              </a:solidFill>
              <a:latin typeface="ＭＳ Ｐゴシック"/>
              <a:ea typeface="ＭＳ Ｐゴシック"/>
            </a:rPr>
            <a:t>: ☆☆</a:t>
          </a:r>
          <a:r>
            <a:rPr lang="ja-JP" altLang="en-US" sz="800" b="0" i="0" u="none" strike="noStrike" baseline="0">
              <a:solidFill>
                <a:srgbClr val="333333"/>
              </a:solidFill>
              <a:latin typeface="ＭＳ Ｐゴシック"/>
              <a:ea typeface="ＭＳ Ｐゴシック"/>
            </a:rPr>
            <a:t>  100%超</a:t>
          </a:r>
          <a:r>
            <a:rPr lang="ja-JP" altLang="en-US" sz="800" b="0" i="0" u="none" strike="noStrike" baseline="0">
              <a:solidFill>
                <a:srgbClr val="000000"/>
              </a:solidFill>
              <a:latin typeface="ＭＳ Ｐゴシック"/>
              <a:ea typeface="ＭＳ Ｐゴシック"/>
            </a:rPr>
            <a:t>: ☆</a:t>
          </a:r>
        </a:p>
      </xdr:txBody>
    </xdr:sp>
    <xdr:clientData/>
  </xdr:oneCellAnchor>
  <xdr:twoCellAnchor>
    <xdr:from>
      <xdr:col>7</xdr:col>
      <xdr:colOff>38100</xdr:colOff>
      <xdr:row>27</xdr:row>
      <xdr:rowOff>114300</xdr:rowOff>
    </xdr:from>
    <xdr:to>
      <xdr:col>8</xdr:col>
      <xdr:colOff>228600</xdr:colOff>
      <xdr:row>30</xdr:row>
      <xdr:rowOff>19050</xdr:rowOff>
    </xdr:to>
    <xdr:sp macro="" textlink="">
      <xdr:nvSpPr>
        <xdr:cNvPr id="26671" name="Text Box 131"/>
        <xdr:cNvSpPr txBox="1">
          <a:spLocks noChangeArrowheads="1"/>
        </xdr:cNvSpPr>
      </xdr:nvSpPr>
      <xdr:spPr bwMode="auto">
        <a:xfrm>
          <a:off x="3400425" y="5105400"/>
          <a:ext cx="1171575" cy="50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③建築物の取組み</a:t>
          </a:r>
        </a:p>
        <a:p>
          <a:pPr algn="l" rtl="0">
            <a:defRPr sz="1000"/>
          </a:pPr>
          <a:r>
            <a:rPr lang="ja-JP" altLang="en-US" sz="800" b="0" i="0" u="none" strike="noStrike" baseline="0">
              <a:solidFill>
                <a:srgbClr val="000000"/>
              </a:solidFill>
              <a:latin typeface="ＭＳ ゴシック"/>
              <a:ea typeface="ＭＳ ゴシック"/>
            </a:rPr>
            <a:t>　＋それ以外の</a:t>
          </a:r>
        </a:p>
        <a:p>
          <a:pPr algn="l" rtl="0">
            <a:defRPr sz="1000"/>
          </a:pPr>
          <a:r>
            <a:rPr lang="ja-JP" altLang="en-US" sz="800" b="0" i="0" u="none" strike="noStrike" baseline="0">
              <a:solidFill>
                <a:srgbClr val="000000"/>
              </a:solidFill>
              <a:latin typeface="ＭＳ ゴシック"/>
              <a:ea typeface="ＭＳ ゴシック"/>
            </a:rPr>
            <a:t>　オンサイト手法</a:t>
          </a:r>
        </a:p>
      </xdr:txBody>
    </xdr:sp>
    <xdr:clientData/>
  </xdr:twoCellAnchor>
  <xdr:twoCellAnchor>
    <xdr:from>
      <xdr:col>7</xdr:col>
      <xdr:colOff>152400</xdr:colOff>
      <xdr:row>22</xdr:row>
      <xdr:rowOff>123825</xdr:rowOff>
    </xdr:from>
    <xdr:to>
      <xdr:col>7</xdr:col>
      <xdr:colOff>809625</xdr:colOff>
      <xdr:row>23</xdr:row>
      <xdr:rowOff>238125</xdr:rowOff>
    </xdr:to>
    <xdr:sp macro="" textlink="">
      <xdr:nvSpPr>
        <xdr:cNvPr id="26676" name="Text Box 52"/>
        <xdr:cNvSpPr txBox="1">
          <a:spLocks noChangeArrowheads="1"/>
        </xdr:cNvSpPr>
      </xdr:nvSpPr>
      <xdr:spPr bwMode="auto">
        <a:xfrm>
          <a:off x="3514725" y="4048125"/>
          <a:ext cx="657225" cy="257175"/>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改修前</a:t>
          </a:r>
          <a:r>
            <a:rPr lang="ja-JP" altLang="en-US" sz="1200" b="0" i="0" u="none" strike="noStrike" baseline="0">
              <a:solidFill>
                <a:srgbClr val="000000"/>
              </a:solidFill>
              <a:latin typeface="Arial"/>
              <a:ea typeface="ＭＳ Ｐゴシック"/>
              <a:cs typeface="Arial"/>
            </a:rPr>
            <a:t>=</a:t>
          </a:r>
          <a:endParaRPr lang="ja-JP" altLang="en-US" sz="1200" b="0" i="0" u="none" strike="noStrike" baseline="0">
            <a:solidFill>
              <a:srgbClr val="000000"/>
            </a:solidFill>
            <a:latin typeface="Arial"/>
            <a:cs typeface="Arial"/>
          </a:endParaRPr>
        </a:p>
      </xdr:txBody>
    </xdr:sp>
    <xdr:clientData/>
  </xdr:twoCellAnchor>
  <xdr:twoCellAnchor>
    <xdr:from>
      <xdr:col>7</xdr:col>
      <xdr:colOff>142875</xdr:colOff>
      <xdr:row>23</xdr:row>
      <xdr:rowOff>266700</xdr:rowOff>
    </xdr:from>
    <xdr:to>
      <xdr:col>7</xdr:col>
      <xdr:colOff>800100</xdr:colOff>
      <xdr:row>25</xdr:row>
      <xdr:rowOff>47625</xdr:rowOff>
    </xdr:to>
    <xdr:sp macro="" textlink="">
      <xdr:nvSpPr>
        <xdr:cNvPr id="26677" name="Text Box 53"/>
        <xdr:cNvSpPr txBox="1">
          <a:spLocks noChangeArrowheads="1"/>
        </xdr:cNvSpPr>
      </xdr:nvSpPr>
      <xdr:spPr bwMode="auto">
        <a:xfrm>
          <a:off x="3505200" y="4333875"/>
          <a:ext cx="657225" cy="285750"/>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txBody>
        <a:bodyPr vertOverflow="clip" wrap="square" lIns="0" tIns="0" rIns="0" bIns="0" anchor="t" upright="1"/>
        <a:lstStyle/>
        <a:p>
          <a:pPr algn="l" rtl="0">
            <a:defRPr sz="1000"/>
          </a:pPr>
          <a:r>
            <a:rPr lang="ja-JP" altLang="en-US" sz="1200" b="0" i="0" u="none" strike="noStrike" baseline="0">
              <a:solidFill>
                <a:srgbClr val="000000"/>
              </a:solidFill>
              <a:latin typeface="ＭＳ Ｐゴシック"/>
              <a:ea typeface="ＭＳ Ｐゴシック"/>
            </a:rPr>
            <a:t>改修後</a:t>
          </a:r>
          <a:r>
            <a:rPr lang="ja-JP" altLang="en-US" sz="1200" b="0" i="0" u="none" strike="noStrike" baseline="0">
              <a:solidFill>
                <a:srgbClr val="000000"/>
              </a:solidFill>
              <a:latin typeface="Arial"/>
              <a:ea typeface="ＭＳ Ｐゴシック"/>
              <a:cs typeface="Arial"/>
            </a:rPr>
            <a:t>=</a:t>
          </a:r>
          <a:endParaRPr lang="ja-JP" altLang="en-US" sz="1200" b="0" i="0" u="none" strike="noStrike" baseline="0">
            <a:solidFill>
              <a:srgbClr val="000000"/>
            </a:solidFill>
            <a:latin typeface="Arial"/>
            <a:cs typeface="Arial"/>
          </a:endParaRPr>
        </a:p>
      </xdr:txBody>
    </xdr:sp>
    <xdr:clientData/>
  </xdr:twoCellAnchor>
  <xdr:twoCellAnchor>
    <xdr:from>
      <xdr:col>8</xdr:col>
      <xdr:colOff>295275</xdr:colOff>
      <xdr:row>26</xdr:row>
      <xdr:rowOff>28575</xdr:rowOff>
    </xdr:from>
    <xdr:to>
      <xdr:col>11</xdr:col>
      <xdr:colOff>19050</xdr:colOff>
      <xdr:row>35</xdr:row>
      <xdr:rowOff>9525</xdr:rowOff>
    </xdr:to>
    <xdr:graphicFrame macro="">
      <xdr:nvGraphicFramePr>
        <xdr:cNvPr id="2668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xdr:col>
      <xdr:colOff>38100</xdr:colOff>
      <xdr:row>30</xdr:row>
      <xdr:rowOff>161925</xdr:rowOff>
    </xdr:from>
    <xdr:to>
      <xdr:col>8</xdr:col>
      <xdr:colOff>342900</xdr:colOff>
      <xdr:row>32</xdr:row>
      <xdr:rowOff>28575</xdr:rowOff>
    </xdr:to>
    <xdr:sp macro="" textlink="">
      <xdr:nvSpPr>
        <xdr:cNvPr id="3121" name="Text Box 49"/>
        <xdr:cNvSpPr txBox="1">
          <a:spLocks noChangeArrowheads="1"/>
        </xdr:cNvSpPr>
      </xdr:nvSpPr>
      <xdr:spPr bwMode="auto">
        <a:xfrm>
          <a:off x="3390900" y="57054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8</xdr:col>
      <xdr:colOff>47625</xdr:colOff>
      <xdr:row>27</xdr:row>
      <xdr:rowOff>114300</xdr:rowOff>
    </xdr:from>
    <xdr:to>
      <xdr:col>8</xdr:col>
      <xdr:colOff>495300</xdr:colOff>
      <xdr:row>30</xdr:row>
      <xdr:rowOff>28575</xdr:rowOff>
    </xdr:to>
    <xdr:sp macro="" textlink="">
      <xdr:nvSpPr>
        <xdr:cNvPr id="26691" name="Text Box 49"/>
        <xdr:cNvSpPr txBox="1">
          <a:spLocks noChangeArrowheads="1"/>
        </xdr:cNvSpPr>
      </xdr:nvSpPr>
      <xdr:spPr bwMode="auto">
        <a:xfrm>
          <a:off x="4391025" y="5105400"/>
          <a:ext cx="447675" cy="51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8</xdr:col>
      <xdr:colOff>38100</xdr:colOff>
      <xdr:row>30</xdr:row>
      <xdr:rowOff>104775</xdr:rowOff>
    </xdr:from>
    <xdr:to>
      <xdr:col>8</xdr:col>
      <xdr:colOff>485775</xdr:colOff>
      <xdr:row>33</xdr:row>
      <xdr:rowOff>19050</xdr:rowOff>
    </xdr:to>
    <xdr:sp macro="" textlink="">
      <xdr:nvSpPr>
        <xdr:cNvPr id="26692" name="Text Box 49"/>
        <xdr:cNvSpPr txBox="1">
          <a:spLocks noChangeArrowheads="1"/>
        </xdr:cNvSpPr>
      </xdr:nvSpPr>
      <xdr:spPr bwMode="auto">
        <a:xfrm>
          <a:off x="4381500" y="5695950"/>
          <a:ext cx="447675" cy="5143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27432" tIns="18288" rIns="0" bIns="0" anchor="ctr"/>
        <a:lstStyle/>
        <a:p>
          <a:pPr algn="l" rtl="0">
            <a:defRPr sz="1000"/>
          </a:pPr>
          <a:r>
            <a:rPr lang="ja-JP" altLang="en-US" sz="800" b="0" i="0" u="none" strike="noStrike" baseline="0">
              <a:solidFill>
                <a:srgbClr val="000000"/>
              </a:solidFill>
              <a:latin typeface="ＭＳ ゴシック"/>
              <a:ea typeface="ＭＳ ゴシック"/>
            </a:rPr>
            <a:t>改修前</a:t>
          </a: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改修後</a:t>
          </a:r>
        </a:p>
      </xdr:txBody>
    </xdr:sp>
    <xdr:clientData/>
  </xdr:twoCellAnchor>
  <xdr:twoCellAnchor>
    <xdr:from>
      <xdr:col>2</xdr:col>
      <xdr:colOff>190500</xdr:colOff>
      <xdr:row>48</xdr:row>
      <xdr:rowOff>104775</xdr:rowOff>
    </xdr:from>
    <xdr:to>
      <xdr:col>2</xdr:col>
      <xdr:colOff>676275</xdr:colOff>
      <xdr:row>49</xdr:row>
      <xdr:rowOff>57150</xdr:rowOff>
    </xdr:to>
    <xdr:sp macro="" textlink="">
      <xdr:nvSpPr>
        <xdr:cNvPr id="26693" name="Text Box 20"/>
        <xdr:cNvSpPr txBox="1">
          <a:spLocks noChangeArrowheads="1"/>
        </xdr:cNvSpPr>
      </xdr:nvSpPr>
      <xdr:spPr bwMode="auto">
        <a:xfrm>
          <a:off x="409575" y="9296400"/>
          <a:ext cx="485775"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音環境　　　　　　　　　　</a:t>
          </a:r>
        </a:p>
      </xdr:txBody>
    </xdr:sp>
    <xdr:clientData/>
  </xdr:twoCellAnchor>
  <xdr:twoCellAnchor>
    <xdr:from>
      <xdr:col>7</xdr:col>
      <xdr:colOff>666750</xdr:colOff>
      <xdr:row>48</xdr:row>
      <xdr:rowOff>104775</xdr:rowOff>
    </xdr:from>
    <xdr:to>
      <xdr:col>8</xdr:col>
      <xdr:colOff>190500</xdr:colOff>
      <xdr:row>49</xdr:row>
      <xdr:rowOff>57150</xdr:rowOff>
    </xdr:to>
    <xdr:sp macro="" textlink="">
      <xdr:nvSpPr>
        <xdr:cNvPr id="26694" name="Text Box 21"/>
        <xdr:cNvSpPr txBox="1">
          <a:spLocks noChangeArrowheads="1"/>
        </xdr:cNvSpPr>
      </xdr:nvSpPr>
      <xdr:spPr bwMode="auto">
        <a:xfrm>
          <a:off x="4029075" y="9296400"/>
          <a:ext cx="504825"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機能性  </a:t>
          </a:r>
        </a:p>
      </xdr:txBody>
    </xdr:sp>
    <xdr:clientData/>
  </xdr:twoCellAnchor>
  <xdr:oneCellAnchor>
    <xdr:from>
      <xdr:col>11</xdr:col>
      <xdr:colOff>581025</xdr:colOff>
      <xdr:row>48</xdr:row>
      <xdr:rowOff>114300</xdr:rowOff>
    </xdr:from>
    <xdr:ext cx="410369" cy="133370"/>
    <xdr:sp macro="" textlink="">
      <xdr:nvSpPr>
        <xdr:cNvPr id="5142" name="Text Box 22"/>
        <xdr:cNvSpPr txBox="1">
          <a:spLocks noChangeArrowheads="1"/>
        </xdr:cNvSpPr>
      </xdr:nvSpPr>
      <xdr:spPr bwMode="auto">
        <a:xfrm>
          <a:off x="7296150" y="9305925"/>
          <a:ext cx="410369"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xdr:from>
      <xdr:col>9</xdr:col>
      <xdr:colOff>57150</xdr:colOff>
      <xdr:row>48</xdr:row>
      <xdr:rowOff>57150</xdr:rowOff>
    </xdr:from>
    <xdr:to>
      <xdr:col>9</xdr:col>
      <xdr:colOff>552450</xdr:colOff>
      <xdr:row>49</xdr:row>
      <xdr:rowOff>133350</xdr:rowOff>
    </xdr:to>
    <xdr:sp macro="" textlink="">
      <xdr:nvSpPr>
        <xdr:cNvPr id="26696" name="Text Box 107"/>
        <xdr:cNvSpPr txBox="1">
          <a:spLocks noChangeArrowheads="1"/>
        </xdr:cNvSpPr>
      </xdr:nvSpPr>
      <xdr:spPr bwMode="auto">
        <a:xfrm>
          <a:off x="4943475" y="9248775"/>
          <a:ext cx="4953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 耐用性</a:t>
          </a:r>
        </a:p>
        <a:p>
          <a:pPr algn="ctr" rtl="0">
            <a:defRPr sz="1000"/>
          </a:pPr>
          <a:r>
            <a:rPr lang="ja-JP" altLang="en-US" sz="800" b="0" i="0" u="none" strike="noStrike" baseline="0">
              <a:solidFill>
                <a:srgbClr val="000000"/>
              </a:solidFill>
              <a:latin typeface="ＭＳ Ｐゴシック"/>
              <a:ea typeface="ＭＳ Ｐゴシック"/>
            </a:rPr>
            <a:t> ・信頼性</a:t>
          </a:r>
        </a:p>
      </xdr:txBody>
    </xdr:sp>
    <xdr:clientData/>
  </xdr:twoCellAnchor>
  <xdr:twoCellAnchor>
    <xdr:from>
      <xdr:col>10</xdr:col>
      <xdr:colOff>38100</xdr:colOff>
      <xdr:row>48</xdr:row>
      <xdr:rowOff>57150</xdr:rowOff>
    </xdr:from>
    <xdr:to>
      <xdr:col>10</xdr:col>
      <xdr:colOff>542925</xdr:colOff>
      <xdr:row>49</xdr:row>
      <xdr:rowOff>133350</xdr:rowOff>
    </xdr:to>
    <xdr:sp macro="" textlink="">
      <xdr:nvSpPr>
        <xdr:cNvPr id="26697" name="Text Box 108"/>
        <xdr:cNvSpPr txBox="1">
          <a:spLocks noChangeArrowheads="1"/>
        </xdr:cNvSpPr>
      </xdr:nvSpPr>
      <xdr:spPr bwMode="auto">
        <a:xfrm>
          <a:off x="5848350" y="9248775"/>
          <a:ext cx="504825"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対応性</a:t>
          </a:r>
        </a:p>
        <a:p>
          <a:pPr algn="ctr" rtl="0">
            <a:defRPr sz="1000"/>
          </a:pPr>
          <a:r>
            <a:rPr lang="ja-JP" altLang="en-US" sz="800" b="0" i="0" u="none" strike="noStrike" baseline="0">
              <a:solidFill>
                <a:srgbClr val="000000"/>
              </a:solidFill>
              <a:latin typeface="ＭＳ Ｐゴシック"/>
              <a:ea typeface="ＭＳ Ｐゴシック"/>
            </a:rPr>
            <a:t> ・更新性　</a:t>
          </a:r>
        </a:p>
      </xdr:txBody>
    </xdr:sp>
    <xdr:clientData/>
  </xdr:twoCellAnchor>
  <xdr:twoCellAnchor>
    <xdr:from>
      <xdr:col>12</xdr:col>
      <xdr:colOff>495300</xdr:colOff>
      <xdr:row>48</xdr:row>
      <xdr:rowOff>57150</xdr:rowOff>
    </xdr:from>
    <xdr:to>
      <xdr:col>13</xdr:col>
      <xdr:colOff>142875</xdr:colOff>
      <xdr:row>49</xdr:row>
      <xdr:rowOff>133350</xdr:rowOff>
    </xdr:to>
    <xdr:sp macro="" textlink="">
      <xdr:nvSpPr>
        <xdr:cNvPr id="26698" name="Text Box 109"/>
        <xdr:cNvSpPr txBox="1">
          <a:spLocks noChangeArrowheads="1"/>
        </xdr:cNvSpPr>
      </xdr:nvSpPr>
      <xdr:spPr bwMode="auto">
        <a:xfrm>
          <a:off x="8039100" y="9248775"/>
          <a:ext cx="5524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まちなみ</a:t>
          </a:r>
        </a:p>
        <a:p>
          <a:pPr algn="ctr" rtl="0">
            <a:defRPr sz="1000"/>
          </a:pPr>
          <a:r>
            <a:rPr lang="ja-JP" altLang="en-US" sz="800" b="0" i="0" u="none" strike="noStrike" baseline="0">
              <a:solidFill>
                <a:srgbClr val="000000"/>
              </a:solidFill>
              <a:latin typeface="ＭＳ Ｐゴシック"/>
              <a:ea typeface="ＭＳ Ｐゴシック"/>
            </a:rPr>
            <a:t>・景観　</a:t>
          </a:r>
        </a:p>
      </xdr:txBody>
    </xdr:sp>
    <xdr:clientData/>
  </xdr:twoCellAnchor>
  <xdr:twoCellAnchor>
    <xdr:from>
      <xdr:col>13</xdr:col>
      <xdr:colOff>523875</xdr:colOff>
      <xdr:row>48</xdr:row>
      <xdr:rowOff>57150</xdr:rowOff>
    </xdr:from>
    <xdr:to>
      <xdr:col>14</xdr:col>
      <xdr:colOff>400050</xdr:colOff>
      <xdr:row>49</xdr:row>
      <xdr:rowOff>133350</xdr:rowOff>
    </xdr:to>
    <xdr:sp macro="" textlink="">
      <xdr:nvSpPr>
        <xdr:cNvPr id="26699" name="Text Box 110"/>
        <xdr:cNvSpPr txBox="1">
          <a:spLocks noChangeArrowheads="1"/>
        </xdr:cNvSpPr>
      </xdr:nvSpPr>
      <xdr:spPr bwMode="auto">
        <a:xfrm>
          <a:off x="8972550" y="9248775"/>
          <a:ext cx="68580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地域性・　</a:t>
          </a:r>
        </a:p>
        <a:p>
          <a:pPr algn="ctr" rtl="0">
            <a:defRPr sz="1000"/>
          </a:pPr>
          <a:r>
            <a:rPr lang="ja-JP" altLang="en-US" sz="800" b="0" i="0" u="none" strike="noStrike" baseline="0">
              <a:solidFill>
                <a:srgbClr val="000000"/>
              </a:solidFill>
              <a:latin typeface="ＭＳ Ｐゴシック"/>
              <a:ea typeface="ＭＳ Ｐゴシック"/>
            </a:rPr>
            <a:t>アメニティ　　　　　　　　　</a:t>
          </a:r>
        </a:p>
      </xdr:txBody>
    </xdr:sp>
    <xdr:clientData/>
  </xdr:twoCellAnchor>
  <xdr:twoCellAnchor>
    <xdr:from>
      <xdr:col>2</xdr:col>
      <xdr:colOff>904875</xdr:colOff>
      <xdr:row>48</xdr:row>
      <xdr:rowOff>114300</xdr:rowOff>
    </xdr:from>
    <xdr:to>
      <xdr:col>4</xdr:col>
      <xdr:colOff>47625</xdr:colOff>
      <xdr:row>49</xdr:row>
      <xdr:rowOff>38100</xdr:rowOff>
    </xdr:to>
    <xdr:sp macro="" textlink="">
      <xdr:nvSpPr>
        <xdr:cNvPr id="26700" name="Text Box 142"/>
        <xdr:cNvSpPr txBox="1">
          <a:spLocks noChangeArrowheads="1"/>
        </xdr:cNvSpPr>
      </xdr:nvSpPr>
      <xdr:spPr bwMode="auto">
        <a:xfrm>
          <a:off x="1123950" y="9305925"/>
          <a:ext cx="571500" cy="1143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温熱環境</a:t>
          </a:r>
        </a:p>
      </xdr:txBody>
    </xdr:sp>
    <xdr:clientData/>
  </xdr:twoCellAnchor>
  <xdr:oneCellAnchor>
    <xdr:from>
      <xdr:col>4</xdr:col>
      <xdr:colOff>285750</xdr:colOff>
      <xdr:row>48</xdr:row>
      <xdr:rowOff>114300</xdr:rowOff>
    </xdr:from>
    <xdr:ext cx="660117" cy="133370"/>
    <xdr:sp macro="" textlink="">
      <xdr:nvSpPr>
        <xdr:cNvPr id="5263" name="Text Box 143"/>
        <xdr:cNvSpPr txBox="1">
          <a:spLocks noChangeArrowheads="1"/>
        </xdr:cNvSpPr>
      </xdr:nvSpPr>
      <xdr:spPr bwMode="auto">
        <a:xfrm>
          <a:off x="1933575" y="930592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xdr:from>
      <xdr:col>5</xdr:col>
      <xdr:colOff>142875</xdr:colOff>
      <xdr:row>48</xdr:row>
      <xdr:rowOff>104775</xdr:rowOff>
    </xdr:from>
    <xdr:to>
      <xdr:col>6</xdr:col>
      <xdr:colOff>371475</xdr:colOff>
      <xdr:row>49</xdr:row>
      <xdr:rowOff>57150</xdr:rowOff>
    </xdr:to>
    <xdr:sp macro="" textlink="">
      <xdr:nvSpPr>
        <xdr:cNvPr id="26702" name="Text Box 144"/>
        <xdr:cNvSpPr txBox="1">
          <a:spLocks noChangeArrowheads="1"/>
        </xdr:cNvSpPr>
      </xdr:nvSpPr>
      <xdr:spPr bwMode="auto">
        <a:xfrm>
          <a:off x="2533650" y="9296400"/>
          <a:ext cx="704850" cy="1428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00" b="0" i="0" u="none" strike="noStrike" baseline="0">
              <a:solidFill>
                <a:srgbClr val="000000"/>
              </a:solidFill>
              <a:latin typeface="ＭＳ Ｐゴシック"/>
              <a:ea typeface="ＭＳ Ｐゴシック"/>
            </a:rPr>
            <a:t>空気質環境　　　　　　　</a:t>
          </a:r>
        </a:p>
      </xdr:txBody>
    </xdr:sp>
    <xdr:clientData/>
  </xdr:twoCellAnchor>
  <xdr:twoCellAnchor>
    <xdr:from>
      <xdr:col>7</xdr:col>
      <xdr:colOff>657225</xdr:colOff>
      <xdr:row>59</xdr:row>
      <xdr:rowOff>57150</xdr:rowOff>
    </xdr:from>
    <xdr:to>
      <xdr:col>8</xdr:col>
      <xdr:colOff>228600</xdr:colOff>
      <xdr:row>60</xdr:row>
      <xdr:rowOff>133350</xdr:rowOff>
    </xdr:to>
    <xdr:sp macro="" textlink="">
      <xdr:nvSpPr>
        <xdr:cNvPr id="26703" name="Text Box 7"/>
        <xdr:cNvSpPr txBox="1">
          <a:spLocks noChangeArrowheads="1"/>
        </xdr:cNvSpPr>
      </xdr:nvSpPr>
      <xdr:spPr bwMode="auto">
        <a:xfrm>
          <a:off x="4019550" y="11420475"/>
          <a:ext cx="5524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900" b="0" i="0" u="none" strike="noStrike" baseline="0">
              <a:solidFill>
                <a:srgbClr val="000000"/>
              </a:solidFill>
              <a:latin typeface="ＭＳ Ｐゴシック"/>
              <a:ea typeface="ＭＳ Ｐゴシック"/>
            </a:rPr>
            <a:t>   </a:t>
          </a:r>
          <a:r>
            <a:rPr lang="ja-JP" altLang="en-US" sz="800" b="0" i="0" u="none" strike="noStrike" baseline="0">
              <a:solidFill>
                <a:srgbClr val="000000"/>
              </a:solidFill>
              <a:latin typeface="ＭＳ Ｐゴシック"/>
              <a:ea typeface="ＭＳ Ｐゴシック"/>
            </a:rPr>
            <a:t>水資源　　</a:t>
          </a:r>
        </a:p>
        <a:p>
          <a:pPr algn="ctr" rtl="0">
            <a:defRPr sz="1000"/>
          </a:pPr>
          <a:r>
            <a:rPr lang="ja-JP" altLang="en-US" sz="800" b="0" i="0" u="none" strike="noStrike" baseline="0">
              <a:solidFill>
                <a:srgbClr val="000000"/>
              </a:solidFill>
              <a:latin typeface="ＭＳ Ｐゴシック"/>
              <a:ea typeface="ＭＳ Ｐゴシック"/>
            </a:rPr>
            <a:t>　  保護</a:t>
          </a:r>
        </a:p>
      </xdr:txBody>
    </xdr:sp>
    <xdr:clientData/>
  </xdr:twoCellAnchor>
  <xdr:twoCellAnchor>
    <xdr:from>
      <xdr:col>9</xdr:col>
      <xdr:colOff>9525</xdr:colOff>
      <xdr:row>59</xdr:row>
      <xdr:rowOff>57150</xdr:rowOff>
    </xdr:from>
    <xdr:to>
      <xdr:col>9</xdr:col>
      <xdr:colOff>714375</xdr:colOff>
      <xdr:row>60</xdr:row>
      <xdr:rowOff>133350</xdr:rowOff>
    </xdr:to>
    <xdr:sp macro="" textlink="">
      <xdr:nvSpPr>
        <xdr:cNvPr id="26704" name="Text Box 104"/>
        <xdr:cNvSpPr txBox="1">
          <a:spLocks noChangeArrowheads="1"/>
        </xdr:cNvSpPr>
      </xdr:nvSpPr>
      <xdr:spPr bwMode="auto">
        <a:xfrm>
          <a:off x="4895850" y="11420475"/>
          <a:ext cx="7048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非再生材料の</a:t>
          </a:r>
        </a:p>
        <a:p>
          <a:pPr algn="ctr" rtl="0">
            <a:lnSpc>
              <a:spcPts val="1000"/>
            </a:lnSpc>
            <a:defRPr sz="1000"/>
          </a:pPr>
          <a:r>
            <a:rPr lang="ja-JP" altLang="en-US" sz="800" b="0" i="0" u="none" strike="noStrike" baseline="0">
              <a:solidFill>
                <a:srgbClr val="000000"/>
              </a:solidFill>
              <a:latin typeface="ＭＳ Ｐゴシック"/>
              <a:ea typeface="ＭＳ Ｐゴシック"/>
            </a:rPr>
            <a:t>使用削減</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9</xdr:col>
      <xdr:colOff>904875</xdr:colOff>
      <xdr:row>59</xdr:row>
      <xdr:rowOff>57150</xdr:rowOff>
    </xdr:from>
    <xdr:to>
      <xdr:col>10</xdr:col>
      <xdr:colOff>685800</xdr:colOff>
      <xdr:row>60</xdr:row>
      <xdr:rowOff>133350</xdr:rowOff>
    </xdr:to>
    <xdr:sp macro="" textlink="">
      <xdr:nvSpPr>
        <xdr:cNvPr id="26705" name="Text Box 145"/>
        <xdr:cNvSpPr txBox="1">
          <a:spLocks noChangeArrowheads="1"/>
        </xdr:cNvSpPr>
      </xdr:nvSpPr>
      <xdr:spPr bwMode="auto">
        <a:xfrm>
          <a:off x="5791200" y="11420475"/>
          <a:ext cx="70485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汚染物質</a:t>
          </a:r>
        </a:p>
        <a:p>
          <a:pPr algn="ctr" rtl="0">
            <a:lnSpc>
              <a:spcPts val="1000"/>
            </a:lnSpc>
            <a:defRPr sz="1000"/>
          </a:pPr>
          <a:r>
            <a:rPr lang="ja-JP" altLang="en-US" sz="800" b="0" i="0" u="none" strike="noStrike" baseline="0">
              <a:solidFill>
                <a:srgbClr val="000000"/>
              </a:solidFill>
              <a:latin typeface="ＭＳ Ｐゴシック"/>
              <a:ea typeface="ＭＳ Ｐゴシック"/>
            </a:rPr>
            <a:t>回避</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2</xdr:col>
      <xdr:colOff>209550</xdr:colOff>
      <xdr:row>59</xdr:row>
      <xdr:rowOff>57150</xdr:rowOff>
    </xdr:from>
    <xdr:to>
      <xdr:col>2</xdr:col>
      <xdr:colOff>714375</xdr:colOff>
      <xdr:row>60</xdr:row>
      <xdr:rowOff>133350</xdr:rowOff>
    </xdr:to>
    <xdr:sp macro="" textlink="">
      <xdr:nvSpPr>
        <xdr:cNvPr id="26706" name="Text Box 23"/>
        <xdr:cNvSpPr txBox="1">
          <a:spLocks noChangeArrowheads="1"/>
        </xdr:cNvSpPr>
      </xdr:nvSpPr>
      <xdr:spPr bwMode="auto">
        <a:xfrm>
          <a:off x="428625" y="11420475"/>
          <a:ext cx="50482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xdr:from>
      <xdr:col>2</xdr:col>
      <xdr:colOff>952500</xdr:colOff>
      <xdr:row>59</xdr:row>
      <xdr:rowOff>57150</xdr:rowOff>
    </xdr:from>
    <xdr:to>
      <xdr:col>4</xdr:col>
      <xdr:colOff>85725</xdr:colOff>
      <xdr:row>60</xdr:row>
      <xdr:rowOff>133350</xdr:rowOff>
    </xdr:to>
    <xdr:sp macro="" textlink="">
      <xdr:nvSpPr>
        <xdr:cNvPr id="26707" name="Text Box 101"/>
        <xdr:cNvSpPr txBox="1">
          <a:spLocks noChangeArrowheads="1"/>
        </xdr:cNvSpPr>
      </xdr:nvSpPr>
      <xdr:spPr bwMode="auto">
        <a:xfrm>
          <a:off x="1171575" y="11420475"/>
          <a:ext cx="5619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自然エネ     </a:t>
          </a:r>
        </a:p>
        <a:p>
          <a:pPr algn="ctr" rtl="0">
            <a:lnSpc>
              <a:spcPts val="1000"/>
            </a:lnSpc>
            <a:defRPr sz="1000"/>
          </a:pPr>
          <a:r>
            <a:rPr lang="ja-JP" altLang="en-US" sz="825" b="0" i="0" u="none" strike="noStrike" baseline="0">
              <a:solidFill>
                <a:srgbClr val="000000"/>
              </a:solidFill>
              <a:latin typeface="ＭＳ Ｐゴシック"/>
              <a:ea typeface="ＭＳ Ｐゴシック"/>
            </a:rPr>
            <a:t>  ルギー</a:t>
          </a:r>
        </a:p>
      </xdr:txBody>
    </xdr:sp>
    <xdr:clientData/>
  </xdr:twoCellAnchor>
  <xdr:twoCellAnchor>
    <xdr:from>
      <xdr:col>4</xdr:col>
      <xdr:colOff>219075</xdr:colOff>
      <xdr:row>59</xdr:row>
      <xdr:rowOff>57150</xdr:rowOff>
    </xdr:from>
    <xdr:to>
      <xdr:col>5</xdr:col>
      <xdr:colOff>142875</xdr:colOff>
      <xdr:row>60</xdr:row>
      <xdr:rowOff>123825</xdr:rowOff>
    </xdr:to>
    <xdr:sp macro="" textlink="">
      <xdr:nvSpPr>
        <xdr:cNvPr id="26708" name="Text Box 102"/>
        <xdr:cNvSpPr txBox="1">
          <a:spLocks noChangeArrowheads="1"/>
        </xdr:cNvSpPr>
      </xdr:nvSpPr>
      <xdr:spPr bwMode="auto">
        <a:xfrm>
          <a:off x="1866900" y="11420475"/>
          <a:ext cx="6667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設備システ     </a:t>
          </a:r>
        </a:p>
        <a:p>
          <a:pPr algn="ctr" rtl="0">
            <a:lnSpc>
              <a:spcPts val="1000"/>
            </a:lnSpc>
            <a:defRPr sz="1000"/>
          </a:pPr>
          <a:r>
            <a:rPr lang="ja-JP" altLang="en-US" sz="825" b="0" i="0" u="none" strike="noStrike" baseline="0">
              <a:solidFill>
                <a:srgbClr val="000000"/>
              </a:solidFill>
              <a:latin typeface="ＭＳ Ｐゴシック"/>
              <a:ea typeface="ＭＳ Ｐゴシック"/>
            </a:rPr>
            <a:t> ム効率化</a:t>
          </a:r>
        </a:p>
      </xdr:txBody>
    </xdr:sp>
    <xdr:clientData/>
  </xdr:twoCellAnchor>
  <xdr:twoCellAnchor>
    <xdr:from>
      <xdr:col>5</xdr:col>
      <xdr:colOff>361950</xdr:colOff>
      <xdr:row>59</xdr:row>
      <xdr:rowOff>57150</xdr:rowOff>
    </xdr:from>
    <xdr:to>
      <xdr:col>6</xdr:col>
      <xdr:colOff>285750</xdr:colOff>
      <xdr:row>60</xdr:row>
      <xdr:rowOff>123825</xdr:rowOff>
    </xdr:to>
    <xdr:sp macro="" textlink="">
      <xdr:nvSpPr>
        <xdr:cNvPr id="26709" name="Text Box 103"/>
        <xdr:cNvSpPr txBox="1">
          <a:spLocks noChangeArrowheads="1"/>
        </xdr:cNvSpPr>
      </xdr:nvSpPr>
      <xdr:spPr bwMode="auto">
        <a:xfrm>
          <a:off x="2752725" y="11420475"/>
          <a:ext cx="400050" cy="2667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効率的              </a:t>
          </a:r>
        </a:p>
        <a:p>
          <a:pPr algn="ctr" rtl="0">
            <a:lnSpc>
              <a:spcPts val="1000"/>
            </a:lnSpc>
            <a:defRPr sz="1000"/>
          </a:pPr>
          <a:r>
            <a:rPr lang="ja-JP" altLang="en-US" sz="825" b="0" i="0" u="none" strike="noStrike" baseline="0">
              <a:solidFill>
                <a:srgbClr val="000000"/>
              </a:solidFill>
              <a:latin typeface="ＭＳ Ｐゴシック"/>
              <a:ea typeface="ＭＳ Ｐゴシック"/>
            </a:rPr>
            <a:t>運用</a:t>
          </a:r>
        </a:p>
      </xdr:txBody>
    </xdr:sp>
    <xdr:clientData/>
  </xdr:twoCellAnchor>
  <xdr:twoCellAnchor>
    <xdr:from>
      <xdr:col>11</xdr:col>
      <xdr:colOff>485775</xdr:colOff>
      <xdr:row>59</xdr:row>
      <xdr:rowOff>47625</xdr:rowOff>
    </xdr:from>
    <xdr:to>
      <xdr:col>12</xdr:col>
      <xdr:colOff>276225</xdr:colOff>
      <xdr:row>60</xdr:row>
      <xdr:rowOff>123825</xdr:rowOff>
    </xdr:to>
    <xdr:sp macro="" textlink="">
      <xdr:nvSpPr>
        <xdr:cNvPr id="26710" name="Text Box 148"/>
        <xdr:cNvSpPr txBox="1">
          <a:spLocks noChangeArrowheads="1"/>
        </xdr:cNvSpPr>
      </xdr:nvSpPr>
      <xdr:spPr bwMode="auto">
        <a:xfrm>
          <a:off x="7200900" y="11410950"/>
          <a:ext cx="61912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地球温暖化</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12</xdr:col>
      <xdr:colOff>466725</xdr:colOff>
      <xdr:row>59</xdr:row>
      <xdr:rowOff>47625</xdr:rowOff>
    </xdr:from>
    <xdr:to>
      <xdr:col>13</xdr:col>
      <xdr:colOff>276225</xdr:colOff>
      <xdr:row>60</xdr:row>
      <xdr:rowOff>123825</xdr:rowOff>
    </xdr:to>
    <xdr:sp macro="" textlink="">
      <xdr:nvSpPr>
        <xdr:cNvPr id="26711" name="Text Box 149"/>
        <xdr:cNvSpPr txBox="1">
          <a:spLocks noChangeArrowheads="1"/>
        </xdr:cNvSpPr>
      </xdr:nvSpPr>
      <xdr:spPr bwMode="auto">
        <a:xfrm>
          <a:off x="8010525" y="11410950"/>
          <a:ext cx="714375"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地域環境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13</xdr:col>
      <xdr:colOff>485775</xdr:colOff>
      <xdr:row>59</xdr:row>
      <xdr:rowOff>47625</xdr:rowOff>
    </xdr:from>
    <xdr:to>
      <xdr:col>14</xdr:col>
      <xdr:colOff>590550</xdr:colOff>
      <xdr:row>60</xdr:row>
      <xdr:rowOff>123825</xdr:rowOff>
    </xdr:to>
    <xdr:sp macro="" textlink="">
      <xdr:nvSpPr>
        <xdr:cNvPr id="26712" name="Text Box 150"/>
        <xdr:cNvSpPr txBox="1">
          <a:spLocks noChangeArrowheads="1"/>
        </xdr:cNvSpPr>
      </xdr:nvSpPr>
      <xdr:spPr bwMode="auto">
        <a:xfrm>
          <a:off x="8934450" y="11410950"/>
          <a:ext cx="914400" cy="2762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vertOverflow="clip" wrap="square" lIns="0" tIns="0" rIns="0" bIns="0" anchor="t"/>
        <a:lstStyle/>
        <a:p>
          <a:pPr algn="ctr" rtl="0">
            <a:defRPr sz="1000"/>
          </a:pPr>
          <a:r>
            <a:rPr lang="ja-JP" altLang="en-US" sz="800" b="0" i="0" u="none" strike="noStrike" baseline="0">
              <a:solidFill>
                <a:srgbClr val="000000"/>
              </a:solidFill>
              <a:latin typeface="ＭＳ Ｐゴシック"/>
              <a:ea typeface="ＭＳ Ｐゴシック"/>
            </a:rPr>
            <a:t>周辺環境</a:t>
          </a:r>
        </a:p>
        <a:p>
          <a:pPr algn="ctr" rtl="0">
            <a:lnSpc>
              <a:spcPts val="1000"/>
            </a:lnSpc>
            <a:defRPr sz="1000"/>
          </a:pPr>
          <a:r>
            <a:rPr lang="ja-JP" altLang="en-US" sz="800" b="0" i="0" u="none" strike="noStrike" baseline="0">
              <a:solidFill>
                <a:srgbClr val="000000"/>
              </a:solidFill>
              <a:latin typeface="ＭＳ Ｐゴシック"/>
              <a:ea typeface="ＭＳ Ｐゴシック"/>
            </a:rPr>
            <a:t>への配慮</a:t>
          </a:r>
          <a:r>
            <a:rPr lang="ja-JP" altLang="en-US" sz="900" b="0" i="0" u="none" strike="noStrike" baseline="0">
              <a:solidFill>
                <a:srgbClr val="000000"/>
              </a:solidFill>
              <a:latin typeface="ＭＳ Ｐゴシック"/>
              <a:ea typeface="ＭＳ Ｐゴシック"/>
            </a:rPr>
            <a:t>　　　</a:t>
          </a:r>
        </a:p>
      </xdr:txBody>
    </xdr:sp>
    <xdr:clientData/>
  </xdr:twoCellAnchor>
  <xdr:twoCellAnchor>
    <xdr:from>
      <xdr:col>11</xdr:col>
      <xdr:colOff>600075</xdr:colOff>
      <xdr:row>1</xdr:row>
      <xdr:rowOff>104775</xdr:rowOff>
    </xdr:from>
    <xdr:to>
      <xdr:col>14</xdr:col>
      <xdr:colOff>523875</xdr:colOff>
      <xdr:row>3</xdr:row>
      <xdr:rowOff>200025</xdr:rowOff>
    </xdr:to>
    <xdr:pic>
      <xdr:nvPicPr>
        <xdr:cNvPr id="61" name="Picture 19"/>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rcRect l="69884" t="27533" b="27725"/>
        <a:stretch>
          <a:fillRect/>
        </a:stretch>
      </xdr:blipFill>
      <xdr:spPr bwMode="auto">
        <a:xfrm>
          <a:off x="7315200" y="180975"/>
          <a:ext cx="2466975" cy="571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628650</xdr:colOff>
      <xdr:row>1</xdr:row>
      <xdr:rowOff>200025</xdr:rowOff>
    </xdr:from>
    <xdr:to>
      <xdr:col>11</xdr:col>
      <xdr:colOff>600075</xdr:colOff>
      <xdr:row>3</xdr:row>
      <xdr:rowOff>142875</xdr:rowOff>
    </xdr:to>
    <xdr:sp macro="" textlink="">
      <xdr:nvSpPr>
        <xdr:cNvPr id="62" name="WordArt 61"/>
        <xdr:cNvSpPr>
          <a:spLocks noChangeArrowheads="1" noChangeShapeType="1" noTextEdit="1"/>
        </xdr:cNvSpPr>
      </xdr:nvSpPr>
      <xdr:spPr bwMode="auto">
        <a:xfrm>
          <a:off x="6438900" y="276225"/>
          <a:ext cx="876300" cy="419100"/>
        </a:xfrm>
        <a:prstGeom prst="rect">
          <a:avLst/>
        </a:prstGeom>
        <a:extLst/>
      </xdr:spPr>
      <xdr:txBody>
        <a:bodyPr wrap="none" fromWordArt="1">
          <a:prstTxWarp prst="textPlain">
            <a:avLst>
              <a:gd name="adj" fmla="val 50000"/>
            </a:avLst>
          </a:prstTxWarp>
        </a:bodyPr>
        <a:lstStyle/>
        <a:p>
          <a:pPr algn="ctr" rtl="0">
            <a:buNone/>
          </a:pPr>
          <a:r>
            <a:rPr lang="ja-JP" altLang="en-US" sz="1800" kern="10" spc="0">
              <a:ln>
                <a:noFill/>
              </a:ln>
              <a:solidFill>
                <a:srgbClr val="000000"/>
              </a:solidFill>
              <a:effectLst/>
              <a:latin typeface="ＭＳ Ｐゴシック"/>
              <a:ea typeface="ＭＳ Ｐゴシック"/>
            </a:rPr>
            <a:t>（改修前後</a:t>
          </a:r>
        </a:p>
        <a:p>
          <a:pPr algn="ctr" rtl="0">
            <a:buNone/>
          </a:pPr>
          <a:r>
            <a:rPr lang="ja-JP" altLang="en-US" sz="1800" kern="10" spc="0">
              <a:ln>
                <a:noFill/>
              </a:ln>
              <a:solidFill>
                <a:srgbClr val="000000"/>
              </a:solidFill>
              <a:effectLst/>
              <a:latin typeface="ＭＳ Ｐゴシック"/>
              <a:ea typeface="ＭＳ Ｐゴシック"/>
            </a:rPr>
            <a:t>　の比較）</a:t>
          </a:r>
        </a:p>
      </xdr:txBody>
    </xdr:sp>
    <xdr:clientData/>
  </xdr:twoCellAnchor>
  <xdr:twoCellAnchor>
    <xdr:from>
      <xdr:col>1</xdr:col>
      <xdr:colOff>133350</xdr:colOff>
      <xdr:row>1</xdr:row>
      <xdr:rowOff>114300</xdr:rowOff>
    </xdr:from>
    <xdr:to>
      <xdr:col>7</xdr:col>
      <xdr:colOff>19050</xdr:colOff>
      <xdr:row>3</xdr:row>
      <xdr:rowOff>200025</xdr:rowOff>
    </xdr:to>
    <xdr:pic>
      <xdr:nvPicPr>
        <xdr:cNvPr id="63" name="Picture 97" descr="ロゴマークver10"/>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rcRect/>
        <a:stretch>
          <a:fillRect/>
        </a:stretch>
      </xdr:blipFill>
      <xdr:spPr bwMode="auto">
        <a:xfrm>
          <a:off x="190500" y="190500"/>
          <a:ext cx="3190875" cy="561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6</xdr:col>
      <xdr:colOff>466725</xdr:colOff>
      <xdr:row>0</xdr:row>
      <xdr:rowOff>0</xdr:rowOff>
    </xdr:from>
    <xdr:to>
      <xdr:col>10</xdr:col>
      <xdr:colOff>852696</xdr:colOff>
      <xdr:row>3</xdr:row>
      <xdr:rowOff>200025</xdr:rowOff>
    </xdr:to>
    <xdr:sp macro="" textlink="">
      <xdr:nvSpPr>
        <xdr:cNvPr id="64" name="Text Box 231"/>
        <xdr:cNvSpPr txBox="1">
          <a:spLocks noChangeArrowheads="1"/>
        </xdr:cNvSpPr>
      </xdr:nvSpPr>
      <xdr:spPr bwMode="auto">
        <a:xfrm>
          <a:off x="3333750" y="0"/>
          <a:ext cx="3329196" cy="752475"/>
        </a:xfrm>
        <a:prstGeom prst="rect">
          <a:avLst/>
        </a:prstGeom>
        <a:noFill/>
        <a:ln>
          <a:noFill/>
        </a:ln>
        <a:extLst/>
      </xdr:spPr>
      <xdr:txBody>
        <a:bodyPr vertOverflow="clip" wrap="square" lIns="73152" tIns="45720" rIns="0" bIns="0" anchor="t" upright="1"/>
        <a:lstStyle/>
        <a:p>
          <a:pPr algn="l" rtl="0">
            <a:defRPr sz="1000"/>
          </a:pPr>
          <a:r>
            <a:rPr lang="ja-JP" altLang="en-US" sz="4600" b="0" i="0" u="none" strike="noStrike" baseline="0">
              <a:solidFill>
                <a:srgbClr val="008000"/>
              </a:solidFill>
              <a:latin typeface="ＤＦ超極太明朝体"/>
              <a:ea typeface="ＤＦ超極太明朝体"/>
            </a:rPr>
            <a:t>京都</a:t>
          </a:r>
          <a:r>
            <a:rPr lang="en-US" altLang="ja-JP" sz="4600" b="0" i="0" u="none" strike="noStrike" baseline="0">
              <a:solidFill>
                <a:srgbClr val="008000"/>
              </a:solidFill>
              <a:latin typeface="ＤＦ超極太明朝体"/>
              <a:ea typeface="ＤＦ超極太明朝体"/>
            </a:rPr>
            <a:t>-</a:t>
          </a:r>
          <a:r>
            <a:rPr lang="ja-JP" altLang="en-US" sz="4600" b="0" i="0" u="none" strike="noStrike" baseline="0">
              <a:solidFill>
                <a:srgbClr val="008000"/>
              </a:solidFill>
              <a:latin typeface="ＤＦ超極太明朝体"/>
              <a:ea typeface="ＤＦ超極太明朝体"/>
            </a:rPr>
            <a:t>改修</a:t>
          </a:r>
        </a:p>
      </xdr:txBody>
    </xdr:sp>
    <xdr:clientData/>
  </xdr:twoCellAnchor>
  <xdr:twoCellAnchor editAs="oneCell">
    <xdr:from>
      <xdr:col>7</xdr:col>
      <xdr:colOff>114300</xdr:colOff>
      <xdr:row>41</xdr:row>
      <xdr:rowOff>9525</xdr:rowOff>
    </xdr:from>
    <xdr:to>
      <xdr:col>7</xdr:col>
      <xdr:colOff>352065</xdr:colOff>
      <xdr:row>48</xdr:row>
      <xdr:rowOff>114806</xdr:rowOff>
    </xdr:to>
    <xdr:pic>
      <xdr:nvPicPr>
        <xdr:cNvPr id="2" name="図 1"/>
        <xdr:cNvPicPr>
          <a:picLocks noChangeAspect="1"/>
        </xdr:cNvPicPr>
      </xdr:nvPicPr>
      <xdr:blipFill>
        <a:blip xmlns:r="http://schemas.openxmlformats.org/officeDocument/2006/relationships" r:embed="rId17" cstate="print"/>
        <a:stretch>
          <a:fillRect/>
        </a:stretch>
      </xdr:blipFill>
      <xdr:spPr>
        <a:xfrm>
          <a:off x="3476625" y="7867650"/>
          <a:ext cx="237765" cy="1438781"/>
        </a:xfrm>
        <a:prstGeom prst="rect">
          <a:avLst/>
        </a:prstGeom>
      </xdr:spPr>
    </xdr:pic>
    <xdr:clientData/>
  </xdr:twoCellAnchor>
  <xdr:twoCellAnchor editAs="oneCell">
    <xdr:from>
      <xdr:col>11</xdr:col>
      <xdr:colOff>114300</xdr:colOff>
      <xdr:row>52</xdr:row>
      <xdr:rowOff>38100</xdr:rowOff>
    </xdr:from>
    <xdr:to>
      <xdr:col>11</xdr:col>
      <xdr:colOff>352065</xdr:colOff>
      <xdr:row>59</xdr:row>
      <xdr:rowOff>105281</xdr:rowOff>
    </xdr:to>
    <xdr:pic>
      <xdr:nvPicPr>
        <xdr:cNvPr id="65" name="図 64"/>
        <xdr:cNvPicPr>
          <a:picLocks noChangeAspect="1"/>
        </xdr:cNvPicPr>
      </xdr:nvPicPr>
      <xdr:blipFill>
        <a:blip xmlns:r="http://schemas.openxmlformats.org/officeDocument/2006/relationships" r:embed="rId17" cstate="print"/>
        <a:stretch>
          <a:fillRect/>
        </a:stretch>
      </xdr:blipFill>
      <xdr:spPr>
        <a:xfrm>
          <a:off x="6829425" y="10029825"/>
          <a:ext cx="237765" cy="1438781"/>
        </a:xfrm>
        <a:prstGeom prst="rect">
          <a:avLst/>
        </a:prstGeom>
      </xdr:spPr>
    </xdr:pic>
    <xdr:clientData/>
  </xdr:twoCellAnchor>
  <xdr:twoCellAnchor editAs="oneCell">
    <xdr:from>
      <xdr:col>7</xdr:col>
      <xdr:colOff>133350</xdr:colOff>
      <xdr:row>52</xdr:row>
      <xdr:rowOff>28575</xdr:rowOff>
    </xdr:from>
    <xdr:to>
      <xdr:col>7</xdr:col>
      <xdr:colOff>371115</xdr:colOff>
      <xdr:row>59</xdr:row>
      <xdr:rowOff>95756</xdr:rowOff>
    </xdr:to>
    <xdr:pic>
      <xdr:nvPicPr>
        <xdr:cNvPr id="66" name="図 65"/>
        <xdr:cNvPicPr>
          <a:picLocks noChangeAspect="1"/>
        </xdr:cNvPicPr>
      </xdr:nvPicPr>
      <xdr:blipFill>
        <a:blip xmlns:r="http://schemas.openxmlformats.org/officeDocument/2006/relationships" r:embed="rId17" cstate="print"/>
        <a:stretch>
          <a:fillRect/>
        </a:stretch>
      </xdr:blipFill>
      <xdr:spPr>
        <a:xfrm>
          <a:off x="3495675" y="10020300"/>
          <a:ext cx="237765" cy="1438781"/>
        </a:xfrm>
        <a:prstGeom prst="rect">
          <a:avLst/>
        </a:prstGeom>
      </xdr:spPr>
    </xdr:pic>
    <xdr:clientData/>
  </xdr:twoCellAnchor>
  <xdr:twoCellAnchor editAs="oneCell">
    <xdr:from>
      <xdr:col>11</xdr:col>
      <xdr:colOff>104775</xdr:colOff>
      <xdr:row>41</xdr:row>
      <xdr:rowOff>9525</xdr:rowOff>
    </xdr:from>
    <xdr:to>
      <xdr:col>11</xdr:col>
      <xdr:colOff>342540</xdr:colOff>
      <xdr:row>48</xdr:row>
      <xdr:rowOff>114806</xdr:rowOff>
    </xdr:to>
    <xdr:pic>
      <xdr:nvPicPr>
        <xdr:cNvPr id="67" name="図 66"/>
        <xdr:cNvPicPr>
          <a:picLocks noChangeAspect="1"/>
        </xdr:cNvPicPr>
      </xdr:nvPicPr>
      <xdr:blipFill>
        <a:blip xmlns:r="http://schemas.openxmlformats.org/officeDocument/2006/relationships" r:embed="rId17" cstate="print"/>
        <a:stretch>
          <a:fillRect/>
        </a:stretch>
      </xdr:blipFill>
      <xdr:spPr>
        <a:xfrm>
          <a:off x="6819900" y="7867650"/>
          <a:ext cx="237765" cy="1438781"/>
        </a:xfrm>
        <a:prstGeom prst="rect">
          <a:avLst/>
        </a:prstGeom>
      </xdr:spPr>
    </xdr:pic>
    <xdr:clientData/>
  </xdr:twoCellAnchor>
  <xdr:twoCellAnchor editAs="oneCell">
    <xdr:from>
      <xdr:col>1</xdr:col>
      <xdr:colOff>38100</xdr:colOff>
      <xdr:row>41</xdr:row>
      <xdr:rowOff>38100</xdr:rowOff>
    </xdr:from>
    <xdr:to>
      <xdr:col>2</xdr:col>
      <xdr:colOff>40781</xdr:colOff>
      <xdr:row>48</xdr:row>
      <xdr:rowOff>88512</xdr:rowOff>
    </xdr:to>
    <xdr:pic>
      <xdr:nvPicPr>
        <xdr:cNvPr id="3" name="図 2"/>
        <xdr:cNvPicPr>
          <a:picLocks noChangeAspect="1"/>
        </xdr:cNvPicPr>
      </xdr:nvPicPr>
      <xdr:blipFill>
        <a:blip xmlns:r="http://schemas.openxmlformats.org/officeDocument/2006/relationships" r:embed="rId18" cstate="print"/>
        <a:stretch>
          <a:fillRect/>
        </a:stretch>
      </xdr:blipFill>
      <xdr:spPr>
        <a:xfrm>
          <a:off x="95250" y="7896225"/>
          <a:ext cx="164606" cy="1383912"/>
        </a:xfrm>
        <a:prstGeom prst="rect">
          <a:avLst/>
        </a:prstGeom>
      </xdr:spPr>
    </xdr:pic>
    <xdr:clientData/>
  </xdr:twoCellAnchor>
  <xdr:twoCellAnchor editAs="oneCell">
    <xdr:from>
      <xdr:col>1</xdr:col>
      <xdr:colOff>38100</xdr:colOff>
      <xdr:row>52</xdr:row>
      <xdr:rowOff>47625</xdr:rowOff>
    </xdr:from>
    <xdr:to>
      <xdr:col>2</xdr:col>
      <xdr:colOff>40781</xdr:colOff>
      <xdr:row>59</xdr:row>
      <xdr:rowOff>59937</xdr:rowOff>
    </xdr:to>
    <xdr:pic>
      <xdr:nvPicPr>
        <xdr:cNvPr id="68" name="図 67"/>
        <xdr:cNvPicPr>
          <a:picLocks noChangeAspect="1"/>
        </xdr:cNvPicPr>
      </xdr:nvPicPr>
      <xdr:blipFill>
        <a:blip xmlns:r="http://schemas.openxmlformats.org/officeDocument/2006/relationships" r:embed="rId18" cstate="print"/>
        <a:stretch>
          <a:fillRect/>
        </a:stretch>
      </xdr:blipFill>
      <xdr:spPr>
        <a:xfrm>
          <a:off x="95250" y="10039350"/>
          <a:ext cx="164606" cy="1383912"/>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0.10754</cdr:x>
      <cdr:y>0.66306</cdr:y>
    </cdr:from>
    <cdr:to>
      <cdr:x>0.2151</cdr:x>
      <cdr:y>0.77129</cdr:y>
    </cdr:to>
    <cdr:sp macro="" textlink="改修前後の比較!$Y$51">
      <cdr:nvSpPr>
        <cdr:cNvPr id="27655" name="Text Box 7"/>
        <cdr:cNvSpPr txBox="1">
          <a:spLocks xmlns:a="http://schemas.openxmlformats.org/drawingml/2006/main" noChangeArrowheads="1" noTextEdit="1"/>
        </cdr:cNvSpPr>
      </cdr:nvSpPr>
      <cdr:spPr bwMode="auto">
        <a:xfrm xmlns:a="http://schemas.openxmlformats.org/drawingml/2006/main">
          <a:off x="334026" y="1076833"/>
          <a:ext cx="330927" cy="1752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1D6BC40-4959-48E0-89F3-0D54794C9F8B}"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0.22261</cdr:x>
      <cdr:y>0.66306</cdr:y>
    </cdr:from>
    <cdr:to>
      <cdr:x>0.32654</cdr:x>
      <cdr:y>0.77129</cdr:y>
    </cdr:to>
    <cdr:sp macro="" textlink="改修前後の比較!$AA$51">
      <cdr:nvSpPr>
        <cdr:cNvPr id="27656" name="Text Box 8"/>
        <cdr:cNvSpPr txBox="1">
          <a:spLocks xmlns:a="http://schemas.openxmlformats.org/drawingml/2006/main" noChangeArrowheads="1" noTextEdit="1"/>
        </cdr:cNvSpPr>
      </cdr:nvSpPr>
      <cdr:spPr bwMode="auto">
        <a:xfrm xmlns:a="http://schemas.openxmlformats.org/drawingml/2006/main">
          <a:off x="688058" y="1076833"/>
          <a:ext cx="319747" cy="17526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29A89C87-3E38-466D-8BA0-9516DA22A058}"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0.41376</cdr:x>
      <cdr:y>0.66306</cdr:y>
    </cdr:from>
    <cdr:to>
      <cdr:x>0.52059</cdr:x>
      <cdr:y>0.772</cdr:y>
    </cdr:to>
    <cdr:sp macro="" textlink="改修前後の比較!$Y$52">
      <cdr:nvSpPr>
        <cdr:cNvPr id="27657" name="Text Box 9"/>
        <cdr:cNvSpPr txBox="1">
          <a:spLocks xmlns:a="http://schemas.openxmlformats.org/drawingml/2006/main" noChangeArrowheads="1" noTextEdit="1"/>
        </cdr:cNvSpPr>
      </cdr:nvSpPr>
      <cdr:spPr bwMode="auto">
        <a:xfrm xmlns:a="http://schemas.openxmlformats.org/drawingml/2006/main">
          <a:off x="1276125" y="1076833"/>
          <a:ext cx="328691"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DC3B87A-3B07-4525-9C67-483F1F235568}"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0.52883</cdr:x>
      <cdr:y>0.66306</cdr:y>
    </cdr:from>
    <cdr:to>
      <cdr:x>0.63179</cdr:x>
      <cdr:y>0.772</cdr:y>
    </cdr:to>
    <cdr:sp macro="" textlink="改修前後の比較!$AA$52">
      <cdr:nvSpPr>
        <cdr:cNvPr id="27658" name="Text Box 10"/>
        <cdr:cNvSpPr txBox="1">
          <a:spLocks xmlns:a="http://schemas.openxmlformats.org/drawingml/2006/main" noChangeArrowheads="1" noTextEdit="1"/>
        </cdr:cNvSpPr>
      </cdr:nvSpPr>
      <cdr:spPr bwMode="auto">
        <a:xfrm xmlns:a="http://schemas.openxmlformats.org/drawingml/2006/main">
          <a:off x="1630157" y="1076833"/>
          <a:ext cx="316766"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1B631A0-DACC-419B-8D94-A5737BEFBD3F}"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0.72094</cdr:x>
      <cdr:y>0.66306</cdr:y>
    </cdr:from>
    <cdr:to>
      <cdr:x>0.8285</cdr:x>
      <cdr:y>0.772</cdr:y>
    </cdr:to>
    <cdr:sp macro="" textlink="改修前後の比較!$Y$53">
      <cdr:nvSpPr>
        <cdr:cNvPr id="27659" name="Text Box 11"/>
        <cdr:cNvSpPr txBox="1">
          <a:spLocks xmlns:a="http://schemas.openxmlformats.org/drawingml/2006/main" noChangeArrowheads="1" noTextEdit="1"/>
        </cdr:cNvSpPr>
      </cdr:nvSpPr>
      <cdr:spPr bwMode="auto">
        <a:xfrm xmlns:a="http://schemas.openxmlformats.org/drawingml/2006/main">
          <a:off x="2221205" y="1076833"/>
          <a:ext cx="330927"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C8A63ED-6E2E-4191-9C7C-4A0CFCC46E1A}"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0.83505</cdr:x>
      <cdr:y>0.66306</cdr:y>
    </cdr:from>
    <cdr:to>
      <cdr:x>0.93898</cdr:x>
      <cdr:y>0.772</cdr:y>
    </cdr:to>
    <cdr:sp macro="" textlink="改修前後の比較!$AA$53">
      <cdr:nvSpPr>
        <cdr:cNvPr id="27660" name="Text Box 12"/>
        <cdr:cNvSpPr txBox="1">
          <a:spLocks xmlns:a="http://schemas.openxmlformats.org/drawingml/2006/main" noChangeArrowheads="1" noTextEdit="1"/>
        </cdr:cNvSpPr>
      </cdr:nvSpPr>
      <cdr:spPr bwMode="auto">
        <a:xfrm xmlns:a="http://schemas.openxmlformats.org/drawingml/2006/main">
          <a:off x="2572256" y="1076833"/>
          <a:ext cx="319747" cy="17640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2F5BCF2-E784-4A35-B6CF-A6BE551C4769}" type="TxLink">
            <a:rPr lang="ja-JP" altLang="en-US" sz="800" b="0" i="0" u="none" strike="noStrike">
              <a:solidFill>
                <a:srgbClr val="000000"/>
              </a:solidFill>
              <a:latin typeface="Arialシック"/>
            </a:rPr>
            <a:pPr algn="ctr" rtl="0">
              <a:defRPr sz="1000"/>
            </a:pPr>
            <a:t>#DIV/0!</a:t>
          </a:fld>
          <a:endParaRPr lang="ja-JP" altLang="en-US"/>
        </a:p>
      </cdr:txBody>
    </cdr:sp>
  </cdr:relSizeAnchor>
</c:userShapes>
</file>

<file path=xl/drawings/drawing22.xml><?xml version="1.0" encoding="utf-8"?>
<c:userShapes xmlns:c="http://schemas.openxmlformats.org/drawingml/2006/chart">
  <cdr:relSizeAnchor xmlns:cdr="http://schemas.openxmlformats.org/drawingml/2006/chartDrawing">
    <cdr:from>
      <cdr:x>0.1056</cdr:x>
      <cdr:y>0.65576</cdr:y>
    </cdr:from>
    <cdr:to>
      <cdr:x>0.21479</cdr:x>
      <cdr:y>0.76494</cdr:y>
    </cdr:to>
    <cdr:sp macro="" textlink="改修前後の比較!$AD$62">
      <cdr:nvSpPr>
        <cdr:cNvPr id="28676" name="Text Box 4"/>
        <cdr:cNvSpPr txBox="1">
          <a:spLocks xmlns:a="http://schemas.openxmlformats.org/drawingml/2006/main" noChangeArrowheads="1" noTextEdit="1"/>
        </cdr:cNvSpPr>
      </cdr:nvSpPr>
      <cdr:spPr bwMode="auto">
        <a:xfrm xmlns:a="http://schemas.openxmlformats.org/drawingml/2006/main">
          <a:off x="322017" y="1065022"/>
          <a:ext cx="329701"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F39257A-6122-45F2-A14C-256166A99B0A}" type="TxLink">
            <a:rPr lang="ja-JP" altLang="en-US" sz="800" b="0" i="0" u="none" strike="noStrike" baseline="0">
              <a:solidFill>
                <a:srgbClr val="000000"/>
              </a:solidFill>
              <a:latin typeface="Arial"/>
              <a:cs typeface="Arial"/>
            </a:rPr>
            <a:pPr algn="ctr" rtl="0">
              <a:defRPr sz="1000"/>
            </a:pPr>
            <a:t>#DIV/0!</a:t>
          </a:fld>
          <a:endParaRPr lang="ja-JP" altLang="en-US" sz="800" b="0" i="0" u="none" strike="noStrike" baseline="0">
            <a:solidFill>
              <a:srgbClr val="000000"/>
            </a:solidFill>
            <a:latin typeface="Arial"/>
            <a:cs typeface="Arial"/>
          </a:endParaRPr>
        </a:p>
      </cdr:txBody>
    </cdr:sp>
  </cdr:relSizeAnchor>
  <cdr:relSizeAnchor xmlns:cdr="http://schemas.openxmlformats.org/drawingml/2006/chartDrawing">
    <cdr:from>
      <cdr:x>0.22859</cdr:x>
      <cdr:y>0.65576</cdr:y>
    </cdr:from>
    <cdr:to>
      <cdr:x>0.33246</cdr:x>
      <cdr:y>0.76494</cdr:y>
    </cdr:to>
    <cdr:sp macro="" textlink="改修前後の比較!$AF$62">
      <cdr:nvSpPr>
        <cdr:cNvPr id="28677" name="Text Box 5"/>
        <cdr:cNvSpPr txBox="1">
          <a:spLocks xmlns:a="http://schemas.openxmlformats.org/drawingml/2006/main" noChangeArrowheads="1" noTextEdit="1"/>
        </cdr:cNvSpPr>
      </cdr:nvSpPr>
      <cdr:spPr bwMode="auto">
        <a:xfrm xmlns:a="http://schemas.openxmlformats.org/drawingml/2006/main">
          <a:off x="693387" y="1065022"/>
          <a:ext cx="313618"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15216D5-9E56-40AB-819F-D1340B690B8E}" type="TxLink">
            <a:rPr lang="ja-JP" altLang="en-US" sz="800" b="0" i="0" u="none" strike="noStrike" baseline="0">
              <a:solidFill>
                <a:srgbClr val="000000"/>
              </a:solidFill>
              <a:latin typeface="Arial"/>
              <a:cs typeface="Arial"/>
            </a:rPr>
            <a:pPr algn="ctr" rtl="0">
              <a:defRPr sz="1000"/>
            </a:pPr>
            <a:t>#DIV/0!</a:t>
          </a:fld>
          <a:endParaRPr lang="ja-JP" altLang="en-US" sz="800" b="0" i="0" u="none" strike="noStrike" baseline="0">
            <a:solidFill>
              <a:srgbClr val="000000"/>
            </a:solidFill>
            <a:latin typeface="Arial"/>
            <a:cs typeface="Arial"/>
          </a:endParaRPr>
        </a:p>
      </cdr:txBody>
    </cdr:sp>
  </cdr:relSizeAnchor>
  <cdr:relSizeAnchor xmlns:cdr="http://schemas.openxmlformats.org/drawingml/2006/chartDrawing">
    <cdr:from>
      <cdr:x>0.41308</cdr:x>
      <cdr:y>0.65576</cdr:y>
    </cdr:from>
    <cdr:to>
      <cdr:x>0.52058</cdr:x>
      <cdr:y>0.76494</cdr:y>
    </cdr:to>
    <cdr:sp macro="" textlink="改修前後の比較!$AD$63">
      <cdr:nvSpPr>
        <cdr:cNvPr id="28678" name="Text Box 6"/>
        <cdr:cNvSpPr txBox="1">
          <a:spLocks xmlns:a="http://schemas.openxmlformats.org/drawingml/2006/main" noChangeArrowheads="1" noTextEdit="1"/>
        </cdr:cNvSpPr>
      </cdr:nvSpPr>
      <cdr:spPr bwMode="auto">
        <a:xfrm xmlns:a="http://schemas.openxmlformats.org/drawingml/2006/main">
          <a:off x="1250443" y="1065022"/>
          <a:ext cx="324583"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A5EAF3E-ABD0-40AB-A03F-C699DD628918}"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0.53341</cdr:x>
      <cdr:y>0.65576</cdr:y>
    </cdr:from>
    <cdr:to>
      <cdr:x>0.63728</cdr:x>
      <cdr:y>0.76494</cdr:y>
    </cdr:to>
    <cdr:sp macro="" textlink="改修前後の比較!$AF$63">
      <cdr:nvSpPr>
        <cdr:cNvPr id="28679" name="Text Box 7"/>
        <cdr:cNvSpPr txBox="1">
          <a:spLocks xmlns:a="http://schemas.openxmlformats.org/drawingml/2006/main" noChangeArrowheads="1" noTextEdit="1"/>
        </cdr:cNvSpPr>
      </cdr:nvSpPr>
      <cdr:spPr bwMode="auto">
        <a:xfrm xmlns:a="http://schemas.openxmlformats.org/drawingml/2006/main">
          <a:off x="1613772" y="1065022"/>
          <a:ext cx="313617"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A40681A-1CF7-459E-8EA9-056A678D79C9}"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0.71887</cdr:x>
      <cdr:y>0.65576</cdr:y>
    </cdr:from>
    <cdr:to>
      <cdr:x>0.82637</cdr:x>
      <cdr:y>0.76494</cdr:y>
    </cdr:to>
    <cdr:sp macro="" textlink="改修前後の比較!$AD$64">
      <cdr:nvSpPr>
        <cdr:cNvPr id="28680" name="Text Box 8"/>
        <cdr:cNvSpPr txBox="1">
          <a:spLocks xmlns:a="http://schemas.openxmlformats.org/drawingml/2006/main" noChangeArrowheads="1" noTextEdit="1"/>
        </cdr:cNvSpPr>
      </cdr:nvSpPr>
      <cdr:spPr bwMode="auto">
        <a:xfrm xmlns:a="http://schemas.openxmlformats.org/drawingml/2006/main">
          <a:off x="2173751" y="1065022"/>
          <a:ext cx="324583"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0C05B89-D985-43DD-93C0-625C0482ED98}"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0.8392</cdr:x>
      <cdr:y>0.65576</cdr:y>
    </cdr:from>
    <cdr:to>
      <cdr:x>0.94283</cdr:x>
      <cdr:y>0.76494</cdr:y>
    </cdr:to>
    <cdr:sp macro="" textlink="改修前後の比較!$AF$64">
      <cdr:nvSpPr>
        <cdr:cNvPr id="28681" name="Text Box 9"/>
        <cdr:cNvSpPr txBox="1">
          <a:spLocks xmlns:a="http://schemas.openxmlformats.org/drawingml/2006/main" noChangeArrowheads="1" noTextEdit="1"/>
        </cdr:cNvSpPr>
      </cdr:nvSpPr>
      <cdr:spPr bwMode="auto">
        <a:xfrm xmlns:a="http://schemas.openxmlformats.org/drawingml/2006/main">
          <a:off x="2537080" y="1065022"/>
          <a:ext cx="312887" cy="1767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2A9690E-584F-4FEB-AE48-DB098ADF27D6}" type="TxLink">
            <a:rPr lang="ja-JP" altLang="en-US" sz="800" b="0" i="0" u="none" strike="noStrike">
              <a:solidFill>
                <a:srgbClr val="000000"/>
              </a:solidFill>
              <a:latin typeface="Arialシック"/>
            </a:rPr>
            <a:pPr algn="ctr" rtl="0">
              <a:defRPr sz="1000"/>
            </a:pPr>
            <a:t>#DIV/0!</a:t>
          </a:fld>
          <a:endParaRPr lang="ja-JP" altLang="en-US"/>
        </a:p>
      </cdr:txBody>
    </cdr:sp>
  </cdr:relSizeAnchor>
</c:userShapes>
</file>

<file path=xl/drawings/drawing23.xml><?xml version="1.0" encoding="utf-8"?>
<c:userShapes xmlns:c="http://schemas.openxmlformats.org/drawingml/2006/chart">
  <cdr:relSizeAnchor xmlns:cdr="http://schemas.openxmlformats.org/drawingml/2006/chartDrawing">
    <cdr:from>
      <cdr:x>0.10653</cdr:x>
      <cdr:y>0.65441</cdr:y>
    </cdr:from>
    <cdr:to>
      <cdr:x>0.2167</cdr:x>
      <cdr:y>0.76127</cdr:y>
    </cdr:to>
    <cdr:sp macro="" textlink="改修前後の比較!$AD$51">
      <cdr:nvSpPr>
        <cdr:cNvPr id="29700" name="Text Box 4"/>
        <cdr:cNvSpPr txBox="1">
          <a:spLocks xmlns:a="http://schemas.openxmlformats.org/drawingml/2006/main" noChangeArrowheads="1" noTextEdit="1"/>
        </cdr:cNvSpPr>
      </cdr:nvSpPr>
      <cdr:spPr bwMode="auto">
        <a:xfrm xmlns:a="http://schemas.openxmlformats.org/drawingml/2006/main">
          <a:off x="325834" y="1069061"/>
          <a:ext cx="333709" cy="174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A88E951-AAEC-49B7-9FBD-68BE14B8B3E6}" type="TxLink">
            <a:rPr lang="ja-JP" altLang="en-US"/>
            <a:pPr algn="ctr" rtl="0">
              <a:defRPr sz="1000"/>
            </a:pPr>
            <a:t> </a:t>
          </a:fld>
          <a:endParaRPr lang="ja-JP" altLang="en-US"/>
        </a:p>
      </cdr:txBody>
    </cdr:sp>
  </cdr:relSizeAnchor>
  <cdr:relSizeAnchor xmlns:cdr="http://schemas.openxmlformats.org/drawingml/2006/chartDrawing">
    <cdr:from>
      <cdr:x>0.22299</cdr:x>
      <cdr:y>0.65441</cdr:y>
    </cdr:from>
    <cdr:to>
      <cdr:x>0.32784</cdr:x>
      <cdr:y>0.76127</cdr:y>
    </cdr:to>
    <cdr:sp macro="" textlink="改修前後の比較!$AF$51">
      <cdr:nvSpPr>
        <cdr:cNvPr id="29701" name="Text Box 5"/>
        <cdr:cNvSpPr txBox="1">
          <a:spLocks xmlns:a="http://schemas.openxmlformats.org/drawingml/2006/main" noChangeArrowheads="1" noTextEdit="1"/>
        </cdr:cNvSpPr>
      </cdr:nvSpPr>
      <cdr:spPr bwMode="auto">
        <a:xfrm xmlns:a="http://schemas.openxmlformats.org/drawingml/2006/main">
          <a:off x="678612" y="1069061"/>
          <a:ext cx="317573" cy="174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968CF83-B1A4-4FDD-A2A3-AA21AFB993BD}" type="TxLink">
            <a:rPr lang="ja-JP" altLang="en-US"/>
            <a:pPr algn="ctr" rtl="0">
              <a:defRPr sz="1000"/>
            </a:pPr>
            <a:t> </a:t>
          </a:fld>
          <a:endParaRPr lang="ja-JP" altLang="en-US"/>
        </a:p>
      </cdr:txBody>
    </cdr:sp>
  </cdr:relSizeAnchor>
  <cdr:relSizeAnchor xmlns:cdr="http://schemas.openxmlformats.org/drawingml/2006/chartDrawing">
    <cdr:from>
      <cdr:x>0.41501</cdr:x>
      <cdr:y>0.65441</cdr:y>
    </cdr:from>
    <cdr:to>
      <cdr:x>0.52252</cdr:x>
      <cdr:y>0.76198</cdr:y>
    </cdr:to>
    <cdr:sp macro="" textlink="改修前後の比較!$AD$52">
      <cdr:nvSpPr>
        <cdr:cNvPr id="29702" name="Text Box 6"/>
        <cdr:cNvSpPr txBox="1">
          <a:spLocks xmlns:a="http://schemas.openxmlformats.org/drawingml/2006/main" noChangeArrowheads="1" noTextEdit="1"/>
        </cdr:cNvSpPr>
      </cdr:nvSpPr>
      <cdr:spPr bwMode="auto">
        <a:xfrm xmlns:a="http://schemas.openxmlformats.org/drawingml/2006/main">
          <a:off x="1260218" y="1069061"/>
          <a:ext cx="325641"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2789EB7C-9703-427C-881F-A480E952E3F4}" type="TxLink">
            <a:rPr lang="ja-JP" altLang="en-US"/>
            <a:pPr algn="ctr" rtl="0">
              <a:defRPr sz="1000"/>
            </a:pPr>
            <a:t> </a:t>
          </a:fld>
          <a:endParaRPr lang="ja-JP" altLang="en-US"/>
        </a:p>
      </cdr:txBody>
    </cdr:sp>
  </cdr:relSizeAnchor>
  <cdr:relSizeAnchor xmlns:cdr="http://schemas.openxmlformats.org/drawingml/2006/chartDrawing">
    <cdr:from>
      <cdr:x>0.52881</cdr:x>
      <cdr:y>0.65441</cdr:y>
    </cdr:from>
    <cdr:to>
      <cdr:x>0.63269</cdr:x>
      <cdr:y>0.76198</cdr:y>
    </cdr:to>
    <cdr:sp macro="" textlink="改修前後の比較!$AF$52">
      <cdr:nvSpPr>
        <cdr:cNvPr id="29703" name="Text Box 7"/>
        <cdr:cNvSpPr txBox="1">
          <a:spLocks xmlns:a="http://schemas.openxmlformats.org/drawingml/2006/main" noChangeArrowheads="1" noTextEdit="1"/>
        </cdr:cNvSpPr>
      </cdr:nvSpPr>
      <cdr:spPr bwMode="auto">
        <a:xfrm xmlns:a="http://schemas.openxmlformats.org/drawingml/2006/main">
          <a:off x="1604928" y="1069061"/>
          <a:ext cx="314639"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82B75F2-3A69-4415-8F15-64AD62F4D19B}" type="TxLink">
            <a:rPr lang="ja-JP" altLang="en-US"/>
            <a:pPr algn="ctr" rtl="0">
              <a:defRPr sz="1000"/>
            </a:pPr>
            <a:t> </a:t>
          </a:fld>
          <a:endParaRPr lang="ja-JP" altLang="en-US"/>
        </a:p>
      </cdr:txBody>
    </cdr:sp>
  </cdr:relSizeAnchor>
  <cdr:relSizeAnchor xmlns:cdr="http://schemas.openxmlformats.org/drawingml/2006/chartDrawing">
    <cdr:from>
      <cdr:x>0.71792</cdr:x>
      <cdr:y>0.65441</cdr:y>
    </cdr:from>
    <cdr:to>
      <cdr:x>0.82447</cdr:x>
      <cdr:y>0.76198</cdr:y>
    </cdr:to>
    <cdr:sp macro="" textlink="改修前後の比較!$AD$53">
      <cdr:nvSpPr>
        <cdr:cNvPr id="29704" name="Text Box 8"/>
        <cdr:cNvSpPr txBox="1">
          <a:spLocks xmlns:a="http://schemas.openxmlformats.org/drawingml/2006/main" noChangeArrowheads="1" noTextEdit="1"/>
        </cdr:cNvSpPr>
      </cdr:nvSpPr>
      <cdr:spPr bwMode="auto">
        <a:xfrm xmlns:a="http://schemas.openxmlformats.org/drawingml/2006/main">
          <a:off x="2177733" y="1069061"/>
          <a:ext cx="322707"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45F1FD7-C41E-455D-A048-F2BC45F30022}"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0.83197</cdr:x>
      <cdr:y>0.65441</cdr:y>
    </cdr:from>
    <cdr:to>
      <cdr:x>0.93561</cdr:x>
      <cdr:y>0.76198</cdr:y>
    </cdr:to>
    <cdr:sp macro="" textlink="改修前後の比較!$AF$53">
      <cdr:nvSpPr>
        <cdr:cNvPr id="29705" name="Text Box 9"/>
        <cdr:cNvSpPr txBox="1">
          <a:spLocks xmlns:a="http://schemas.openxmlformats.org/drawingml/2006/main" noChangeArrowheads="1" noTextEdit="1"/>
        </cdr:cNvSpPr>
      </cdr:nvSpPr>
      <cdr:spPr bwMode="auto">
        <a:xfrm xmlns:a="http://schemas.openxmlformats.org/drawingml/2006/main">
          <a:off x="2523176" y="1069061"/>
          <a:ext cx="313906" cy="1752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CF9A7FC-4523-4648-AF24-AF1DF5EFE69C}" type="TxLink">
            <a:rPr lang="ja-JP" altLang="en-US" sz="800" b="0" i="0" u="none" strike="noStrike">
              <a:solidFill>
                <a:srgbClr val="000000"/>
              </a:solidFill>
              <a:latin typeface="Arialシック"/>
            </a:rPr>
            <a:pPr algn="ctr" rtl="0">
              <a:defRPr sz="1000"/>
            </a:pPr>
            <a:t>#DIV/0!</a:t>
          </a:fld>
          <a:endParaRPr lang="ja-JP" altLang="en-US"/>
        </a:p>
      </cdr:txBody>
    </cdr:sp>
  </cdr:relSizeAnchor>
</c:userShapes>
</file>

<file path=xl/drawings/drawing24.xml><?xml version="1.0" encoding="utf-8"?>
<c:userShapes xmlns:c="http://schemas.openxmlformats.org/drawingml/2006/chart">
  <cdr:relSizeAnchor xmlns:cdr="http://schemas.openxmlformats.org/drawingml/2006/chartDrawing">
    <cdr:from>
      <cdr:x>0.10265</cdr:x>
      <cdr:y>0.6543</cdr:y>
    </cdr:from>
    <cdr:to>
      <cdr:x>0.21386</cdr:x>
      <cdr:y>0.76367</cdr:y>
    </cdr:to>
    <cdr:sp macro="" textlink="改修前後の比較!$Y$62">
      <cdr:nvSpPr>
        <cdr:cNvPr id="30724" name="Text Box 4"/>
        <cdr:cNvSpPr txBox="1">
          <a:spLocks xmlns:a="http://schemas.openxmlformats.org/drawingml/2006/main" noChangeArrowheads="1" noTextEdit="1"/>
        </cdr:cNvSpPr>
      </cdr:nvSpPr>
      <cdr:spPr bwMode="auto">
        <a:xfrm xmlns:a="http://schemas.openxmlformats.org/drawingml/2006/main">
          <a:off x="319977" y="1056411"/>
          <a:ext cx="343200" cy="1760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3BF5752-BEC1-44FA-A95E-3F95358D5663}"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0.2204</cdr:x>
      <cdr:y>0.6543</cdr:y>
    </cdr:from>
    <cdr:to>
      <cdr:x>0.3241</cdr:x>
      <cdr:y>0.76367</cdr:y>
    </cdr:to>
    <cdr:sp macro="" textlink="改修前後の比較!$AA$62">
      <cdr:nvSpPr>
        <cdr:cNvPr id="30725" name="Text Box 5"/>
        <cdr:cNvSpPr txBox="1">
          <a:spLocks xmlns:a="http://schemas.openxmlformats.org/drawingml/2006/main" noChangeArrowheads="1" noTextEdit="1"/>
        </cdr:cNvSpPr>
      </cdr:nvSpPr>
      <cdr:spPr bwMode="auto">
        <a:xfrm xmlns:a="http://schemas.openxmlformats.org/drawingml/2006/main">
          <a:off x="683365" y="1056411"/>
          <a:ext cx="320021" cy="17605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98BE9C6E-65BD-4288-B4FE-C1E44F28877D}"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0.4135</cdr:x>
      <cdr:y>0.6543</cdr:y>
    </cdr:from>
    <cdr:to>
      <cdr:x>0.52108</cdr:x>
      <cdr:y>0.76437</cdr:y>
    </cdr:to>
    <cdr:sp macro="" textlink="改修前後の比較!$Y$63">
      <cdr:nvSpPr>
        <cdr:cNvPr id="30726" name="Text Box 6"/>
        <cdr:cNvSpPr txBox="1">
          <a:spLocks xmlns:a="http://schemas.openxmlformats.org/drawingml/2006/main" noChangeArrowheads="1" noTextEdit="1"/>
        </cdr:cNvSpPr>
      </cdr:nvSpPr>
      <cdr:spPr bwMode="auto">
        <a:xfrm xmlns:a="http://schemas.openxmlformats.org/drawingml/2006/main">
          <a:off x="1279292" y="1056411"/>
          <a:ext cx="331984"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62D0540-6B4D-4D8A-AE17-38BBBF1130AA}"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0.52835</cdr:x>
      <cdr:y>0.6543</cdr:y>
    </cdr:from>
    <cdr:to>
      <cdr:x>0.63132</cdr:x>
      <cdr:y>0.76437</cdr:y>
    </cdr:to>
    <cdr:sp macro="" textlink="改修前後の比較!$AA$63">
      <cdr:nvSpPr>
        <cdr:cNvPr id="30727" name="Text Box 7"/>
        <cdr:cNvSpPr txBox="1">
          <a:spLocks xmlns:a="http://schemas.openxmlformats.org/drawingml/2006/main" noChangeArrowheads="1" noTextEdit="1"/>
        </cdr:cNvSpPr>
      </cdr:nvSpPr>
      <cdr:spPr bwMode="auto">
        <a:xfrm xmlns:a="http://schemas.openxmlformats.org/drawingml/2006/main">
          <a:off x="1633707" y="1056411"/>
          <a:ext cx="317778"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3B28941-D565-48E1-8E5E-BCAEE87AE32A}"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0.72145</cdr:x>
      <cdr:y>0.6543</cdr:y>
    </cdr:from>
    <cdr:to>
      <cdr:x>0.82999</cdr:x>
      <cdr:y>0.76437</cdr:y>
    </cdr:to>
    <cdr:sp macro="" textlink="改修前後の比較!$Y$64">
      <cdr:nvSpPr>
        <cdr:cNvPr id="30728" name="Text Box 8"/>
        <cdr:cNvSpPr txBox="1">
          <a:spLocks xmlns:a="http://schemas.openxmlformats.org/drawingml/2006/main" noChangeArrowheads="1" noTextEdit="1"/>
        </cdr:cNvSpPr>
      </cdr:nvSpPr>
      <cdr:spPr bwMode="auto">
        <a:xfrm xmlns:a="http://schemas.openxmlformats.org/drawingml/2006/main">
          <a:off x="2229634" y="1056411"/>
          <a:ext cx="334975"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F2BBC98-DBC5-4CA8-B44C-819B4CA599C9}"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0.83363</cdr:x>
      <cdr:y>0.6543</cdr:y>
    </cdr:from>
    <cdr:to>
      <cdr:x>0.93756</cdr:x>
      <cdr:y>0.76437</cdr:y>
    </cdr:to>
    <cdr:sp macro="" textlink="改修前後の比較!$AA$64">
      <cdr:nvSpPr>
        <cdr:cNvPr id="30729" name="Text Box 9"/>
        <cdr:cNvSpPr txBox="1">
          <a:spLocks xmlns:a="http://schemas.openxmlformats.org/drawingml/2006/main" noChangeArrowheads="1" noTextEdit="1"/>
        </cdr:cNvSpPr>
      </cdr:nvSpPr>
      <cdr:spPr bwMode="auto">
        <a:xfrm xmlns:a="http://schemas.openxmlformats.org/drawingml/2006/main">
          <a:off x="2575825" y="1056411"/>
          <a:ext cx="320769" cy="1771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18E1A44B-DAEB-43AD-83B2-C8E0EC0C5509}" type="TxLink">
            <a:rPr lang="ja-JP" altLang="en-US" sz="800" b="0" i="0" u="none" strike="noStrike">
              <a:solidFill>
                <a:srgbClr val="000000"/>
              </a:solidFill>
              <a:latin typeface="Arialシック"/>
            </a:rPr>
            <a:pPr algn="ctr" rtl="0">
              <a:defRPr sz="1000"/>
            </a:pPr>
            <a:t>#DIV/0!</a:t>
          </a:fld>
          <a:endParaRPr lang="ja-JP" altLang="en-US"/>
        </a:p>
      </cdr:txBody>
    </cdr:sp>
  </cdr:relSizeAnchor>
</c:userShapes>
</file>

<file path=xl/drawings/drawing25.xml><?xml version="1.0" encoding="utf-8"?>
<c:userShapes xmlns:c="http://schemas.openxmlformats.org/drawingml/2006/chart">
  <cdr:relSizeAnchor xmlns:cdr="http://schemas.openxmlformats.org/drawingml/2006/chartDrawing">
    <cdr:from>
      <cdr:x>0.0986</cdr:x>
      <cdr:y>0.65829</cdr:y>
    </cdr:from>
    <cdr:to>
      <cdr:x>0.19093</cdr:x>
      <cdr:y>0.76861</cdr:y>
    </cdr:to>
    <cdr:sp macro="" textlink="改修前後の比較!$T$62">
      <cdr:nvSpPr>
        <cdr:cNvPr id="31749" name="Text Box 5"/>
        <cdr:cNvSpPr txBox="1">
          <a:spLocks xmlns:a="http://schemas.openxmlformats.org/drawingml/2006/main" noChangeArrowheads="1" noTextEdit="1"/>
        </cdr:cNvSpPr>
      </cdr:nvSpPr>
      <cdr:spPr bwMode="auto">
        <a:xfrm xmlns:a="http://schemas.openxmlformats.org/drawingml/2006/main">
          <a:off x="337522"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C4E9F8F-08A1-456A-B7B3-271D7A3BA3C9}" type="TxLink">
            <a:rPr lang="ja-JP" altLang="en-US" sz="800" b="0" i="0" u="none" strike="noStrike">
              <a:solidFill>
                <a:srgbClr val="000000"/>
              </a:solidFill>
              <a:latin typeface="Arialシック"/>
            </a:rPr>
            <a:pPr algn="ctr" rtl="0">
              <a:defRPr sz="1000"/>
            </a:pPr>
            <a:t>N.A.</a:t>
          </a:fld>
          <a:endParaRPr lang="ja-JP" altLang="en-US"/>
        </a:p>
      </cdr:txBody>
    </cdr:sp>
  </cdr:relSizeAnchor>
  <cdr:relSizeAnchor xmlns:cdr="http://schemas.openxmlformats.org/drawingml/2006/chartDrawing">
    <cdr:from>
      <cdr:x>0.19263</cdr:x>
      <cdr:y>0.65829</cdr:y>
    </cdr:from>
    <cdr:to>
      <cdr:x>0.28399</cdr:x>
      <cdr:y>0.76861</cdr:y>
    </cdr:to>
    <cdr:sp macro="" textlink="改修前後の比較!$V$62">
      <cdr:nvSpPr>
        <cdr:cNvPr id="31750" name="Text Box 6"/>
        <cdr:cNvSpPr txBox="1">
          <a:spLocks xmlns:a="http://schemas.openxmlformats.org/drawingml/2006/main" noChangeArrowheads="1" noTextEdit="1"/>
        </cdr:cNvSpPr>
      </cdr:nvSpPr>
      <cdr:spPr bwMode="auto">
        <a:xfrm xmlns:a="http://schemas.openxmlformats.org/drawingml/2006/main">
          <a:off x="656376"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617A9770-AE5A-4EA5-BCC1-3BE9FA9B84E4}" type="TxLink">
            <a:rPr lang="ja-JP" altLang="en-US"/>
            <a:pPr algn="ctr" rtl="0">
              <a:defRPr sz="1000"/>
            </a:pPr>
            <a:t>#VALUE!</a:t>
          </a:fld>
          <a:endParaRPr lang="ja-JP" altLang="en-US"/>
        </a:p>
      </cdr:txBody>
    </cdr:sp>
  </cdr:relSizeAnchor>
  <cdr:relSizeAnchor xmlns:cdr="http://schemas.openxmlformats.org/drawingml/2006/chartDrawing">
    <cdr:from>
      <cdr:x>0.3219</cdr:x>
      <cdr:y>0.65829</cdr:y>
    </cdr:from>
    <cdr:to>
      <cdr:x>0.41423</cdr:x>
      <cdr:y>0.76861</cdr:y>
    </cdr:to>
    <cdr:sp macro="" textlink="改修前後の比較!$T$63">
      <cdr:nvSpPr>
        <cdr:cNvPr id="31751" name="Text Box 7"/>
        <cdr:cNvSpPr txBox="1">
          <a:spLocks xmlns:a="http://schemas.openxmlformats.org/drawingml/2006/main" noChangeArrowheads="1" noTextEdit="1"/>
        </cdr:cNvSpPr>
      </cdr:nvSpPr>
      <cdr:spPr bwMode="auto">
        <a:xfrm xmlns:a="http://schemas.openxmlformats.org/drawingml/2006/main">
          <a:off x="1094697" y="1062848"/>
          <a:ext cx="313087"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BC3997A-1963-4A1E-984D-1472D66A833A}"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0.4152</cdr:x>
      <cdr:y>0.65829</cdr:y>
    </cdr:from>
    <cdr:to>
      <cdr:x>0.50753</cdr:x>
      <cdr:y>0.76861</cdr:y>
    </cdr:to>
    <cdr:sp macro="" textlink="改修前後の比較!$V$63">
      <cdr:nvSpPr>
        <cdr:cNvPr id="31752" name="Text Box 8"/>
        <cdr:cNvSpPr txBox="1">
          <a:spLocks xmlns:a="http://schemas.openxmlformats.org/drawingml/2006/main" noChangeArrowheads="1" noTextEdit="1"/>
        </cdr:cNvSpPr>
      </cdr:nvSpPr>
      <cdr:spPr bwMode="auto">
        <a:xfrm xmlns:a="http://schemas.openxmlformats.org/drawingml/2006/main">
          <a:off x="1411080"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04B537E-B1F4-4ACE-B4EC-ADEEE5344969}"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0.5537</cdr:x>
      <cdr:y>0.65829</cdr:y>
    </cdr:from>
    <cdr:to>
      <cdr:x>0.64676</cdr:x>
      <cdr:y>0.76861</cdr:y>
    </cdr:to>
    <cdr:sp macro="" textlink="改修前後の比較!$T$64">
      <cdr:nvSpPr>
        <cdr:cNvPr id="31753" name="Text Box 9"/>
        <cdr:cNvSpPr txBox="1">
          <a:spLocks xmlns:a="http://schemas.openxmlformats.org/drawingml/2006/main" noChangeArrowheads="1" noTextEdit="1"/>
        </cdr:cNvSpPr>
      </cdr:nvSpPr>
      <cdr:spPr bwMode="auto">
        <a:xfrm xmlns:a="http://schemas.openxmlformats.org/drawingml/2006/main">
          <a:off x="1880710" y="1062848"/>
          <a:ext cx="315558"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0A88E1C4-7C3F-488B-911E-024B70EEF63C}"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0.64773</cdr:x>
      <cdr:y>0.65829</cdr:y>
    </cdr:from>
    <cdr:to>
      <cdr:x>0.73909</cdr:x>
      <cdr:y>0.76861</cdr:y>
    </cdr:to>
    <cdr:sp macro="" textlink="改修前後の比較!$V$64">
      <cdr:nvSpPr>
        <cdr:cNvPr id="31754" name="Text Box 10"/>
        <cdr:cNvSpPr txBox="1">
          <a:spLocks xmlns:a="http://schemas.openxmlformats.org/drawingml/2006/main" noChangeArrowheads="1" noTextEdit="1"/>
        </cdr:cNvSpPr>
      </cdr:nvSpPr>
      <cdr:spPr bwMode="auto">
        <a:xfrm xmlns:a="http://schemas.openxmlformats.org/drawingml/2006/main">
          <a:off x="2199564"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13200174-5451-4EB6-8627-35B55698090A}"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0.77602</cdr:x>
      <cdr:y>0.65829</cdr:y>
    </cdr:from>
    <cdr:to>
      <cdr:x>0.86835</cdr:x>
      <cdr:y>0.76861</cdr:y>
    </cdr:to>
    <cdr:sp macro="" textlink="改修前後の比較!$T$65">
      <cdr:nvSpPr>
        <cdr:cNvPr id="31755" name="Text Box 11"/>
        <cdr:cNvSpPr txBox="1">
          <a:spLocks xmlns:a="http://schemas.openxmlformats.org/drawingml/2006/main" noChangeArrowheads="1" noTextEdit="1"/>
        </cdr:cNvSpPr>
      </cdr:nvSpPr>
      <cdr:spPr bwMode="auto">
        <a:xfrm xmlns:a="http://schemas.openxmlformats.org/drawingml/2006/main">
          <a:off x="2634590" y="1062848"/>
          <a:ext cx="313086"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93E9AEBB-D175-4EEE-895E-23165E8118C2}"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0.86933</cdr:x>
      <cdr:y>0.65829</cdr:y>
    </cdr:from>
    <cdr:to>
      <cdr:x>0.96069</cdr:x>
      <cdr:y>0.76861</cdr:y>
    </cdr:to>
    <cdr:sp macro="" textlink="改修前後の比較!$V$65">
      <cdr:nvSpPr>
        <cdr:cNvPr id="31756" name="Text Box 12"/>
        <cdr:cNvSpPr txBox="1">
          <a:spLocks xmlns:a="http://schemas.openxmlformats.org/drawingml/2006/main" noChangeArrowheads="1" noTextEdit="1"/>
        </cdr:cNvSpPr>
      </cdr:nvSpPr>
      <cdr:spPr bwMode="auto">
        <a:xfrm xmlns:a="http://schemas.openxmlformats.org/drawingml/2006/main">
          <a:off x="2950972" y="1062848"/>
          <a:ext cx="309791" cy="17757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5E6FCD55-47FB-4877-9629-0D07FDF21E96}" type="TxLink">
            <a:rPr lang="ja-JP" altLang="en-US" sz="800" b="0" i="0" u="none" strike="noStrike">
              <a:solidFill>
                <a:srgbClr val="000000"/>
              </a:solidFill>
              <a:latin typeface="Arialシック"/>
            </a:rPr>
            <a:pPr algn="ctr" rtl="0">
              <a:defRPr sz="1000"/>
            </a:pPr>
            <a:t>#DIV/0!</a:t>
          </a:fld>
          <a:endParaRPr lang="ja-JP" altLang="en-US"/>
        </a:p>
      </cdr:txBody>
    </cdr:sp>
  </cdr:relSizeAnchor>
</c:userShapes>
</file>

<file path=xl/drawings/drawing26.xml><?xml version="1.0" encoding="utf-8"?>
<c:userShapes xmlns:c="http://schemas.openxmlformats.org/drawingml/2006/chart">
  <cdr:relSizeAnchor xmlns:cdr="http://schemas.openxmlformats.org/drawingml/2006/chartDrawing">
    <cdr:from>
      <cdr:x>0.09735</cdr:x>
      <cdr:y>0.66523</cdr:y>
    </cdr:from>
    <cdr:to>
      <cdr:x>0.19066</cdr:x>
      <cdr:y>0.77499</cdr:y>
    </cdr:to>
    <cdr:sp macro="" textlink="改修前後の比較!$T$51">
      <cdr:nvSpPr>
        <cdr:cNvPr id="32774" name="Text Box 6"/>
        <cdr:cNvSpPr txBox="1">
          <a:spLocks xmlns:a="http://schemas.openxmlformats.org/drawingml/2006/main" noChangeArrowheads="1" noTextEdit="1"/>
        </cdr:cNvSpPr>
      </cdr:nvSpPr>
      <cdr:spPr bwMode="auto">
        <a:xfrm xmlns:a="http://schemas.openxmlformats.org/drawingml/2006/main">
          <a:off x="334219" y="1061333"/>
          <a:ext cx="317297"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B2967E08-C5B7-4023-8A83-507A2303228B}"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0.19139</cdr:x>
      <cdr:y>0.66523</cdr:y>
    </cdr:from>
    <cdr:to>
      <cdr:x>0.28373</cdr:x>
      <cdr:y>0.77499</cdr:y>
    </cdr:to>
    <cdr:sp macro="" textlink="改修前後の比較!$V$51">
      <cdr:nvSpPr>
        <cdr:cNvPr id="32775" name="Text Box 7"/>
        <cdr:cNvSpPr txBox="1">
          <a:spLocks xmlns:a="http://schemas.openxmlformats.org/drawingml/2006/main" noChangeArrowheads="1" noTextEdit="1"/>
        </cdr:cNvSpPr>
      </cdr:nvSpPr>
      <cdr:spPr bwMode="auto">
        <a:xfrm xmlns:a="http://schemas.openxmlformats.org/drawingml/2006/main">
          <a:off x="653994" y="1061333"/>
          <a:ext cx="313992"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2D64D4B-81FB-4F5D-A7EE-7A1A1ECC45F8}"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0.32456</cdr:x>
      <cdr:y>0.66523</cdr:y>
    </cdr:from>
    <cdr:to>
      <cdr:x>0.41762</cdr:x>
      <cdr:y>0.77499</cdr:y>
    </cdr:to>
    <cdr:sp macro="" textlink="改修前後の比較!$T$52">
      <cdr:nvSpPr>
        <cdr:cNvPr id="32776" name="Text Box 8"/>
        <cdr:cNvSpPr txBox="1">
          <a:spLocks xmlns:a="http://schemas.openxmlformats.org/drawingml/2006/main" noChangeArrowheads="1" noTextEdit="1"/>
        </cdr:cNvSpPr>
      </cdr:nvSpPr>
      <cdr:spPr bwMode="auto">
        <a:xfrm xmlns:a="http://schemas.openxmlformats.org/drawingml/2006/main">
          <a:off x="1106803" y="1061333"/>
          <a:ext cx="31647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48EFA9E4-C979-425C-B5B6-6796F120A955}"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0.4186</cdr:x>
      <cdr:y>0.66523</cdr:y>
    </cdr:from>
    <cdr:to>
      <cdr:x>0.51166</cdr:x>
      <cdr:y>0.77499</cdr:y>
    </cdr:to>
    <cdr:sp macro="" textlink="改修前後の比較!$V$52">
      <cdr:nvSpPr>
        <cdr:cNvPr id="32777" name="Text Box 9"/>
        <cdr:cNvSpPr txBox="1">
          <a:spLocks xmlns:a="http://schemas.openxmlformats.org/drawingml/2006/main" noChangeArrowheads="1" noTextEdit="1"/>
        </cdr:cNvSpPr>
      </cdr:nvSpPr>
      <cdr:spPr bwMode="auto">
        <a:xfrm xmlns:a="http://schemas.openxmlformats.org/drawingml/2006/main">
          <a:off x="1426579" y="1061333"/>
          <a:ext cx="31647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691E38A-65B6-4A20-AB97-A2F7F3C5720B}"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0.55054</cdr:x>
      <cdr:y>0.66523</cdr:y>
    </cdr:from>
    <cdr:to>
      <cdr:x>0.64288</cdr:x>
      <cdr:y>0.77499</cdr:y>
    </cdr:to>
    <cdr:sp macro="" textlink="改修前後の比較!$T$53">
      <cdr:nvSpPr>
        <cdr:cNvPr id="32778" name="Text Box 10"/>
        <cdr:cNvSpPr txBox="1">
          <a:spLocks xmlns:a="http://schemas.openxmlformats.org/drawingml/2006/main" noChangeArrowheads="1" noTextEdit="1"/>
        </cdr:cNvSpPr>
      </cdr:nvSpPr>
      <cdr:spPr bwMode="auto">
        <a:xfrm xmlns:a="http://schemas.openxmlformats.org/drawingml/2006/main">
          <a:off x="1875257" y="1061333"/>
          <a:ext cx="313991"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DA354CB0-BD29-42A3-B4B5-22A1A6B81F4B}"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0.64483</cdr:x>
      <cdr:y>0.66523</cdr:y>
    </cdr:from>
    <cdr:to>
      <cdr:x>0.73692</cdr:x>
      <cdr:y>0.77499</cdr:y>
    </cdr:to>
    <cdr:sp macro="" textlink="改修前後の比較!$V$53">
      <cdr:nvSpPr>
        <cdr:cNvPr id="32779" name="Text Box 11"/>
        <cdr:cNvSpPr txBox="1">
          <a:spLocks xmlns:a="http://schemas.openxmlformats.org/drawingml/2006/main" noChangeArrowheads="1" noTextEdit="1"/>
        </cdr:cNvSpPr>
      </cdr:nvSpPr>
      <cdr:spPr bwMode="auto">
        <a:xfrm xmlns:a="http://schemas.openxmlformats.org/drawingml/2006/main">
          <a:off x="2195859" y="1061333"/>
          <a:ext cx="313165"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CC609D91-F37A-48E8-A769-9D122510ED50}"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0.77313</cdr:x>
      <cdr:y>0.66523</cdr:y>
    </cdr:from>
    <cdr:to>
      <cdr:x>0.86644</cdr:x>
      <cdr:y>0.77499</cdr:y>
    </cdr:to>
    <cdr:sp macro="" textlink="改修前後の比較!$T$54">
      <cdr:nvSpPr>
        <cdr:cNvPr id="32780" name="Text Box 12"/>
        <cdr:cNvSpPr txBox="1">
          <a:spLocks xmlns:a="http://schemas.openxmlformats.org/drawingml/2006/main" noChangeArrowheads="1" noTextEdit="1"/>
        </cdr:cNvSpPr>
      </cdr:nvSpPr>
      <cdr:spPr bwMode="auto">
        <a:xfrm xmlns:a="http://schemas.openxmlformats.org/drawingml/2006/main">
          <a:off x="2632142" y="1061333"/>
          <a:ext cx="317296"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386FBAD0-1A1B-49CE-9383-FD38A1A30E35}" type="TxLink">
            <a:rPr lang="ja-JP" altLang="en-US" sz="8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0.86717</cdr:x>
      <cdr:y>0.66523</cdr:y>
    </cdr:from>
    <cdr:to>
      <cdr:x>0.96048</cdr:x>
      <cdr:y>0.77499</cdr:y>
    </cdr:to>
    <cdr:sp macro="" textlink="改修前後の比較!$V$54">
      <cdr:nvSpPr>
        <cdr:cNvPr id="32781" name="Text Box 13"/>
        <cdr:cNvSpPr txBox="1">
          <a:spLocks xmlns:a="http://schemas.openxmlformats.org/drawingml/2006/main" noChangeArrowheads="1" noTextEdit="1"/>
        </cdr:cNvSpPr>
      </cdr:nvSpPr>
      <cdr:spPr bwMode="auto">
        <a:xfrm xmlns:a="http://schemas.openxmlformats.org/drawingml/2006/main">
          <a:off x="2951917" y="1061333"/>
          <a:ext cx="317297" cy="1745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FF99CC" mc:Ignorable="a14" a14:legacySpreadsheetColorIndex="45"/>
              </a:solidFill>
            </a14:hiddenFill>
          </a:ext>
          <a:ext uri="{91240B29-F687-4F45-9708-019B960494DF}">
            <a14:hiddenLine xmlns:a14="http://schemas.microsoft.com/office/drawing/2010/main" xmlns=""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723A0751-ADD3-4BE5-94C3-7E8FA5B40730}" type="TxLink">
            <a:rPr lang="ja-JP" altLang="en-US" sz="800" b="0" i="0" u="none" strike="noStrike">
              <a:solidFill>
                <a:srgbClr val="000000"/>
              </a:solidFill>
              <a:latin typeface="Arialシック"/>
            </a:rPr>
            <a:pPr algn="ctr" rtl="0">
              <a:defRPr sz="1000"/>
            </a:pPr>
            <a:t>#DIV/0!</a:t>
          </a:fld>
          <a:endParaRPr lang="ja-JP" altLang="en-US"/>
        </a:p>
      </cdr:txBody>
    </cdr:sp>
  </cdr:relSizeAnchor>
</c:userShapes>
</file>

<file path=xl/drawings/drawing27.xml><?xml version="1.0" encoding="utf-8"?>
<c:userShapes xmlns:c="http://schemas.openxmlformats.org/drawingml/2006/chart">
  <cdr:relSizeAnchor xmlns:cdr="http://schemas.openxmlformats.org/drawingml/2006/chartDrawing">
    <cdr:from>
      <cdr:x>0.79041</cdr:x>
      <cdr:y>0.23794</cdr:y>
    </cdr:from>
    <cdr:to>
      <cdr:x>0.89194</cdr:x>
      <cdr:y>0.33363</cdr:y>
    </cdr:to>
    <cdr:sp macro="" textlink="">
      <cdr:nvSpPr>
        <cdr:cNvPr id="38913" name="Rectangle 1"/>
        <cdr:cNvSpPr>
          <a:spLocks xmlns:a="http://schemas.openxmlformats.org/drawingml/2006/main" noChangeArrowheads="1"/>
        </cdr:cNvSpPr>
      </cdr:nvSpPr>
      <cdr:spPr bwMode="auto">
        <a:xfrm xmlns:a="http://schemas.openxmlformats.org/drawingml/2006/main">
          <a:off x="2005787" y="594701"/>
          <a:ext cx="257251" cy="237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75" b="1" i="0" u="none" strike="noStrike" baseline="0">
              <a:solidFill>
                <a:srgbClr val="000000"/>
              </a:solidFill>
              <a:latin typeface="ＭＳ Ｐゴシック"/>
              <a:ea typeface="ＭＳ Ｐゴシック"/>
            </a:rPr>
            <a:t>B</a:t>
          </a:r>
          <a:r>
            <a:rPr lang="ja-JP" altLang="en-US"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0.69152</cdr:x>
      <cdr:y>0.09369</cdr:y>
    </cdr:from>
    <cdr:to>
      <cdr:x>0.79305</cdr:x>
      <cdr:y>0.18938</cdr:y>
    </cdr:to>
    <cdr:sp macro="" textlink="">
      <cdr:nvSpPr>
        <cdr:cNvPr id="38914" name="Rectangle 2"/>
        <cdr:cNvSpPr>
          <a:spLocks xmlns:a="http://schemas.openxmlformats.org/drawingml/2006/main" noChangeArrowheads="1"/>
        </cdr:cNvSpPr>
      </cdr:nvSpPr>
      <cdr:spPr bwMode="auto">
        <a:xfrm xmlns:a="http://schemas.openxmlformats.org/drawingml/2006/main">
          <a:off x="1755242" y="236085"/>
          <a:ext cx="257251" cy="2378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75" b="1" i="0" u="none" strike="noStrike" baseline="0">
              <a:solidFill>
                <a:srgbClr val="000000"/>
              </a:solidFill>
              <a:latin typeface="ＭＳ Ｐゴシック"/>
              <a:ea typeface="ＭＳ Ｐゴシック"/>
            </a:rPr>
            <a:t>B</a:t>
          </a:r>
          <a:r>
            <a:rPr lang="ja-JP" altLang="en-US" sz="107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0.87365</cdr:x>
      <cdr:y>0.3543</cdr:y>
    </cdr:from>
    <cdr:to>
      <cdr:x>0.98048</cdr:x>
      <cdr:y>0.41441</cdr:y>
    </cdr:to>
    <cdr:sp macro="" textlink="">
      <cdr:nvSpPr>
        <cdr:cNvPr id="38915" name="Rectangle 3"/>
        <cdr:cNvSpPr>
          <a:spLocks xmlns:a="http://schemas.openxmlformats.org/drawingml/2006/main" noChangeArrowheads="1"/>
        </cdr:cNvSpPr>
      </cdr:nvSpPr>
      <cdr:spPr bwMode="auto">
        <a:xfrm xmlns:a="http://schemas.openxmlformats.org/drawingml/2006/main">
          <a:off x="2216709" y="883985"/>
          <a:ext cx="270662" cy="14942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0.79113</cdr:x>
      <cdr:y>0.01916</cdr:y>
    </cdr:from>
    <cdr:to>
      <cdr:x>0.9812</cdr:x>
      <cdr:y>0.07493</cdr:y>
    </cdr:to>
    <cdr:sp macro="" textlink="">
      <cdr:nvSpPr>
        <cdr:cNvPr id="38916" name="Rectangle 4"/>
        <cdr:cNvSpPr>
          <a:spLocks xmlns:a="http://schemas.openxmlformats.org/drawingml/2006/main" noChangeArrowheads="1"/>
        </cdr:cNvSpPr>
      </cdr:nvSpPr>
      <cdr:spPr bwMode="auto">
        <a:xfrm xmlns:a="http://schemas.openxmlformats.org/drawingml/2006/main">
          <a:off x="2007616" y="50800"/>
          <a:ext cx="481584" cy="1386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0.43095</cdr:x>
      <cdr:y>0.02204</cdr:y>
    </cdr:from>
    <cdr:to>
      <cdr:x>0.55389</cdr:x>
      <cdr:y>0.0771</cdr:y>
    </cdr:to>
    <cdr:sp macro="" textlink="">
      <cdr:nvSpPr>
        <cdr:cNvPr id="38917" name="Rectangle 5"/>
        <cdr:cNvSpPr>
          <a:spLocks xmlns:a="http://schemas.openxmlformats.org/drawingml/2006/main" noChangeArrowheads="1"/>
        </cdr:cNvSpPr>
      </cdr:nvSpPr>
      <cdr:spPr bwMode="auto">
        <a:xfrm xmlns:a="http://schemas.openxmlformats.org/drawingml/2006/main">
          <a:off x="1095045" y="57972"/>
          <a:ext cx="311505" cy="1368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0.6114</cdr:x>
      <cdr:y>0.02204</cdr:y>
    </cdr:from>
    <cdr:to>
      <cdr:x>0.75071</cdr:x>
      <cdr:y>0.0771</cdr:y>
    </cdr:to>
    <cdr:sp macro="" textlink="">
      <cdr:nvSpPr>
        <cdr:cNvPr id="38918" name="Rectangle 6"/>
        <cdr:cNvSpPr>
          <a:spLocks xmlns:a="http://schemas.openxmlformats.org/drawingml/2006/main" noChangeArrowheads="1"/>
        </cdr:cNvSpPr>
      </cdr:nvSpPr>
      <cdr:spPr bwMode="auto">
        <a:xfrm xmlns:a="http://schemas.openxmlformats.org/drawingml/2006/main">
          <a:off x="1552245" y="57972"/>
          <a:ext cx="352958" cy="1368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1.5</a:t>
          </a:r>
        </a:p>
      </cdr:txBody>
    </cdr:sp>
  </cdr:relSizeAnchor>
</c:userShapes>
</file>

<file path=xl/drawings/drawing28.xml><?xml version="1.0" encoding="utf-8"?>
<c:userShapes xmlns:c="http://schemas.openxmlformats.org/drawingml/2006/chart">
  <cdr:relSizeAnchor xmlns:cdr="http://schemas.openxmlformats.org/drawingml/2006/chartDrawing">
    <cdr:from>
      <cdr:x>0.76863</cdr:x>
      <cdr:y>0.27335</cdr:y>
    </cdr:from>
    <cdr:to>
      <cdr:x>0.869</cdr:x>
      <cdr:y>0.37504</cdr:y>
    </cdr:to>
    <cdr:sp macro="" textlink="">
      <cdr:nvSpPr>
        <cdr:cNvPr id="36865" name="Rectangle 1"/>
        <cdr:cNvSpPr>
          <a:spLocks xmlns:a="http://schemas.openxmlformats.org/drawingml/2006/main" noChangeArrowheads="1"/>
        </cdr:cNvSpPr>
      </cdr:nvSpPr>
      <cdr:spPr bwMode="auto">
        <a:xfrm xmlns:a="http://schemas.openxmlformats.org/drawingml/2006/main">
          <a:off x="1972574" y="643684"/>
          <a:ext cx="257182" cy="2382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25" b="1" i="0" u="none" strike="noStrike" baseline="0">
              <a:solidFill>
                <a:srgbClr val="000000"/>
              </a:solidFill>
              <a:latin typeface="ＭＳ Ｐゴシック"/>
              <a:ea typeface="ＭＳ Ｐゴシック"/>
            </a:rPr>
            <a:t>B</a:t>
          </a:r>
          <a:r>
            <a:rPr lang="ja-JP" altLang="en-US" sz="102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0.65309</cdr:x>
      <cdr:y>0.08484</cdr:y>
    </cdr:from>
    <cdr:to>
      <cdr:x>0.75346</cdr:x>
      <cdr:y>0.18653</cdr:y>
    </cdr:to>
    <cdr:sp macro="" textlink="">
      <cdr:nvSpPr>
        <cdr:cNvPr id="36866" name="Rectangle 2"/>
        <cdr:cNvSpPr>
          <a:spLocks xmlns:a="http://schemas.openxmlformats.org/drawingml/2006/main" noChangeArrowheads="1"/>
        </cdr:cNvSpPr>
      </cdr:nvSpPr>
      <cdr:spPr bwMode="auto">
        <a:xfrm xmlns:a="http://schemas.openxmlformats.org/drawingml/2006/main">
          <a:off x="1676537" y="201971"/>
          <a:ext cx="257182" cy="23827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ja-JP" altLang="en-US" sz="1025" b="1" i="0" u="none" strike="noStrike" baseline="0">
              <a:solidFill>
                <a:srgbClr val="000000"/>
              </a:solidFill>
              <a:latin typeface="ＭＳ Ｐゴシック"/>
              <a:ea typeface="ＭＳ Ｐゴシック"/>
            </a:rPr>
            <a:t>B</a:t>
          </a:r>
          <a:r>
            <a:rPr lang="ja-JP" altLang="en-US" sz="1025" b="1" i="0" u="none" strike="noStrike" baseline="30000">
              <a:solidFill>
                <a:srgbClr val="000000"/>
              </a:solidFill>
              <a:latin typeface="ＭＳ Ｐゴシック"/>
              <a:ea typeface="ＭＳ Ｐゴシック"/>
            </a:rPr>
            <a:t>+</a:t>
          </a:r>
        </a:p>
      </cdr:txBody>
    </cdr:sp>
  </cdr:relSizeAnchor>
  <cdr:relSizeAnchor xmlns:cdr="http://schemas.openxmlformats.org/drawingml/2006/chartDrawing">
    <cdr:from>
      <cdr:x>0.86563</cdr:x>
      <cdr:y>0.40478</cdr:y>
    </cdr:from>
    <cdr:to>
      <cdr:x>0.97925</cdr:x>
      <cdr:y>0.47482</cdr:y>
    </cdr:to>
    <cdr:sp macro="" textlink="">
      <cdr:nvSpPr>
        <cdr:cNvPr id="36867" name="Rectangle 3"/>
        <cdr:cNvSpPr>
          <a:spLocks xmlns:a="http://schemas.openxmlformats.org/drawingml/2006/main" noChangeArrowheads="1"/>
        </cdr:cNvSpPr>
      </cdr:nvSpPr>
      <cdr:spPr bwMode="auto">
        <a:xfrm xmlns:a="http://schemas.openxmlformats.org/drawingml/2006/main">
          <a:off x="2221121" y="951646"/>
          <a:ext cx="291103" cy="16409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0.73782</cdr:x>
      <cdr:y>0.02488</cdr:y>
    </cdr:from>
    <cdr:to>
      <cdr:x>0.9429</cdr:x>
      <cdr:y>0.12681</cdr:y>
    </cdr:to>
    <cdr:sp macro="" textlink="">
      <cdr:nvSpPr>
        <cdr:cNvPr id="36868" name="Rectangle 4"/>
        <cdr:cNvSpPr>
          <a:spLocks xmlns:a="http://schemas.openxmlformats.org/drawingml/2006/main" noChangeArrowheads="1"/>
        </cdr:cNvSpPr>
      </cdr:nvSpPr>
      <cdr:spPr bwMode="auto">
        <a:xfrm xmlns:a="http://schemas.openxmlformats.org/drawingml/2006/main">
          <a:off x="1893630" y="61478"/>
          <a:ext cx="525466" cy="238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BEE=1.0</a:t>
          </a:r>
        </a:p>
      </cdr:txBody>
    </cdr:sp>
  </cdr:relSizeAnchor>
  <cdr:relSizeAnchor xmlns:cdr="http://schemas.openxmlformats.org/drawingml/2006/chartDrawing">
    <cdr:from>
      <cdr:x>0.31514</cdr:x>
      <cdr:y>0.02488</cdr:y>
    </cdr:from>
    <cdr:to>
      <cdr:x>0.46076</cdr:x>
      <cdr:y>0.12681</cdr:y>
    </cdr:to>
    <cdr:sp macro="" textlink="">
      <cdr:nvSpPr>
        <cdr:cNvPr id="36869" name="Rectangle 5"/>
        <cdr:cNvSpPr>
          <a:spLocks xmlns:a="http://schemas.openxmlformats.org/drawingml/2006/main" noChangeArrowheads="1"/>
        </cdr:cNvSpPr>
      </cdr:nvSpPr>
      <cdr:spPr bwMode="auto">
        <a:xfrm xmlns:a="http://schemas.openxmlformats.org/drawingml/2006/main">
          <a:off x="810628" y="61478"/>
          <a:ext cx="373130" cy="238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3.0</a:t>
          </a:r>
        </a:p>
      </cdr:txBody>
    </cdr:sp>
  </cdr:relSizeAnchor>
  <cdr:relSizeAnchor xmlns:cdr="http://schemas.openxmlformats.org/drawingml/2006/chartDrawing">
    <cdr:from>
      <cdr:x>0.55705</cdr:x>
      <cdr:y>0.02224</cdr:y>
    </cdr:from>
    <cdr:to>
      <cdr:x>0.72193</cdr:x>
      <cdr:y>0.12681</cdr:y>
    </cdr:to>
    <cdr:sp macro="" textlink="">
      <cdr:nvSpPr>
        <cdr:cNvPr id="36870" name="Rectangle 6"/>
        <cdr:cNvSpPr>
          <a:spLocks xmlns:a="http://schemas.openxmlformats.org/drawingml/2006/main" noChangeArrowheads="1"/>
        </cdr:cNvSpPr>
      </cdr:nvSpPr>
      <cdr:spPr bwMode="auto">
        <a:xfrm xmlns:a="http://schemas.openxmlformats.org/drawingml/2006/main">
          <a:off x="1430456" y="55296"/>
          <a:ext cx="422469" cy="24502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975" b="0" i="0" u="none" strike="noStrike" baseline="0">
              <a:solidFill>
                <a:srgbClr val="000000"/>
              </a:solidFill>
              <a:latin typeface="ＭＳ Ｐゴシック"/>
              <a:ea typeface="ＭＳ Ｐゴシック"/>
            </a:rPr>
            <a:t>1.5</a:t>
          </a:r>
        </a:p>
      </cdr:txBody>
    </cdr:sp>
  </cdr:relSizeAnchor>
</c:userShapes>
</file>

<file path=xl/drawings/drawing29.xml><?xml version="1.0" encoding="utf-8"?>
<c:userShapes xmlns:c="http://schemas.openxmlformats.org/drawingml/2006/chart">
  <cdr:relSizeAnchor xmlns:cdr="http://schemas.openxmlformats.org/drawingml/2006/chartDrawing">
    <cdr:from>
      <cdr:x>0.7363</cdr:x>
      <cdr:y>0.23016</cdr:y>
    </cdr:from>
    <cdr:to>
      <cdr:x>0.87092</cdr:x>
      <cdr:y>0.32792</cdr:y>
    </cdr:to>
    <cdr:sp macro="" textlink="改修前後の比較!$T$41">
      <cdr:nvSpPr>
        <cdr:cNvPr id="84997" name="Text Box 1029"/>
        <cdr:cNvSpPr txBox="1">
          <a:spLocks xmlns:a="http://schemas.openxmlformats.org/drawingml/2006/main" noChangeArrowheads="1" noTextEdit="1"/>
        </cdr:cNvSpPr>
      </cdr:nvSpPr>
      <cdr:spPr bwMode="auto">
        <a:xfrm xmlns:a="http://schemas.openxmlformats.org/drawingml/2006/main">
          <a:off x="1553107" y="415322"/>
          <a:ext cx="283378"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58BEBF35-1B23-4808-B7EA-5615A57F1FBC}" type="TxLink">
            <a:rPr lang="ja-JP" altLang="en-US"/>
            <a:pPr algn="ctr" rtl="0">
              <a:defRPr sz="1000"/>
            </a:pPr>
            <a:t> </a:t>
          </a:fld>
          <a:endParaRPr lang="ja-JP" altLang="en-US"/>
        </a:p>
      </cdr:txBody>
    </cdr:sp>
  </cdr:relSizeAnchor>
  <cdr:relSizeAnchor xmlns:cdr="http://schemas.openxmlformats.org/drawingml/2006/chartDrawing">
    <cdr:from>
      <cdr:x>0.66231</cdr:x>
      <cdr:y>0.15986</cdr:y>
    </cdr:from>
    <cdr:to>
      <cdr:x>0.9652</cdr:x>
      <cdr:y>0.25762</cdr:y>
    </cdr:to>
    <cdr:sp macro="" textlink="改修前後の比較!$U$41">
      <cdr:nvSpPr>
        <cdr:cNvPr id="85001" name="Text Box 1033"/>
        <cdr:cNvSpPr txBox="1">
          <a:spLocks xmlns:a="http://schemas.openxmlformats.org/drawingml/2006/main" noChangeArrowheads="1" noTextEdit="1"/>
        </cdr:cNvSpPr>
      </cdr:nvSpPr>
      <cdr:spPr bwMode="auto">
        <a:xfrm xmlns:a="http://schemas.openxmlformats.org/drawingml/2006/main">
          <a:off x="1397349" y="289435"/>
          <a:ext cx="637601"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C6905E52-0A77-4DBE-9102-B670F5A23C6D}"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0.33005</cdr:y>
    </cdr:from>
    <cdr:to>
      <cdr:x>0.9652</cdr:x>
      <cdr:y>0.42781</cdr:y>
    </cdr:to>
    <cdr:sp macro="" textlink="改修前後の比較!$U$42">
      <cdr:nvSpPr>
        <cdr:cNvPr id="85002" name="Text Box 1034"/>
        <cdr:cNvSpPr txBox="1">
          <a:spLocks xmlns:a="http://schemas.openxmlformats.org/drawingml/2006/main" noChangeArrowheads="1" noTextEdit="1"/>
        </cdr:cNvSpPr>
      </cdr:nvSpPr>
      <cdr:spPr bwMode="auto">
        <a:xfrm xmlns:a="http://schemas.openxmlformats.org/drawingml/2006/main">
          <a:off x="1397349" y="594192"/>
          <a:ext cx="637601" cy="175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181DFED1-FBD4-4814-9809-03DDBFCFF198}"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0.51089</cdr:y>
    </cdr:from>
    <cdr:to>
      <cdr:x>0.96473</cdr:x>
      <cdr:y>0.60888</cdr:y>
    </cdr:to>
    <cdr:sp macro="" textlink="改修前後の比較!$U$43">
      <cdr:nvSpPr>
        <cdr:cNvPr id="85003" name="Text Box 1035"/>
        <cdr:cNvSpPr txBox="1">
          <a:spLocks xmlns:a="http://schemas.openxmlformats.org/drawingml/2006/main" noChangeArrowheads="1" noTextEdit="1"/>
        </cdr:cNvSpPr>
      </cdr:nvSpPr>
      <cdr:spPr bwMode="auto">
        <a:xfrm xmlns:a="http://schemas.openxmlformats.org/drawingml/2006/main">
          <a:off x="1397349" y="918023"/>
          <a:ext cx="636596" cy="17547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FF4853CB-6693-4E6D-A03A-2565CFEF125A}" type="TxLink">
            <a:rPr lang="ja-JP" altLang="en-US" sz="900" b="1" i="0" u="none" strike="noStrike" baseline="0">
              <a:solidFill>
                <a:srgbClr val="000000"/>
              </a:solidFill>
              <a:latin typeface="Arial"/>
              <a:cs typeface="Arial"/>
            </a:rPr>
            <a:pPr algn="r" rtl="0">
              <a:defRPr sz="1000"/>
            </a:pPr>
            <a:t>100%</a:t>
          </a:fld>
          <a:endParaRPr lang="ja-JP" altLang="en-US" sz="900" b="1" i="0" u="none" strike="noStrike" baseline="0">
            <a:solidFill>
              <a:srgbClr val="000000"/>
            </a:solidFill>
            <a:latin typeface="Arial"/>
            <a:cs typeface="Arial"/>
          </a:endParaRPr>
        </a:p>
      </cdr:txBody>
    </cdr:sp>
  </cdr:relSizeAnchor>
  <cdr:relSizeAnchor xmlns:cdr="http://schemas.openxmlformats.org/drawingml/2006/chartDrawing">
    <cdr:from>
      <cdr:x>0.66231</cdr:x>
      <cdr:y>0.67587</cdr:y>
    </cdr:from>
    <cdr:to>
      <cdr:x>0.96473</cdr:x>
      <cdr:y>0.77434</cdr:y>
    </cdr:to>
    <cdr:sp macro="" textlink="改修前後の比較!$U$44">
      <cdr:nvSpPr>
        <cdr:cNvPr id="85004" name="Text Box 1036"/>
        <cdr:cNvSpPr txBox="1">
          <a:spLocks xmlns:a="http://schemas.openxmlformats.org/drawingml/2006/main" noChangeArrowheads="1" noTextEdit="1"/>
        </cdr:cNvSpPr>
      </cdr:nvSpPr>
      <cdr:spPr bwMode="auto">
        <a:xfrm xmlns:a="http://schemas.openxmlformats.org/drawingml/2006/main">
          <a:off x="1397349" y="1213455"/>
          <a:ext cx="636596" cy="1763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0" tIns="22860" rIns="27432" bIns="22860" anchor="ctr" upright="1"/>
        <a:lstStyle xmlns:a="http://schemas.openxmlformats.org/drawingml/2006/main"/>
        <a:p xmlns:a="http://schemas.openxmlformats.org/drawingml/2006/main">
          <a:pPr algn="r" rtl="0">
            <a:defRPr sz="1000"/>
          </a:pPr>
          <a:fld id="{D361007F-EEFA-44CE-8C8F-5AFF6AB69E60}" type="TxLink">
            <a:rPr lang="ja-JP" altLang="en-US" sz="900" b="1" i="0" u="none" strike="noStrike" baseline="0">
              <a:solidFill>
                <a:srgbClr val="000000"/>
              </a:solidFill>
              <a:latin typeface="Arial"/>
              <a:cs typeface="Arial"/>
            </a:rPr>
            <a:pPr algn="r" rtl="0">
              <a:defRPr sz="1000"/>
            </a:pPr>
            <a:t>#DIV/0!</a:t>
          </a:fld>
          <a:endParaRPr lang="ja-JP" altLang="en-US" sz="900" b="1" i="0" u="none" strike="noStrike" baseline="0">
            <a:solidFill>
              <a:srgbClr val="000000"/>
            </a:solidFill>
            <a:latin typeface="Arial"/>
            <a:cs typeface="Aria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0.12875</cdr:x>
      <cdr:y>0.66253</cdr:y>
    </cdr:from>
    <cdr:to>
      <cdr:x>0.29935</cdr:x>
      <cdr:y>0.79895</cdr:y>
    </cdr:to>
    <cdr:sp macro="" textlink="'結果(改修後)'!$Z$59">
      <cdr:nvSpPr>
        <cdr:cNvPr id="5121" name="Text Box 1"/>
        <cdr:cNvSpPr txBox="1">
          <a:spLocks xmlns:a="http://schemas.openxmlformats.org/drawingml/2006/main" noChangeArrowheads="1" noTextEdit="1"/>
        </cdr:cNvSpPr>
      </cdr:nvSpPr>
      <cdr:spPr bwMode="auto">
        <a:xfrm xmlns:a="http://schemas.openxmlformats.org/drawingml/2006/main">
          <a:off x="402958" y="1069663"/>
          <a:ext cx="529743"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DC05C606-982A-4B07-8307-4028818BFB20}" type="TxLink">
            <a:rPr lang="ja-JP" altLang="en-US" sz="1100" b="0" i="0" u="none" strike="noStrike" baseline="0">
              <a:solidFill>
                <a:srgbClr val="000000"/>
              </a:solidFill>
              <a:latin typeface="Arial"/>
              <a:cs typeface="Arial"/>
            </a:rPr>
            <a:pPr algn="ctr" rtl="0">
              <a:defRPr sz="1000"/>
            </a:pPr>
            <a:t>#DIV/0!</a:t>
          </a:fld>
          <a:endParaRPr lang="ja-JP" altLang="en-US" sz="1100" b="0" i="0" u="none" strike="noStrike" baseline="0">
            <a:solidFill>
              <a:srgbClr val="000000"/>
            </a:solidFill>
            <a:latin typeface="Arial"/>
            <a:cs typeface="Arial"/>
          </a:endParaRPr>
        </a:p>
      </cdr:txBody>
    </cdr:sp>
  </cdr:relSizeAnchor>
  <cdr:relSizeAnchor xmlns:cdr="http://schemas.openxmlformats.org/drawingml/2006/chartDrawing">
    <cdr:from>
      <cdr:x>0.43772</cdr:x>
      <cdr:y>0.63313</cdr:y>
    </cdr:from>
    <cdr:to>
      <cdr:x>0.6122</cdr:x>
      <cdr:y>0.76955</cdr:y>
    </cdr:to>
    <cdr:sp macro="" textlink="'結果(改修後)'!$Z$60">
      <cdr:nvSpPr>
        <cdr:cNvPr id="5122" name="Text Box 2"/>
        <cdr:cNvSpPr txBox="1">
          <a:spLocks xmlns:a="http://schemas.openxmlformats.org/drawingml/2006/main" noChangeArrowheads="1" noTextEdit="1"/>
        </cdr:cNvSpPr>
      </cdr:nvSpPr>
      <cdr:spPr bwMode="auto">
        <a:xfrm xmlns:a="http://schemas.openxmlformats.org/drawingml/2006/main">
          <a:off x="1362364" y="1022336"/>
          <a:ext cx="541782"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D7ED9761-DF4E-4AFD-B90A-1CDB5DB6D1D2}"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0.74063</cdr:x>
      <cdr:y>0.63313</cdr:y>
    </cdr:from>
    <cdr:to>
      <cdr:x>0.9139</cdr:x>
      <cdr:y>0.76955</cdr:y>
    </cdr:to>
    <cdr:sp macro="" textlink="'結果(改修後)'!$Z$61">
      <cdr:nvSpPr>
        <cdr:cNvPr id="5123" name="Text Box 3"/>
        <cdr:cNvSpPr txBox="1">
          <a:spLocks xmlns:a="http://schemas.openxmlformats.org/drawingml/2006/main" noChangeArrowheads="1" noTextEdit="1"/>
        </cdr:cNvSpPr>
      </cdr:nvSpPr>
      <cdr:spPr bwMode="auto">
        <a:xfrm xmlns:a="http://schemas.openxmlformats.org/drawingml/2006/main">
          <a:off x="2302958" y="1022336"/>
          <a:ext cx="538019" cy="219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1F17955-6343-424F-B214-C6DA47343E45}"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30.xml><?xml version="1.0" encoding="utf-8"?>
<xdr:wsDr xmlns:xdr="http://schemas.openxmlformats.org/drawingml/2006/spreadsheetDrawing" xmlns:a="http://schemas.openxmlformats.org/drawingml/2006/main">
  <xdr:twoCellAnchor>
    <xdr:from>
      <xdr:col>14</xdr:col>
      <xdr:colOff>133350</xdr:colOff>
      <xdr:row>22</xdr:row>
      <xdr:rowOff>0</xdr:rowOff>
    </xdr:from>
    <xdr:to>
      <xdr:col>14</xdr:col>
      <xdr:colOff>133350</xdr:colOff>
      <xdr:row>22</xdr:row>
      <xdr:rowOff>0</xdr:rowOff>
    </xdr:to>
    <xdr:sp macro="" textlink="">
      <xdr:nvSpPr>
        <xdr:cNvPr id="2" name="Rectangle 2"/>
        <xdr:cNvSpPr>
          <a:spLocks noChangeArrowheads="1"/>
        </xdr:cNvSpPr>
      </xdr:nvSpPr>
      <xdr:spPr bwMode="auto">
        <a:xfrm>
          <a:off x="9715500" y="422910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 name="Rectangle 3"/>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7"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8"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133350</xdr:colOff>
      <xdr:row>22</xdr:row>
      <xdr:rowOff>0</xdr:rowOff>
    </xdr:from>
    <xdr:to>
      <xdr:col>14</xdr:col>
      <xdr:colOff>133350</xdr:colOff>
      <xdr:row>22</xdr:row>
      <xdr:rowOff>0</xdr:rowOff>
    </xdr:to>
    <xdr:sp macro="" textlink="">
      <xdr:nvSpPr>
        <xdr:cNvPr id="9" name="Rectangle 9"/>
        <xdr:cNvSpPr>
          <a:spLocks noChangeArrowheads="1"/>
        </xdr:cNvSpPr>
      </xdr:nvSpPr>
      <xdr:spPr bwMode="auto">
        <a:xfrm>
          <a:off x="9715500" y="422910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 name="Rectangle 10"/>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11"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12"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13"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14"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15"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16" name="Rectangle 16"/>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7" name="Rectangle 17"/>
        <xdr:cNvSpPr>
          <a:spLocks noChangeArrowheads="1"/>
        </xdr:cNvSpPr>
      </xdr:nvSpPr>
      <xdr:spPr bwMode="auto">
        <a:xfrm>
          <a:off x="9715500" y="422910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8" name="Rectangle 18"/>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19"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20"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21"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22"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23"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24" name="Rectangle 24"/>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5" name="Rectangle 25"/>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 name="Rectangle 26"/>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27"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28"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29"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0"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31"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32" name="Rectangle 32"/>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 name="Rectangle 33"/>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34"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35"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6"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7"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38"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39" name="Rectangle 40"/>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0" name="Rectangle 41"/>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1"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2"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3"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4"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5"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6" name="Rectangle 47"/>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7" name="Rectangle 48"/>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8"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9" name="グラフ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0" name="グラフ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1" name="グラフ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52" name="グラフ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53" name="Rectangle 54"/>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4" name="Rectangle 56"/>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5" name="Rectangle 57"/>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56"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57" name="グラフ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8"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9"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60"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61" name="Rectangle 64"/>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2" name="Rectangle 65"/>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63"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64"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65"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66"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67" name="グラフ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68" name="Rectangle 71"/>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69" name="Rectangle 72"/>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70" name="Rectangle 73"/>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71"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72" name="グラフ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73"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74"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75"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76" name="Rectangle 81"/>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8</xdr:col>
      <xdr:colOff>504825</xdr:colOff>
      <xdr:row>14</xdr:row>
      <xdr:rowOff>180975</xdr:rowOff>
    </xdr:from>
    <xdr:to>
      <xdr:col>13</xdr:col>
      <xdr:colOff>133350</xdr:colOff>
      <xdr:row>18</xdr:row>
      <xdr:rowOff>19050</xdr:rowOff>
    </xdr:to>
    <xdr:graphicFrame macro="">
      <xdr:nvGraphicFramePr>
        <xdr:cNvPr id="77"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xdr:col>
      <xdr:colOff>504825</xdr:colOff>
      <xdr:row>17</xdr:row>
      <xdr:rowOff>152400</xdr:rowOff>
    </xdr:from>
    <xdr:to>
      <xdr:col>13</xdr:col>
      <xdr:colOff>133350</xdr:colOff>
      <xdr:row>20</xdr:row>
      <xdr:rowOff>152400</xdr:rowOff>
    </xdr:to>
    <xdr:graphicFrame macro="">
      <xdr:nvGraphicFramePr>
        <xdr:cNvPr id="78" name="グラフ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xdr:col>
      <xdr:colOff>504825</xdr:colOff>
      <xdr:row>20</xdr:row>
      <xdr:rowOff>152400</xdr:rowOff>
    </xdr:from>
    <xdr:to>
      <xdr:col>13</xdr:col>
      <xdr:colOff>133350</xdr:colOff>
      <xdr:row>23</xdr:row>
      <xdr:rowOff>152400</xdr:rowOff>
    </xdr:to>
    <xdr:graphicFrame macro="">
      <xdr:nvGraphicFramePr>
        <xdr:cNvPr id="79" name="グラフ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4</xdr:col>
      <xdr:colOff>498664</xdr:colOff>
      <xdr:row>0</xdr:row>
      <xdr:rowOff>9524</xdr:rowOff>
    </xdr:from>
    <xdr:to>
      <xdr:col>9</xdr:col>
      <xdr:colOff>381002</xdr:colOff>
      <xdr:row>4</xdr:row>
      <xdr:rowOff>204507</xdr:rowOff>
    </xdr:to>
    <xdr:sp macro="" textlink="">
      <xdr:nvSpPr>
        <xdr:cNvPr id="80" name="Text Box 20"/>
        <xdr:cNvSpPr txBox="1">
          <a:spLocks noChangeArrowheads="1"/>
        </xdr:cNvSpPr>
      </xdr:nvSpPr>
      <xdr:spPr bwMode="auto">
        <a:xfrm>
          <a:off x="3241864" y="9524"/>
          <a:ext cx="2901763" cy="804583"/>
        </a:xfrm>
        <a:prstGeom prst="rect">
          <a:avLst/>
        </a:prstGeom>
        <a:noFill/>
        <a:ln>
          <a:noFill/>
        </a:ln>
        <a:extLst/>
      </xdr:spPr>
      <xdr:txBody>
        <a:bodyPr vertOverflow="clip" wrap="square" lIns="73152" tIns="45720" rIns="0" bIns="0" anchor="t" upright="1"/>
        <a:lstStyle/>
        <a:p>
          <a:pPr algn="l" rtl="0">
            <a:defRPr sz="1000"/>
          </a:pPr>
          <a:r>
            <a:rPr lang="ja-JP" altLang="en-US" sz="4400" b="0" i="0" u="none" strike="noStrike" baseline="0">
              <a:solidFill>
                <a:srgbClr val="008000"/>
              </a:solidFill>
              <a:latin typeface="HGSｺﾞｼｯｸE" pitchFamily="50" charset="-128"/>
              <a:ea typeface="HGSｺﾞｼｯｸE" pitchFamily="50" charset="-128"/>
            </a:rPr>
            <a:t>京都 改修  </a:t>
          </a:r>
        </a:p>
      </xdr:txBody>
    </xdr:sp>
    <xdr:clientData/>
  </xdr:twoCellAnchor>
  <xdr:twoCellAnchor>
    <xdr:from>
      <xdr:col>10</xdr:col>
      <xdr:colOff>56030</xdr:colOff>
      <xdr:row>1</xdr:row>
      <xdr:rowOff>11206</xdr:rowOff>
    </xdr:from>
    <xdr:to>
      <xdr:col>13</xdr:col>
      <xdr:colOff>227531</xdr:colOff>
      <xdr:row>6</xdr:row>
      <xdr:rowOff>121802</xdr:rowOff>
    </xdr:to>
    <xdr:sp macro="" textlink="">
      <xdr:nvSpPr>
        <xdr:cNvPr id="86" name="テキスト ボックス 85"/>
        <xdr:cNvSpPr txBox="1"/>
      </xdr:nvSpPr>
      <xdr:spPr>
        <a:xfrm>
          <a:off x="6761630" y="163606"/>
          <a:ext cx="2476551" cy="87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2500"/>
            </a:lnSpc>
          </a:pPr>
          <a:r>
            <a:rPr kumimoji="1" lang="ja-JP" altLang="en-US" sz="2000"/>
            <a:t>独自システム</a:t>
          </a:r>
          <a:endParaRPr kumimoji="1" lang="en-US" altLang="ja-JP" sz="2000"/>
        </a:p>
        <a:p>
          <a:pPr algn="ctr">
            <a:lnSpc>
              <a:spcPts val="2500"/>
            </a:lnSpc>
          </a:pPr>
          <a:r>
            <a:rPr kumimoji="1" lang="ja-JP" altLang="en-US" sz="2000"/>
            <a:t>評価結果</a:t>
          </a:r>
        </a:p>
      </xdr:txBody>
    </xdr:sp>
    <xdr:clientData/>
  </xdr:twoCellAnchor>
  <xdr:twoCellAnchor>
    <xdr:from>
      <xdr:col>10</xdr:col>
      <xdr:colOff>383439</xdr:colOff>
      <xdr:row>1</xdr:row>
      <xdr:rowOff>44335</xdr:rowOff>
    </xdr:from>
    <xdr:to>
      <xdr:col>10</xdr:col>
      <xdr:colOff>462854</xdr:colOff>
      <xdr:row>6</xdr:row>
      <xdr:rowOff>9743</xdr:rowOff>
    </xdr:to>
    <xdr:sp macro="" textlink="">
      <xdr:nvSpPr>
        <xdr:cNvPr id="87" name="正方形/長方形 86"/>
        <xdr:cNvSpPr/>
      </xdr:nvSpPr>
      <xdr:spPr>
        <a:xfrm>
          <a:off x="7089039" y="196735"/>
          <a:ext cx="79415" cy="7274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279173</xdr:colOff>
      <xdr:row>1</xdr:row>
      <xdr:rowOff>41899</xdr:rowOff>
    </xdr:from>
    <xdr:to>
      <xdr:col>12</xdr:col>
      <xdr:colOff>358588</xdr:colOff>
      <xdr:row>6</xdr:row>
      <xdr:rowOff>7307</xdr:rowOff>
    </xdr:to>
    <xdr:sp macro="" textlink="">
      <xdr:nvSpPr>
        <xdr:cNvPr id="88" name="正方形/長方形 87"/>
        <xdr:cNvSpPr/>
      </xdr:nvSpPr>
      <xdr:spPr>
        <a:xfrm>
          <a:off x="8889773" y="194299"/>
          <a:ext cx="79415" cy="7274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xdr:col>
      <xdr:colOff>95250</xdr:colOff>
      <xdr:row>1</xdr:row>
      <xdr:rowOff>66675</xdr:rowOff>
    </xdr:from>
    <xdr:to>
      <xdr:col>4</xdr:col>
      <xdr:colOff>523875</xdr:colOff>
      <xdr:row>4</xdr:row>
      <xdr:rowOff>114300</xdr:rowOff>
    </xdr:to>
    <xdr:pic>
      <xdr:nvPicPr>
        <xdr:cNvPr id="89" name="図 9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14325" y="219075"/>
          <a:ext cx="2952750" cy="50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89087</xdr:colOff>
      <xdr:row>100</xdr:row>
      <xdr:rowOff>89087</xdr:rowOff>
    </xdr:from>
    <xdr:to>
      <xdr:col>2</xdr:col>
      <xdr:colOff>470087</xdr:colOff>
      <xdr:row>102</xdr:row>
      <xdr:rowOff>22412</xdr:rowOff>
    </xdr:to>
    <xdr:sp macro="" textlink="">
      <xdr:nvSpPr>
        <xdr:cNvPr id="95" name="Rectangle 170"/>
        <xdr:cNvSpPr>
          <a:spLocks noChangeArrowheads="1"/>
        </xdr:cNvSpPr>
      </xdr:nvSpPr>
      <xdr:spPr bwMode="auto">
        <a:xfrm>
          <a:off x="313205" y="17189263"/>
          <a:ext cx="582706" cy="191061"/>
        </a:xfrm>
        <a:prstGeom prst="rect">
          <a:avLst/>
        </a:prstGeom>
        <a:solidFill>
          <a:srgbClr val="CCFFFF"/>
        </a:solidFill>
        <a:ln w="19050" algn="ctr">
          <a:solidFill>
            <a:srgbClr val="FF0000"/>
          </a:solidFill>
          <a:miter lim="800000"/>
          <a:headEnd/>
          <a:tailEnd/>
        </a:ln>
      </xdr:spPr>
    </xdr:sp>
    <xdr:clientData/>
  </xdr:twoCellAnchor>
  <xdr:twoCellAnchor>
    <xdr:from>
      <xdr:col>10</xdr:col>
      <xdr:colOff>371475</xdr:colOff>
      <xdr:row>100</xdr:row>
      <xdr:rowOff>90768</xdr:rowOff>
    </xdr:from>
    <xdr:to>
      <xdr:col>10</xdr:col>
      <xdr:colOff>942975</xdr:colOff>
      <xdr:row>102</xdr:row>
      <xdr:rowOff>33618</xdr:rowOff>
    </xdr:to>
    <xdr:sp macro="" textlink="">
      <xdr:nvSpPr>
        <xdr:cNvPr id="96" name="Rectangle 171"/>
        <xdr:cNvSpPr>
          <a:spLocks noChangeArrowheads="1"/>
        </xdr:cNvSpPr>
      </xdr:nvSpPr>
      <xdr:spPr bwMode="auto">
        <a:xfrm>
          <a:off x="7083799" y="17190944"/>
          <a:ext cx="571500" cy="200586"/>
        </a:xfrm>
        <a:prstGeom prst="rect">
          <a:avLst/>
        </a:prstGeom>
        <a:solidFill>
          <a:srgbClr val="CCFFFF"/>
        </a:solidFill>
        <a:ln w="19050" algn="ctr">
          <a:solidFill>
            <a:srgbClr val="000000"/>
          </a:solidFill>
          <a:miter lim="800000"/>
          <a:headEnd/>
          <a:tailEnd/>
        </a:ln>
      </xdr:spPr>
    </xdr:sp>
    <xdr:clientData/>
  </xdr:twoCellAnchor>
  <xdr:twoCellAnchor>
    <xdr:from>
      <xdr:col>7</xdr:col>
      <xdr:colOff>104775</xdr:colOff>
      <xdr:row>100</xdr:row>
      <xdr:rowOff>81243</xdr:rowOff>
    </xdr:from>
    <xdr:to>
      <xdr:col>8</xdr:col>
      <xdr:colOff>123825</xdr:colOff>
      <xdr:row>102</xdr:row>
      <xdr:rowOff>33618</xdr:rowOff>
    </xdr:to>
    <xdr:sp macro="" textlink="">
      <xdr:nvSpPr>
        <xdr:cNvPr id="97" name="Rectangle 170"/>
        <xdr:cNvSpPr>
          <a:spLocks noChangeArrowheads="1"/>
        </xdr:cNvSpPr>
      </xdr:nvSpPr>
      <xdr:spPr bwMode="auto">
        <a:xfrm>
          <a:off x="4475069" y="17181419"/>
          <a:ext cx="579344" cy="210111"/>
        </a:xfrm>
        <a:prstGeom prst="rect">
          <a:avLst/>
        </a:prstGeom>
        <a:solidFill>
          <a:srgbClr val="CCFFFF"/>
        </a:solidFill>
        <a:ln w="19050" algn="ctr">
          <a:solidFill>
            <a:srgbClr val="00B0F0"/>
          </a:solidFill>
          <a:miter lim="800000"/>
          <a:headEnd/>
          <a:tailEnd/>
        </a:ln>
      </xdr:spPr>
    </xdr:sp>
    <xdr:clientData/>
  </xdr:twoCellAnchor>
  <xdr:twoCellAnchor>
    <xdr:from>
      <xdr:col>1</xdr:col>
      <xdr:colOff>168087</xdr:colOff>
      <xdr:row>88</xdr:row>
      <xdr:rowOff>22406</xdr:rowOff>
    </xdr:from>
    <xdr:to>
      <xdr:col>10</xdr:col>
      <xdr:colOff>880781</xdr:colOff>
      <xdr:row>90</xdr:row>
      <xdr:rowOff>136706</xdr:rowOff>
    </xdr:to>
    <xdr:grpSp>
      <xdr:nvGrpSpPr>
        <xdr:cNvPr id="94" name="グループ化 2"/>
        <xdr:cNvGrpSpPr>
          <a:grpSpLocks/>
        </xdr:cNvGrpSpPr>
      </xdr:nvGrpSpPr>
      <xdr:grpSpPr bwMode="auto">
        <a:xfrm>
          <a:off x="387162" y="15129056"/>
          <a:ext cx="7199219" cy="419100"/>
          <a:chOff x="347943" y="14966016"/>
          <a:chExt cx="7202581" cy="428065"/>
        </a:xfrm>
      </xdr:grpSpPr>
      <xdr:sp macro="" textlink="">
        <xdr:nvSpPr>
          <xdr:cNvPr id="98" name="正方形/長方形 97"/>
          <xdr:cNvSpPr/>
        </xdr:nvSpPr>
        <xdr:spPr>
          <a:xfrm>
            <a:off x="347943" y="14966016"/>
            <a:ext cx="7202581" cy="428065"/>
          </a:xfrm>
          <a:prstGeom prst="rect">
            <a:avLst/>
          </a:prstGeom>
          <a:solidFill>
            <a:srgbClr val="CC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133350</xdr:colOff>
      <xdr:row>22</xdr:row>
      <xdr:rowOff>0</xdr:rowOff>
    </xdr:from>
    <xdr:to>
      <xdr:col>14</xdr:col>
      <xdr:colOff>133350</xdr:colOff>
      <xdr:row>22</xdr:row>
      <xdr:rowOff>0</xdr:rowOff>
    </xdr:to>
    <xdr:sp macro="" textlink="">
      <xdr:nvSpPr>
        <xdr:cNvPr id="2" name="Rectangle 2"/>
        <xdr:cNvSpPr>
          <a:spLocks noChangeArrowheads="1"/>
        </xdr:cNvSpPr>
      </xdr:nvSpPr>
      <xdr:spPr bwMode="auto">
        <a:xfrm>
          <a:off x="9715500" y="422910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3" name="Rectangle 3"/>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4"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5"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6"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7"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8"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133350</xdr:colOff>
      <xdr:row>22</xdr:row>
      <xdr:rowOff>0</xdr:rowOff>
    </xdr:from>
    <xdr:to>
      <xdr:col>14</xdr:col>
      <xdr:colOff>133350</xdr:colOff>
      <xdr:row>22</xdr:row>
      <xdr:rowOff>0</xdr:rowOff>
    </xdr:to>
    <xdr:sp macro="" textlink="">
      <xdr:nvSpPr>
        <xdr:cNvPr id="9" name="Rectangle 9"/>
        <xdr:cNvSpPr>
          <a:spLocks noChangeArrowheads="1"/>
        </xdr:cNvSpPr>
      </xdr:nvSpPr>
      <xdr:spPr bwMode="auto">
        <a:xfrm>
          <a:off x="9715500" y="422910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0" name="Rectangle 10"/>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11"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12"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13"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14"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15"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16" name="Rectangle 16"/>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7" name="Rectangle 17"/>
        <xdr:cNvSpPr>
          <a:spLocks noChangeArrowheads="1"/>
        </xdr:cNvSpPr>
      </xdr:nvSpPr>
      <xdr:spPr bwMode="auto">
        <a:xfrm>
          <a:off x="9715500" y="422910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8" name="Rectangle 18"/>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19"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20"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21"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22"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23"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24" name="Rectangle 24"/>
        <xdr:cNvSpPr>
          <a:spLocks noChangeArrowheads="1"/>
        </xdr:cNvSpPr>
      </xdr:nvSpPr>
      <xdr:spPr bwMode="auto">
        <a:xfrm>
          <a:off x="8610600" y="4229100"/>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5" name="Rectangle 25"/>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6" name="Rectangle 26"/>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27"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28"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29"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0"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31"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32" name="Rectangle 32"/>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3" name="Rectangle 33"/>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34"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35"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6"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7"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38"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39" name="Rectangle 40"/>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0" name="Rectangle 41"/>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1"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2"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3"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4"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5"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6" name="Rectangle 47"/>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7" name="Rectangle 48"/>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8"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9" name="グラフ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0" name="グラフ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1" name="グラフ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52" name="グラフ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53" name="Rectangle 54"/>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4" name="Rectangle 56"/>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5" name="Rectangle 57"/>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56"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57" name="グラフ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8"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9"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60"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61" name="Rectangle 64"/>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2" name="Rectangle 65"/>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63"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64"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65"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66"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67" name="グラフ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68" name="Rectangle 71"/>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69" name="Rectangle 72"/>
        <xdr:cNvSpPr>
          <a:spLocks noChangeArrowheads="1"/>
        </xdr:cNvSpPr>
      </xdr:nvSpPr>
      <xdr:spPr bwMode="auto">
        <a:xfrm>
          <a:off x="9715500" y="477202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70" name="Rectangle 73"/>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71"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72" name="グラフ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73"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74"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75"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76" name="Rectangle 81"/>
        <xdr:cNvSpPr>
          <a:spLocks noChangeArrowheads="1"/>
        </xdr:cNvSpPr>
      </xdr:nvSpPr>
      <xdr:spPr bwMode="auto">
        <a:xfrm>
          <a:off x="8610600" y="4772025"/>
          <a:ext cx="11049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8</xdr:col>
      <xdr:colOff>504825</xdr:colOff>
      <xdr:row>14</xdr:row>
      <xdr:rowOff>180975</xdr:rowOff>
    </xdr:from>
    <xdr:to>
      <xdr:col>13</xdr:col>
      <xdr:colOff>133350</xdr:colOff>
      <xdr:row>18</xdr:row>
      <xdr:rowOff>19050</xdr:rowOff>
    </xdr:to>
    <xdr:graphicFrame macro="">
      <xdr:nvGraphicFramePr>
        <xdr:cNvPr id="77"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8</xdr:col>
      <xdr:colOff>504825</xdr:colOff>
      <xdr:row>17</xdr:row>
      <xdr:rowOff>152400</xdr:rowOff>
    </xdr:from>
    <xdr:to>
      <xdr:col>13</xdr:col>
      <xdr:colOff>133350</xdr:colOff>
      <xdr:row>20</xdr:row>
      <xdr:rowOff>152400</xdr:rowOff>
    </xdr:to>
    <xdr:graphicFrame macro="">
      <xdr:nvGraphicFramePr>
        <xdr:cNvPr id="78" name="グラフ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8</xdr:col>
      <xdr:colOff>504825</xdr:colOff>
      <xdr:row>20</xdr:row>
      <xdr:rowOff>152400</xdr:rowOff>
    </xdr:from>
    <xdr:to>
      <xdr:col>13</xdr:col>
      <xdr:colOff>133350</xdr:colOff>
      <xdr:row>23</xdr:row>
      <xdr:rowOff>152400</xdr:rowOff>
    </xdr:to>
    <xdr:graphicFrame macro="">
      <xdr:nvGraphicFramePr>
        <xdr:cNvPr id="79" name="グラフ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2</xdr:col>
      <xdr:colOff>0</xdr:colOff>
      <xdr:row>88</xdr:row>
      <xdr:rowOff>19050</xdr:rowOff>
    </xdr:from>
    <xdr:to>
      <xdr:col>10</xdr:col>
      <xdr:colOff>914400</xdr:colOff>
      <xdr:row>90</xdr:row>
      <xdr:rowOff>133350</xdr:rowOff>
    </xdr:to>
    <xdr:grpSp>
      <xdr:nvGrpSpPr>
        <xdr:cNvPr id="83" name="グループ化 2"/>
        <xdr:cNvGrpSpPr>
          <a:grpSpLocks/>
        </xdr:cNvGrpSpPr>
      </xdr:nvGrpSpPr>
      <xdr:grpSpPr bwMode="auto">
        <a:xfrm>
          <a:off x="419100" y="15125700"/>
          <a:ext cx="7200900" cy="419100"/>
          <a:chOff x="347943" y="14966016"/>
          <a:chExt cx="7202581" cy="428065"/>
        </a:xfrm>
      </xdr:grpSpPr>
      <xdr:sp macro="" textlink="">
        <xdr:nvSpPr>
          <xdr:cNvPr id="84" name="正方形/長方形 83"/>
          <xdr:cNvSpPr/>
        </xdr:nvSpPr>
        <xdr:spPr>
          <a:xfrm>
            <a:off x="347943" y="14966016"/>
            <a:ext cx="7202581" cy="428065"/>
          </a:xfrm>
          <a:prstGeom prst="rect">
            <a:avLst/>
          </a:prstGeom>
          <a:solidFill>
            <a:srgbClr val="CCFFFF"/>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clientData/>
  </xdr:twoCellAnchor>
  <xdr:twoCellAnchor>
    <xdr:from>
      <xdr:col>4</xdr:col>
      <xdr:colOff>506510</xdr:colOff>
      <xdr:row>0</xdr:row>
      <xdr:rowOff>11206</xdr:rowOff>
    </xdr:from>
    <xdr:to>
      <xdr:col>9</xdr:col>
      <xdr:colOff>388848</xdr:colOff>
      <xdr:row>4</xdr:row>
      <xdr:rowOff>206189</xdr:rowOff>
    </xdr:to>
    <xdr:sp macro="" textlink="">
      <xdr:nvSpPr>
        <xdr:cNvPr id="85" name="Text Box 20"/>
        <xdr:cNvSpPr txBox="1">
          <a:spLocks noChangeArrowheads="1"/>
        </xdr:cNvSpPr>
      </xdr:nvSpPr>
      <xdr:spPr bwMode="auto">
        <a:xfrm>
          <a:off x="3249710" y="11206"/>
          <a:ext cx="2901763" cy="804583"/>
        </a:xfrm>
        <a:prstGeom prst="rect">
          <a:avLst/>
        </a:prstGeom>
        <a:noFill/>
        <a:ln>
          <a:noFill/>
        </a:ln>
        <a:extLst/>
      </xdr:spPr>
      <xdr:txBody>
        <a:bodyPr vertOverflow="clip" wrap="square" lIns="73152" tIns="45720" rIns="0" bIns="0" anchor="t" upright="1"/>
        <a:lstStyle/>
        <a:p>
          <a:pPr algn="l" rtl="0">
            <a:defRPr sz="1000"/>
          </a:pPr>
          <a:r>
            <a:rPr lang="ja-JP" altLang="en-US" sz="4400" b="0" i="0" u="none" strike="noStrike" baseline="0">
              <a:solidFill>
                <a:srgbClr val="008000"/>
              </a:solidFill>
              <a:latin typeface="HGSｺﾞｼｯｸE" pitchFamily="50" charset="-128"/>
              <a:ea typeface="HGSｺﾞｼｯｸE" pitchFamily="50" charset="-128"/>
            </a:rPr>
            <a:t>京都 改修  </a:t>
          </a:r>
        </a:p>
      </xdr:txBody>
    </xdr:sp>
    <xdr:clientData/>
  </xdr:twoCellAnchor>
  <xdr:twoCellAnchor>
    <xdr:from>
      <xdr:col>10</xdr:col>
      <xdr:colOff>63876</xdr:colOff>
      <xdr:row>1</xdr:row>
      <xdr:rowOff>12888</xdr:rowOff>
    </xdr:from>
    <xdr:to>
      <xdr:col>13</xdr:col>
      <xdr:colOff>235377</xdr:colOff>
      <xdr:row>6</xdr:row>
      <xdr:rowOff>123484</xdr:rowOff>
    </xdr:to>
    <xdr:sp macro="" textlink="">
      <xdr:nvSpPr>
        <xdr:cNvPr id="86" name="テキスト ボックス 85"/>
        <xdr:cNvSpPr txBox="1"/>
      </xdr:nvSpPr>
      <xdr:spPr>
        <a:xfrm>
          <a:off x="6769476" y="165288"/>
          <a:ext cx="2476551" cy="872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2500"/>
            </a:lnSpc>
          </a:pPr>
          <a:r>
            <a:rPr kumimoji="1" lang="ja-JP" altLang="en-US" sz="2000"/>
            <a:t>独自システム</a:t>
          </a:r>
          <a:endParaRPr kumimoji="1" lang="en-US" altLang="ja-JP" sz="2000"/>
        </a:p>
        <a:p>
          <a:pPr algn="ctr">
            <a:lnSpc>
              <a:spcPts val="2500"/>
            </a:lnSpc>
          </a:pPr>
          <a:r>
            <a:rPr kumimoji="1" lang="ja-JP" altLang="en-US" sz="2000"/>
            <a:t>評価結果</a:t>
          </a:r>
        </a:p>
      </xdr:txBody>
    </xdr:sp>
    <xdr:clientData/>
  </xdr:twoCellAnchor>
  <xdr:twoCellAnchor>
    <xdr:from>
      <xdr:col>10</xdr:col>
      <xdr:colOff>391285</xdr:colOff>
      <xdr:row>1</xdr:row>
      <xdr:rowOff>46017</xdr:rowOff>
    </xdr:from>
    <xdr:to>
      <xdr:col>10</xdr:col>
      <xdr:colOff>470700</xdr:colOff>
      <xdr:row>6</xdr:row>
      <xdr:rowOff>11425</xdr:rowOff>
    </xdr:to>
    <xdr:sp macro="" textlink="">
      <xdr:nvSpPr>
        <xdr:cNvPr id="87" name="正方形/長方形 86"/>
        <xdr:cNvSpPr/>
      </xdr:nvSpPr>
      <xdr:spPr>
        <a:xfrm>
          <a:off x="7096885" y="198417"/>
          <a:ext cx="79415" cy="7274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287019</xdr:colOff>
      <xdr:row>1</xdr:row>
      <xdr:rowOff>43581</xdr:rowOff>
    </xdr:from>
    <xdr:to>
      <xdr:col>12</xdr:col>
      <xdr:colOff>366434</xdr:colOff>
      <xdr:row>6</xdr:row>
      <xdr:rowOff>8989</xdr:rowOff>
    </xdr:to>
    <xdr:sp macro="" textlink="">
      <xdr:nvSpPr>
        <xdr:cNvPr id="88" name="正方形/長方形 87"/>
        <xdr:cNvSpPr/>
      </xdr:nvSpPr>
      <xdr:spPr>
        <a:xfrm>
          <a:off x="8897619" y="195981"/>
          <a:ext cx="79415" cy="7274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xdr:col>
      <xdr:colOff>104775</xdr:colOff>
      <xdr:row>1</xdr:row>
      <xdr:rowOff>66675</xdr:rowOff>
    </xdr:from>
    <xdr:to>
      <xdr:col>4</xdr:col>
      <xdr:colOff>533400</xdr:colOff>
      <xdr:row>4</xdr:row>
      <xdr:rowOff>114300</xdr:rowOff>
    </xdr:to>
    <xdr:pic>
      <xdr:nvPicPr>
        <xdr:cNvPr id="89" name="図 9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xmlns="" val="0"/>
            </a:ext>
          </a:extLst>
        </a:blip>
        <a:srcRect/>
        <a:stretch>
          <a:fillRect/>
        </a:stretch>
      </xdr:blipFill>
      <xdr:spPr bwMode="auto">
        <a:xfrm>
          <a:off x="323850" y="219075"/>
          <a:ext cx="2952750" cy="50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xdr:col>
      <xdr:colOff>89087</xdr:colOff>
      <xdr:row>100</xdr:row>
      <xdr:rowOff>89087</xdr:rowOff>
    </xdr:from>
    <xdr:to>
      <xdr:col>2</xdr:col>
      <xdr:colOff>470087</xdr:colOff>
      <xdr:row>102</xdr:row>
      <xdr:rowOff>22412</xdr:rowOff>
    </xdr:to>
    <xdr:sp macro="" textlink="">
      <xdr:nvSpPr>
        <xdr:cNvPr id="95" name="Rectangle 170"/>
        <xdr:cNvSpPr>
          <a:spLocks noChangeArrowheads="1"/>
        </xdr:cNvSpPr>
      </xdr:nvSpPr>
      <xdr:spPr bwMode="auto">
        <a:xfrm>
          <a:off x="308162" y="16948337"/>
          <a:ext cx="581025" cy="180975"/>
        </a:xfrm>
        <a:prstGeom prst="rect">
          <a:avLst/>
        </a:prstGeom>
        <a:solidFill>
          <a:srgbClr val="CCFFFF"/>
        </a:solidFill>
        <a:ln w="19050" algn="ctr">
          <a:solidFill>
            <a:srgbClr val="FF0000"/>
          </a:solidFill>
          <a:miter lim="800000"/>
          <a:headEnd/>
          <a:tailEnd/>
        </a:ln>
      </xdr:spPr>
    </xdr:sp>
    <xdr:clientData/>
  </xdr:twoCellAnchor>
  <xdr:twoCellAnchor>
    <xdr:from>
      <xdr:col>10</xdr:col>
      <xdr:colOff>371475</xdr:colOff>
      <xdr:row>100</xdr:row>
      <xdr:rowOff>90768</xdr:rowOff>
    </xdr:from>
    <xdr:to>
      <xdr:col>10</xdr:col>
      <xdr:colOff>942975</xdr:colOff>
      <xdr:row>102</xdr:row>
      <xdr:rowOff>33618</xdr:rowOff>
    </xdr:to>
    <xdr:sp macro="" textlink="">
      <xdr:nvSpPr>
        <xdr:cNvPr id="96" name="Rectangle 171"/>
        <xdr:cNvSpPr>
          <a:spLocks noChangeArrowheads="1"/>
        </xdr:cNvSpPr>
      </xdr:nvSpPr>
      <xdr:spPr bwMode="auto">
        <a:xfrm>
          <a:off x="7077075" y="16950018"/>
          <a:ext cx="571500" cy="190500"/>
        </a:xfrm>
        <a:prstGeom prst="rect">
          <a:avLst/>
        </a:prstGeom>
        <a:solidFill>
          <a:srgbClr val="CCFFFF"/>
        </a:solidFill>
        <a:ln w="19050" algn="ctr">
          <a:solidFill>
            <a:srgbClr val="000000"/>
          </a:solidFill>
          <a:miter lim="800000"/>
          <a:headEnd/>
          <a:tailEnd/>
        </a:ln>
      </xdr:spPr>
    </xdr:sp>
    <xdr:clientData/>
  </xdr:twoCellAnchor>
  <xdr:twoCellAnchor>
    <xdr:from>
      <xdr:col>7</xdr:col>
      <xdr:colOff>104775</xdr:colOff>
      <xdr:row>100</xdr:row>
      <xdr:rowOff>81243</xdr:rowOff>
    </xdr:from>
    <xdr:to>
      <xdr:col>8</xdr:col>
      <xdr:colOff>123825</xdr:colOff>
      <xdr:row>102</xdr:row>
      <xdr:rowOff>33618</xdr:rowOff>
    </xdr:to>
    <xdr:sp macro="" textlink="">
      <xdr:nvSpPr>
        <xdr:cNvPr id="97" name="Rectangle 170"/>
        <xdr:cNvSpPr>
          <a:spLocks noChangeArrowheads="1"/>
        </xdr:cNvSpPr>
      </xdr:nvSpPr>
      <xdr:spPr bwMode="auto">
        <a:xfrm>
          <a:off x="4467225" y="16940493"/>
          <a:ext cx="581025" cy="200025"/>
        </a:xfrm>
        <a:prstGeom prst="rect">
          <a:avLst/>
        </a:prstGeom>
        <a:solidFill>
          <a:srgbClr val="CCFFFF"/>
        </a:solidFill>
        <a:ln w="19050" algn="ctr">
          <a:solidFill>
            <a:srgbClr val="00B0F0"/>
          </a:solidFill>
          <a:miter lim="800000"/>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133350</xdr:colOff>
      <xdr:row>22</xdr:row>
      <xdr:rowOff>0</xdr:rowOff>
    </xdr:from>
    <xdr:to>
      <xdr:col>14</xdr:col>
      <xdr:colOff>133350</xdr:colOff>
      <xdr:row>22</xdr:row>
      <xdr:rowOff>0</xdr:rowOff>
    </xdr:to>
    <xdr:sp macro="" textlink="">
      <xdr:nvSpPr>
        <xdr:cNvPr id="3" name="Rectangle 2"/>
        <xdr:cNvSpPr>
          <a:spLocks noChangeArrowheads="1"/>
        </xdr:cNvSpPr>
      </xdr:nvSpPr>
      <xdr:spPr bwMode="auto">
        <a:xfrm>
          <a:off x="9696450" y="42862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4" name="Rectangle 3"/>
        <xdr:cNvSpPr>
          <a:spLocks noChangeArrowheads="1"/>
        </xdr:cNvSpPr>
      </xdr:nvSpPr>
      <xdr:spPr bwMode="auto">
        <a:xfrm>
          <a:off x="8553450" y="4286250"/>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133350</xdr:colOff>
      <xdr:row>22</xdr:row>
      <xdr:rowOff>0</xdr:rowOff>
    </xdr:from>
    <xdr:to>
      <xdr:col>14</xdr:col>
      <xdr:colOff>133350</xdr:colOff>
      <xdr:row>22</xdr:row>
      <xdr:rowOff>0</xdr:rowOff>
    </xdr:to>
    <xdr:sp macro="" textlink="">
      <xdr:nvSpPr>
        <xdr:cNvPr id="10" name="Rectangle 9"/>
        <xdr:cNvSpPr>
          <a:spLocks noChangeArrowheads="1"/>
        </xdr:cNvSpPr>
      </xdr:nvSpPr>
      <xdr:spPr bwMode="auto">
        <a:xfrm>
          <a:off x="9696450" y="42862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1" name="Rectangle 10"/>
        <xdr:cNvSpPr>
          <a:spLocks noChangeArrowheads="1"/>
        </xdr:cNvSpPr>
      </xdr:nvSpPr>
      <xdr:spPr bwMode="auto">
        <a:xfrm>
          <a:off x="8553450" y="4286250"/>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17" name="Rectangle 16"/>
        <xdr:cNvSpPr>
          <a:spLocks noChangeArrowheads="1"/>
        </xdr:cNvSpPr>
      </xdr:nvSpPr>
      <xdr:spPr bwMode="auto">
        <a:xfrm>
          <a:off x="8553450" y="4286250"/>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22</xdr:row>
      <xdr:rowOff>0</xdr:rowOff>
    </xdr:from>
    <xdr:to>
      <xdr:col>14</xdr:col>
      <xdr:colOff>133350</xdr:colOff>
      <xdr:row>22</xdr:row>
      <xdr:rowOff>0</xdr:rowOff>
    </xdr:to>
    <xdr:sp macro="" textlink="">
      <xdr:nvSpPr>
        <xdr:cNvPr id="18" name="Rectangle 17"/>
        <xdr:cNvSpPr>
          <a:spLocks noChangeArrowheads="1"/>
        </xdr:cNvSpPr>
      </xdr:nvSpPr>
      <xdr:spPr bwMode="auto">
        <a:xfrm>
          <a:off x="9696450" y="4286250"/>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22</xdr:row>
      <xdr:rowOff>0</xdr:rowOff>
    </xdr:from>
    <xdr:to>
      <xdr:col>14</xdr:col>
      <xdr:colOff>133350</xdr:colOff>
      <xdr:row>22</xdr:row>
      <xdr:rowOff>0</xdr:rowOff>
    </xdr:to>
    <xdr:sp macro="" textlink="">
      <xdr:nvSpPr>
        <xdr:cNvPr id="19" name="Rectangle 18"/>
        <xdr:cNvSpPr>
          <a:spLocks noChangeArrowheads="1"/>
        </xdr:cNvSpPr>
      </xdr:nvSpPr>
      <xdr:spPr bwMode="auto">
        <a:xfrm>
          <a:off x="8553450" y="4286250"/>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14</xdr:row>
      <xdr:rowOff>0</xdr:rowOff>
    </xdr:from>
    <xdr:to>
      <xdr:col>16</xdr:col>
      <xdr:colOff>0</xdr:colOff>
      <xdr:row>15</xdr:row>
      <xdr:rowOff>0</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18</xdr:row>
      <xdr:rowOff>0</xdr:rowOff>
    </xdr:from>
    <xdr:to>
      <xdr:col>16</xdr:col>
      <xdr:colOff>0</xdr:colOff>
      <xdr:row>19</xdr:row>
      <xdr:rowOff>0</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16</xdr:col>
      <xdr:colOff>0</xdr:colOff>
      <xdr:row>21</xdr:row>
      <xdr:rowOff>0</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0</xdr:colOff>
      <xdr:row>11</xdr:row>
      <xdr:rowOff>0</xdr:rowOff>
    </xdr:from>
    <xdr:to>
      <xdr:col>16</xdr:col>
      <xdr:colOff>0</xdr:colOff>
      <xdr:row>14</xdr:row>
      <xdr:rowOff>9525</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0</xdr:colOff>
      <xdr:row>22</xdr:row>
      <xdr:rowOff>0</xdr:rowOff>
    </xdr:from>
    <xdr:to>
      <xdr:col>14</xdr:col>
      <xdr:colOff>133350</xdr:colOff>
      <xdr:row>22</xdr:row>
      <xdr:rowOff>0</xdr:rowOff>
    </xdr:to>
    <xdr:sp macro="" textlink="">
      <xdr:nvSpPr>
        <xdr:cNvPr id="25" name="Rectangle 24"/>
        <xdr:cNvSpPr>
          <a:spLocks noChangeArrowheads="1"/>
        </xdr:cNvSpPr>
      </xdr:nvSpPr>
      <xdr:spPr bwMode="auto">
        <a:xfrm>
          <a:off x="8553450" y="4286250"/>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26" name="Rectangle 25"/>
        <xdr:cNvSpPr>
          <a:spLocks noChangeArrowheads="1"/>
        </xdr:cNvSpPr>
      </xdr:nvSpPr>
      <xdr:spPr bwMode="auto">
        <a:xfrm>
          <a:off x="9696450" y="48291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27" name="Rectangle 26"/>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33" name="Rectangle 32"/>
        <xdr:cNvSpPr>
          <a:spLocks noChangeArrowheads="1"/>
        </xdr:cNvSpPr>
      </xdr:nvSpPr>
      <xdr:spPr bwMode="auto">
        <a:xfrm>
          <a:off x="9696450" y="48291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34" name="Rectangle 33"/>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35" name="グラフ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36" name="グラフ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7" name="グラフ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38" name="グラフ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39" name="グラフ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0" name="Rectangle 40"/>
        <xdr:cNvSpPr>
          <a:spLocks noChangeArrowheads="1"/>
        </xdr:cNvSpPr>
      </xdr:nvSpPr>
      <xdr:spPr bwMode="auto">
        <a:xfrm>
          <a:off x="9696450" y="48291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1" name="Rectangle 41"/>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2" name="グラフ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43" name="グラフ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4" name="グラフ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45" name="グラフ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46" name="グラフ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47" name="Rectangle 47"/>
        <xdr:cNvSpPr>
          <a:spLocks noChangeArrowheads="1"/>
        </xdr:cNvSpPr>
      </xdr:nvSpPr>
      <xdr:spPr bwMode="auto">
        <a:xfrm>
          <a:off x="9696450" y="48291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48" name="Rectangle 48"/>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49" name="グラフ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50" name="グラフ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1" name="グラフ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2" name="グラフ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53" name="グラフ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54" name="Rectangle 54"/>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55" name="Rectangle 56"/>
        <xdr:cNvSpPr>
          <a:spLocks noChangeArrowheads="1"/>
        </xdr:cNvSpPr>
      </xdr:nvSpPr>
      <xdr:spPr bwMode="auto">
        <a:xfrm>
          <a:off x="9696450" y="48291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56" name="Rectangle 57"/>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57" name="グラフ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58" name="グラフ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59" name="グラフ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60" name="グラフ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61" name="グラフ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14</xdr:col>
      <xdr:colOff>133350</xdr:colOff>
      <xdr:row>24</xdr:row>
      <xdr:rowOff>0</xdr:rowOff>
    </xdr:from>
    <xdr:to>
      <xdr:col>14</xdr:col>
      <xdr:colOff>133350</xdr:colOff>
      <xdr:row>24</xdr:row>
      <xdr:rowOff>0</xdr:rowOff>
    </xdr:to>
    <xdr:sp macro="" textlink="">
      <xdr:nvSpPr>
        <xdr:cNvPr id="62" name="Rectangle 64"/>
        <xdr:cNvSpPr>
          <a:spLocks noChangeArrowheads="1"/>
        </xdr:cNvSpPr>
      </xdr:nvSpPr>
      <xdr:spPr bwMode="auto">
        <a:xfrm>
          <a:off x="9696450" y="48291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63" name="Rectangle 65"/>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64" name="グラフ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65" name="グラフ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66" name="グラフ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67" name="グラフ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68" name="グラフ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69" name="Rectangle 71"/>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14</xdr:col>
      <xdr:colOff>133350</xdr:colOff>
      <xdr:row>24</xdr:row>
      <xdr:rowOff>0</xdr:rowOff>
    </xdr:from>
    <xdr:to>
      <xdr:col>14</xdr:col>
      <xdr:colOff>133350</xdr:colOff>
      <xdr:row>24</xdr:row>
      <xdr:rowOff>0</xdr:rowOff>
    </xdr:to>
    <xdr:sp macro="" textlink="">
      <xdr:nvSpPr>
        <xdr:cNvPr id="70" name="Rectangle 72"/>
        <xdr:cNvSpPr>
          <a:spLocks noChangeArrowheads="1"/>
        </xdr:cNvSpPr>
      </xdr:nvSpPr>
      <xdr:spPr bwMode="auto">
        <a:xfrm>
          <a:off x="9696450" y="4829175"/>
          <a:ext cx="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12</xdr:col>
      <xdr:colOff>0</xdr:colOff>
      <xdr:row>24</xdr:row>
      <xdr:rowOff>0</xdr:rowOff>
    </xdr:from>
    <xdr:to>
      <xdr:col>14</xdr:col>
      <xdr:colOff>133350</xdr:colOff>
      <xdr:row>24</xdr:row>
      <xdr:rowOff>0</xdr:rowOff>
    </xdr:to>
    <xdr:sp macro="" textlink="">
      <xdr:nvSpPr>
        <xdr:cNvPr id="71" name="Rectangle 73"/>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16</xdr:col>
      <xdr:colOff>0</xdr:colOff>
      <xdr:row>17</xdr:row>
      <xdr:rowOff>0</xdr:rowOff>
    </xdr:from>
    <xdr:to>
      <xdr:col>16</xdr:col>
      <xdr:colOff>0</xdr:colOff>
      <xdr:row>18</xdr:row>
      <xdr:rowOff>0</xdr:rowOff>
    </xdr:to>
    <xdr:graphicFrame macro="">
      <xdr:nvGraphicFramePr>
        <xdr:cNvPr id="72" name="グラフ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16</xdr:col>
      <xdr:colOff>0</xdr:colOff>
      <xdr:row>21</xdr:row>
      <xdr:rowOff>0</xdr:rowOff>
    </xdr:from>
    <xdr:to>
      <xdr:col>16</xdr:col>
      <xdr:colOff>0</xdr:colOff>
      <xdr:row>22</xdr:row>
      <xdr:rowOff>0</xdr:rowOff>
    </xdr:to>
    <xdr:graphicFrame macro="">
      <xdr:nvGraphicFramePr>
        <xdr:cNvPr id="73" name="グラフ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74" name="グラフ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16</xdr:col>
      <xdr:colOff>0</xdr:colOff>
      <xdr:row>24</xdr:row>
      <xdr:rowOff>0</xdr:rowOff>
    </xdr:from>
    <xdr:to>
      <xdr:col>16</xdr:col>
      <xdr:colOff>0</xdr:colOff>
      <xdr:row>24</xdr:row>
      <xdr:rowOff>0</xdr:rowOff>
    </xdr:to>
    <xdr:graphicFrame macro="">
      <xdr:nvGraphicFramePr>
        <xdr:cNvPr id="75" name="グラフ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16</xdr:col>
      <xdr:colOff>0</xdr:colOff>
      <xdr:row>14</xdr:row>
      <xdr:rowOff>0</xdr:rowOff>
    </xdr:from>
    <xdr:to>
      <xdr:col>16</xdr:col>
      <xdr:colOff>0</xdr:colOff>
      <xdr:row>17</xdr:row>
      <xdr:rowOff>9525</xdr:rowOff>
    </xdr:to>
    <xdr:graphicFrame macro="">
      <xdr:nvGraphicFramePr>
        <xdr:cNvPr id="76" name="グラフ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12</xdr:col>
      <xdr:colOff>0</xdr:colOff>
      <xdr:row>24</xdr:row>
      <xdr:rowOff>0</xdr:rowOff>
    </xdr:from>
    <xdr:to>
      <xdr:col>14</xdr:col>
      <xdr:colOff>133350</xdr:colOff>
      <xdr:row>24</xdr:row>
      <xdr:rowOff>0</xdr:rowOff>
    </xdr:to>
    <xdr:sp macro="" textlink="">
      <xdr:nvSpPr>
        <xdr:cNvPr id="77" name="Rectangle 81"/>
        <xdr:cNvSpPr>
          <a:spLocks noChangeArrowheads="1"/>
        </xdr:cNvSpPr>
      </xdr:nvSpPr>
      <xdr:spPr bwMode="auto">
        <a:xfrm>
          <a:off x="8553450" y="4829175"/>
          <a:ext cx="1143000" cy="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sp>
    <xdr:clientData/>
  </xdr:twoCellAnchor>
  <xdr:twoCellAnchor>
    <xdr:from>
      <xdr:col>8</xdr:col>
      <xdr:colOff>57150</xdr:colOff>
      <xdr:row>15</xdr:row>
      <xdr:rowOff>66675</xdr:rowOff>
    </xdr:from>
    <xdr:to>
      <xdr:col>10</xdr:col>
      <xdr:colOff>476250</xdr:colOff>
      <xdr:row>17</xdr:row>
      <xdr:rowOff>123825</xdr:rowOff>
    </xdr:to>
    <xdr:graphicFrame macro="">
      <xdr:nvGraphicFramePr>
        <xdr:cNvPr id="78"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4</xdr:col>
      <xdr:colOff>299197</xdr:colOff>
      <xdr:row>0</xdr:row>
      <xdr:rowOff>56029</xdr:rowOff>
    </xdr:from>
    <xdr:to>
      <xdr:col>9</xdr:col>
      <xdr:colOff>152399</xdr:colOff>
      <xdr:row>5</xdr:row>
      <xdr:rowOff>57150</xdr:rowOff>
    </xdr:to>
    <xdr:sp macro="" textlink="">
      <xdr:nvSpPr>
        <xdr:cNvPr id="79" name="Text Box 20"/>
        <xdr:cNvSpPr txBox="1">
          <a:spLocks noChangeArrowheads="1"/>
        </xdr:cNvSpPr>
      </xdr:nvSpPr>
      <xdr:spPr bwMode="auto">
        <a:xfrm>
          <a:off x="3042397" y="56029"/>
          <a:ext cx="2815477" cy="877421"/>
        </a:xfrm>
        <a:prstGeom prst="rect">
          <a:avLst/>
        </a:prstGeom>
        <a:noFill/>
        <a:ln>
          <a:noFill/>
        </a:ln>
        <a:extLst/>
      </xdr:spPr>
      <xdr:txBody>
        <a:bodyPr vertOverflow="clip" wrap="square" lIns="73152" tIns="45720" rIns="0" bIns="0" anchor="t" upright="1"/>
        <a:lstStyle/>
        <a:p>
          <a:pPr algn="l" rtl="0">
            <a:defRPr sz="1000"/>
          </a:pPr>
          <a:r>
            <a:rPr lang="ja-JP" altLang="en-US" sz="4400" b="0" i="0" u="none" strike="noStrike" baseline="0">
              <a:solidFill>
                <a:srgbClr val="008000"/>
              </a:solidFill>
              <a:latin typeface="HGSｺﾞｼｯｸE" pitchFamily="50" charset="-128"/>
              <a:ea typeface="HGSｺﾞｼｯｸE" pitchFamily="50" charset="-128"/>
            </a:rPr>
            <a:t>京都 改修  </a:t>
          </a:r>
        </a:p>
      </xdr:txBody>
    </xdr:sp>
    <xdr:clientData/>
  </xdr:twoCellAnchor>
  <xdr:twoCellAnchor>
    <xdr:from>
      <xdr:col>9</xdr:col>
      <xdr:colOff>851647</xdr:colOff>
      <xdr:row>1</xdr:row>
      <xdr:rowOff>11206</xdr:rowOff>
    </xdr:from>
    <xdr:to>
      <xdr:col>13</xdr:col>
      <xdr:colOff>81853</xdr:colOff>
      <xdr:row>6</xdr:row>
      <xdr:rowOff>121802</xdr:rowOff>
    </xdr:to>
    <xdr:sp macro="" textlink="">
      <xdr:nvSpPr>
        <xdr:cNvPr id="83" name="テキスト ボックス 82"/>
        <xdr:cNvSpPr txBox="1"/>
      </xdr:nvSpPr>
      <xdr:spPr>
        <a:xfrm>
          <a:off x="6557122" y="163606"/>
          <a:ext cx="2583006" cy="9297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2500"/>
            </a:lnSpc>
          </a:pPr>
          <a:r>
            <a:rPr kumimoji="1" lang="ja-JP" altLang="en-US" sz="2000"/>
            <a:t>独自システム</a:t>
          </a:r>
          <a:endParaRPr kumimoji="1" lang="en-US" altLang="ja-JP" sz="2000"/>
        </a:p>
        <a:p>
          <a:pPr algn="ctr">
            <a:lnSpc>
              <a:spcPts val="2500"/>
            </a:lnSpc>
          </a:pPr>
          <a:r>
            <a:rPr kumimoji="1" lang="ja-JP" altLang="en-US" sz="2000"/>
            <a:t>評価結果</a:t>
          </a:r>
        </a:p>
      </xdr:txBody>
    </xdr:sp>
    <xdr:clientData/>
  </xdr:twoCellAnchor>
  <xdr:twoCellAnchor>
    <xdr:from>
      <xdr:col>10</xdr:col>
      <xdr:colOff>237761</xdr:colOff>
      <xdr:row>1</xdr:row>
      <xdr:rowOff>44335</xdr:rowOff>
    </xdr:from>
    <xdr:to>
      <xdr:col>10</xdr:col>
      <xdr:colOff>317176</xdr:colOff>
      <xdr:row>6</xdr:row>
      <xdr:rowOff>9743</xdr:rowOff>
    </xdr:to>
    <xdr:sp macro="" textlink="">
      <xdr:nvSpPr>
        <xdr:cNvPr id="84" name="正方形/長方形 83"/>
        <xdr:cNvSpPr/>
      </xdr:nvSpPr>
      <xdr:spPr>
        <a:xfrm>
          <a:off x="6886211" y="196735"/>
          <a:ext cx="79415" cy="78455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133495</xdr:colOff>
      <xdr:row>1</xdr:row>
      <xdr:rowOff>41899</xdr:rowOff>
    </xdr:from>
    <xdr:to>
      <xdr:col>12</xdr:col>
      <xdr:colOff>212910</xdr:colOff>
      <xdr:row>6</xdr:row>
      <xdr:rowOff>7307</xdr:rowOff>
    </xdr:to>
    <xdr:sp macro="" textlink="">
      <xdr:nvSpPr>
        <xdr:cNvPr id="85" name="正方形/長方形 84"/>
        <xdr:cNvSpPr/>
      </xdr:nvSpPr>
      <xdr:spPr>
        <a:xfrm>
          <a:off x="8686945" y="194299"/>
          <a:ext cx="79415" cy="78455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0</xdr:col>
      <xdr:colOff>161925</xdr:colOff>
      <xdr:row>1</xdr:row>
      <xdr:rowOff>85725</xdr:rowOff>
    </xdr:from>
    <xdr:to>
      <xdr:col>4</xdr:col>
      <xdr:colOff>371475</xdr:colOff>
      <xdr:row>4</xdr:row>
      <xdr:rowOff>76200</xdr:rowOff>
    </xdr:to>
    <xdr:pic>
      <xdr:nvPicPr>
        <xdr:cNvPr id="86" name="図 97"/>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rcRect/>
        <a:stretch>
          <a:fillRect/>
        </a:stretch>
      </xdr:blipFill>
      <xdr:spPr bwMode="auto">
        <a:xfrm>
          <a:off x="161925" y="238125"/>
          <a:ext cx="2952750" cy="504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11</xdr:col>
      <xdr:colOff>552450</xdr:colOff>
      <xdr:row>111</xdr:row>
      <xdr:rowOff>171450</xdr:rowOff>
    </xdr:from>
    <xdr:to>
      <xdr:col>13</xdr:col>
      <xdr:colOff>485775</xdr:colOff>
      <xdr:row>113</xdr:row>
      <xdr:rowOff>28575</xdr:rowOff>
    </xdr:to>
    <xdr:grpSp>
      <xdr:nvGrpSpPr>
        <xdr:cNvPr id="87" name="グループ化 2"/>
        <xdr:cNvGrpSpPr>
          <a:grpSpLocks/>
        </xdr:cNvGrpSpPr>
      </xdr:nvGrpSpPr>
      <xdr:grpSpPr bwMode="auto">
        <a:xfrm>
          <a:off x="8162925" y="18707100"/>
          <a:ext cx="1381125" cy="200025"/>
          <a:chOff x="2771775" y="16821150"/>
          <a:chExt cx="1348628" cy="205068"/>
        </a:xfrm>
      </xdr:grpSpPr>
      <xdr:sp macro="" textlink="">
        <xdr:nvSpPr>
          <xdr:cNvPr id="88" name="Rectangle 170"/>
          <xdr:cNvSpPr>
            <a:spLocks noChangeArrowheads="1"/>
          </xdr:cNvSpPr>
        </xdr:nvSpPr>
        <xdr:spPr bwMode="auto">
          <a:xfrm>
            <a:off x="2771775" y="16859251"/>
            <a:ext cx="1339103" cy="147637"/>
          </a:xfrm>
          <a:prstGeom prst="rect">
            <a:avLst/>
          </a:prstGeom>
          <a:solidFill>
            <a:srgbClr val="CCFFFF"/>
          </a:solidFill>
          <a:ln w="9525" algn="ctr">
            <a:solidFill>
              <a:srgbClr val="000000"/>
            </a:solidFill>
            <a:miter lim="800000"/>
            <a:headEnd/>
            <a:tailEnd/>
          </a:ln>
        </xdr:spPr>
      </xdr:sp>
    </xdr:grpSp>
    <xdr:clientData/>
  </xdr:twoCellAnchor>
  <xdr:twoCellAnchor>
    <xdr:from>
      <xdr:col>5</xdr:col>
      <xdr:colOff>47625</xdr:colOff>
      <xdr:row>111</xdr:row>
      <xdr:rowOff>161925</xdr:rowOff>
    </xdr:from>
    <xdr:to>
      <xdr:col>7</xdr:col>
      <xdr:colOff>428625</xdr:colOff>
      <xdr:row>115</xdr:row>
      <xdr:rowOff>19050</xdr:rowOff>
    </xdr:to>
    <xdr:grpSp>
      <xdr:nvGrpSpPr>
        <xdr:cNvPr id="89" name="グループ化 112"/>
        <xdr:cNvGrpSpPr>
          <a:grpSpLocks/>
        </xdr:cNvGrpSpPr>
      </xdr:nvGrpSpPr>
      <xdr:grpSpPr bwMode="auto">
        <a:xfrm>
          <a:off x="3495675" y="18697575"/>
          <a:ext cx="1352550" cy="504825"/>
          <a:chOff x="2743200" y="16468725"/>
          <a:chExt cx="1348628" cy="504265"/>
        </a:xfrm>
      </xdr:grpSpPr>
      <xdr:sp macro="" textlink="">
        <xdr:nvSpPr>
          <xdr:cNvPr id="90" name="Rectangle 170"/>
          <xdr:cNvSpPr>
            <a:spLocks noChangeArrowheads="1"/>
          </xdr:cNvSpPr>
        </xdr:nvSpPr>
        <xdr:spPr bwMode="auto">
          <a:xfrm>
            <a:off x="2743200" y="16506826"/>
            <a:ext cx="1339103" cy="438150"/>
          </a:xfrm>
          <a:prstGeom prst="rect">
            <a:avLst/>
          </a:prstGeom>
          <a:solidFill>
            <a:srgbClr val="CCFFFF"/>
          </a:solidFill>
          <a:ln w="9525" algn="ctr">
            <a:solidFill>
              <a:srgbClr val="000000"/>
            </a:solidFill>
            <a:miter lim="800000"/>
            <a:headEnd/>
            <a:tailEnd/>
          </a:ln>
        </xdr:spPr>
      </xdr:sp>
    </xdr:grpSp>
    <xdr:clientData/>
  </xdr:twoCellAnchor>
  <xdr:twoCellAnchor>
    <xdr:from>
      <xdr:col>0</xdr:col>
      <xdr:colOff>101206</xdr:colOff>
      <xdr:row>93</xdr:row>
      <xdr:rowOff>69605</xdr:rowOff>
    </xdr:from>
    <xdr:to>
      <xdr:col>2</xdr:col>
      <xdr:colOff>327423</xdr:colOff>
      <xdr:row>94</xdr:row>
      <xdr:rowOff>85358</xdr:rowOff>
    </xdr:to>
    <xdr:sp macro="" textlink="">
      <xdr:nvSpPr>
        <xdr:cNvPr id="91" name="テキスト ボックス 90"/>
        <xdr:cNvSpPr txBox="1"/>
      </xdr:nvSpPr>
      <xdr:spPr>
        <a:xfrm>
          <a:off x="101206" y="15671555"/>
          <a:ext cx="645317" cy="168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600"/>
            </a:lnSpc>
          </a:pPr>
          <a:r>
            <a:rPr kumimoji="1" lang="ja-JP" altLang="en-US" sz="600">
              <a:latin typeface="HGP創英角ｺﾞｼｯｸUB" pitchFamily="50" charset="-128"/>
              <a:ea typeface="HGP創英角ｺﾞｼｯｸUB" pitchFamily="50" charset="-128"/>
            </a:rPr>
            <a:t>改修 前　後</a:t>
          </a:r>
        </a:p>
      </xdr:txBody>
    </xdr:sp>
    <xdr:clientData/>
  </xdr:twoCellAnchor>
  <xdr:twoCellAnchor>
    <xdr:from>
      <xdr:col>3</xdr:col>
      <xdr:colOff>717177</xdr:colOff>
      <xdr:row>50</xdr:row>
      <xdr:rowOff>180974</xdr:rowOff>
    </xdr:from>
    <xdr:to>
      <xdr:col>7</xdr:col>
      <xdr:colOff>194143</xdr:colOff>
      <xdr:row>51</xdr:row>
      <xdr:rowOff>123264</xdr:rowOff>
    </xdr:to>
    <xdr:sp macro="" textlink="">
      <xdr:nvSpPr>
        <xdr:cNvPr id="92" name="テキスト ボックス 91"/>
        <xdr:cNvSpPr txBox="1"/>
      </xdr:nvSpPr>
      <xdr:spPr>
        <a:xfrm>
          <a:off x="2510118" y="9168092"/>
          <a:ext cx="2110349" cy="13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600" baseline="0">
              <a:latin typeface="HGP創英角ｺﾞｼｯｸUB" pitchFamily="50" charset="-128"/>
              <a:ea typeface="HGP創英角ｺﾞｼｯｸUB" pitchFamily="50" charset="-128"/>
            </a:rPr>
            <a:t>改修前　        　　　　　　　　　　改修後</a:t>
          </a:r>
        </a:p>
      </xdr:txBody>
    </xdr:sp>
    <xdr:clientData/>
  </xdr:twoCellAnchor>
  <xdr:twoCellAnchor>
    <xdr:from>
      <xdr:col>11</xdr:col>
      <xdr:colOff>857249</xdr:colOff>
      <xdr:row>92</xdr:row>
      <xdr:rowOff>180976</xdr:rowOff>
    </xdr:from>
    <xdr:to>
      <xdr:col>12</xdr:col>
      <xdr:colOff>400049</xdr:colOff>
      <xdr:row>93</xdr:row>
      <xdr:rowOff>133352</xdr:rowOff>
    </xdr:to>
    <xdr:sp macro="" textlink="">
      <xdr:nvSpPr>
        <xdr:cNvPr id="94" name="テキスト ボックス 93"/>
        <xdr:cNvSpPr txBox="1"/>
      </xdr:nvSpPr>
      <xdr:spPr>
        <a:xfrm>
          <a:off x="8467724" y="15592426"/>
          <a:ext cx="485775" cy="142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700" baseline="0">
              <a:latin typeface="HGP創英角ｺﾞｼｯｸUB" pitchFamily="50" charset="-128"/>
              <a:ea typeface="HGP創英角ｺﾞｼｯｸUB" pitchFamily="50" charset="-128"/>
            </a:rPr>
            <a:t>改修前</a:t>
          </a:r>
        </a:p>
      </xdr:txBody>
    </xdr:sp>
    <xdr:clientData/>
  </xdr:twoCellAnchor>
  <xdr:twoCellAnchor>
    <xdr:from>
      <xdr:col>11</xdr:col>
      <xdr:colOff>881061</xdr:colOff>
      <xdr:row>94</xdr:row>
      <xdr:rowOff>147638</xdr:rowOff>
    </xdr:from>
    <xdr:to>
      <xdr:col>12</xdr:col>
      <xdr:colOff>390525</xdr:colOff>
      <xdr:row>96</xdr:row>
      <xdr:rowOff>23813</xdr:rowOff>
    </xdr:to>
    <xdr:sp macro="" textlink="">
      <xdr:nvSpPr>
        <xdr:cNvPr id="95" name="テキスト ボックス 94"/>
        <xdr:cNvSpPr txBox="1"/>
      </xdr:nvSpPr>
      <xdr:spPr>
        <a:xfrm>
          <a:off x="8491536" y="15901988"/>
          <a:ext cx="452439"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700" baseline="0">
              <a:latin typeface="HGP創英角ｺﾞｼｯｸUB" pitchFamily="50" charset="-128"/>
              <a:ea typeface="HGP創英角ｺﾞｼｯｸUB" pitchFamily="50" charset="-128"/>
            </a:rPr>
            <a:t>改修後</a:t>
          </a:r>
        </a:p>
      </xdr:txBody>
    </xdr:sp>
    <xdr:clientData/>
  </xdr:twoCellAnchor>
  <xdr:twoCellAnchor>
    <xdr:from>
      <xdr:col>11</xdr:col>
      <xdr:colOff>857250</xdr:colOff>
      <xdr:row>99</xdr:row>
      <xdr:rowOff>0</xdr:rowOff>
    </xdr:from>
    <xdr:to>
      <xdr:col>12</xdr:col>
      <xdr:colOff>400050</xdr:colOff>
      <xdr:row>99</xdr:row>
      <xdr:rowOff>142876</xdr:rowOff>
    </xdr:to>
    <xdr:sp macro="" textlink="">
      <xdr:nvSpPr>
        <xdr:cNvPr id="96" name="テキスト ボックス 95"/>
        <xdr:cNvSpPr txBox="1"/>
      </xdr:nvSpPr>
      <xdr:spPr>
        <a:xfrm>
          <a:off x="8467725" y="16478250"/>
          <a:ext cx="485775" cy="142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700" baseline="0">
              <a:latin typeface="HGP創英角ｺﾞｼｯｸUB" pitchFamily="50" charset="-128"/>
              <a:ea typeface="HGP創英角ｺﾞｼｯｸUB" pitchFamily="50" charset="-128"/>
            </a:rPr>
            <a:t>改修前</a:t>
          </a:r>
        </a:p>
      </xdr:txBody>
    </xdr:sp>
    <xdr:clientData/>
  </xdr:twoCellAnchor>
  <xdr:twoCellAnchor>
    <xdr:from>
      <xdr:col>11</xdr:col>
      <xdr:colOff>881062</xdr:colOff>
      <xdr:row>100</xdr:row>
      <xdr:rowOff>142875</xdr:rowOff>
    </xdr:from>
    <xdr:to>
      <xdr:col>12</xdr:col>
      <xdr:colOff>390526</xdr:colOff>
      <xdr:row>102</xdr:row>
      <xdr:rowOff>19050</xdr:rowOff>
    </xdr:to>
    <xdr:sp macro="" textlink="">
      <xdr:nvSpPr>
        <xdr:cNvPr id="97" name="テキスト ボックス 96"/>
        <xdr:cNvSpPr txBox="1"/>
      </xdr:nvSpPr>
      <xdr:spPr>
        <a:xfrm>
          <a:off x="8491537" y="16764000"/>
          <a:ext cx="452439"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700" baseline="0">
              <a:latin typeface="HGP創英角ｺﾞｼｯｸUB" pitchFamily="50" charset="-128"/>
              <a:ea typeface="HGP創英角ｺﾞｼｯｸUB" pitchFamily="50" charset="-128"/>
            </a:rPr>
            <a:t>改修後</a:t>
          </a:r>
        </a:p>
      </xdr:txBody>
    </xdr:sp>
    <xdr:clientData/>
  </xdr:twoCellAnchor>
  <xdr:twoCellAnchor>
    <xdr:from>
      <xdr:col>11</xdr:col>
      <xdr:colOff>871538</xdr:colOff>
      <xdr:row>104</xdr:row>
      <xdr:rowOff>180975</xdr:rowOff>
    </xdr:from>
    <xdr:to>
      <xdr:col>12</xdr:col>
      <xdr:colOff>414338</xdr:colOff>
      <xdr:row>105</xdr:row>
      <xdr:rowOff>133351</xdr:rowOff>
    </xdr:to>
    <xdr:sp macro="" textlink="">
      <xdr:nvSpPr>
        <xdr:cNvPr id="98" name="テキスト ボックス 97"/>
        <xdr:cNvSpPr txBox="1"/>
      </xdr:nvSpPr>
      <xdr:spPr>
        <a:xfrm>
          <a:off x="8482013" y="17335500"/>
          <a:ext cx="485775" cy="1428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700" baseline="0">
              <a:latin typeface="HGP創英角ｺﾞｼｯｸUB" pitchFamily="50" charset="-128"/>
              <a:ea typeface="HGP創英角ｺﾞｼｯｸUB" pitchFamily="50" charset="-128"/>
            </a:rPr>
            <a:t>改修前</a:t>
          </a:r>
        </a:p>
      </xdr:txBody>
    </xdr:sp>
    <xdr:clientData/>
  </xdr:twoCellAnchor>
  <xdr:twoCellAnchor>
    <xdr:from>
      <xdr:col>11</xdr:col>
      <xdr:colOff>909638</xdr:colOff>
      <xdr:row>107</xdr:row>
      <xdr:rowOff>4762</xdr:rowOff>
    </xdr:from>
    <xdr:to>
      <xdr:col>12</xdr:col>
      <xdr:colOff>419102</xdr:colOff>
      <xdr:row>108</xdr:row>
      <xdr:rowOff>33337</xdr:rowOff>
    </xdr:to>
    <xdr:sp macro="" textlink="">
      <xdr:nvSpPr>
        <xdr:cNvPr id="99" name="テキスト ボックス 98"/>
        <xdr:cNvSpPr txBox="1"/>
      </xdr:nvSpPr>
      <xdr:spPr>
        <a:xfrm>
          <a:off x="8520113" y="17645062"/>
          <a:ext cx="452439"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700" baseline="0">
              <a:latin typeface="HGP創英角ｺﾞｼｯｸUB" pitchFamily="50" charset="-128"/>
              <a:ea typeface="HGP創英角ｺﾞｼｯｸUB" pitchFamily="50" charset="-128"/>
            </a:rPr>
            <a:t>改修後</a:t>
          </a:r>
        </a:p>
      </xdr:txBody>
    </xdr:sp>
    <xdr:clientData/>
  </xdr:twoCellAnchor>
  <xdr:twoCellAnchor>
    <xdr:from>
      <xdr:col>10</xdr:col>
      <xdr:colOff>657225</xdr:colOff>
      <xdr:row>15</xdr:row>
      <xdr:rowOff>57150</xdr:rowOff>
    </xdr:from>
    <xdr:to>
      <xdr:col>13</xdr:col>
      <xdr:colOff>447675</xdr:colOff>
      <xdr:row>17</xdr:row>
      <xdr:rowOff>114300</xdr:rowOff>
    </xdr:to>
    <xdr:graphicFrame macro="">
      <xdr:nvGraphicFramePr>
        <xdr:cNvPr id="100"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10</xdr:col>
      <xdr:colOff>561975</xdr:colOff>
      <xdr:row>14</xdr:row>
      <xdr:rowOff>19050</xdr:rowOff>
    </xdr:from>
    <xdr:to>
      <xdr:col>10</xdr:col>
      <xdr:colOff>561975</xdr:colOff>
      <xdr:row>24</xdr:row>
      <xdr:rowOff>19050</xdr:rowOff>
    </xdr:to>
    <xdr:cxnSp macro="">
      <xdr:nvCxnSpPr>
        <xdr:cNvPr id="101" name="直線コネクタ 100"/>
        <xdr:cNvCxnSpPr/>
      </xdr:nvCxnSpPr>
      <xdr:spPr>
        <a:xfrm>
          <a:off x="7210425" y="2514600"/>
          <a:ext cx="0" cy="2333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xdr:colOff>
      <xdr:row>18</xdr:row>
      <xdr:rowOff>66675</xdr:rowOff>
    </xdr:from>
    <xdr:to>
      <xdr:col>10</xdr:col>
      <xdr:colOff>495300</xdr:colOff>
      <xdr:row>20</xdr:row>
      <xdr:rowOff>123825</xdr:rowOff>
    </xdr:to>
    <xdr:graphicFrame macro="">
      <xdr:nvGraphicFramePr>
        <xdr:cNvPr id="102"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xdr:col>
      <xdr:colOff>676275</xdr:colOff>
      <xdr:row>18</xdr:row>
      <xdr:rowOff>57150</xdr:rowOff>
    </xdr:from>
    <xdr:to>
      <xdr:col>13</xdr:col>
      <xdr:colOff>466725</xdr:colOff>
      <xdr:row>20</xdr:row>
      <xdr:rowOff>114300</xdr:rowOff>
    </xdr:to>
    <xdr:graphicFrame macro="">
      <xdr:nvGraphicFramePr>
        <xdr:cNvPr id="103"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8</xdr:col>
      <xdr:colOff>57150</xdr:colOff>
      <xdr:row>21</xdr:row>
      <xdr:rowOff>38100</xdr:rowOff>
    </xdr:from>
    <xdr:to>
      <xdr:col>10</xdr:col>
      <xdr:colOff>476250</xdr:colOff>
      <xdr:row>23</xdr:row>
      <xdr:rowOff>95250</xdr:rowOff>
    </xdr:to>
    <xdr:graphicFrame macro="">
      <xdr:nvGraphicFramePr>
        <xdr:cNvPr id="104"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xdr:col>
      <xdr:colOff>657225</xdr:colOff>
      <xdr:row>21</xdr:row>
      <xdr:rowOff>28575</xdr:rowOff>
    </xdr:from>
    <xdr:to>
      <xdr:col>13</xdr:col>
      <xdr:colOff>447675</xdr:colOff>
      <xdr:row>23</xdr:row>
      <xdr:rowOff>85725</xdr:rowOff>
    </xdr:to>
    <xdr:graphicFrame macro="">
      <xdr:nvGraphicFramePr>
        <xdr:cNvPr id="105" name="グラフ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3</xdr:col>
      <xdr:colOff>142874</xdr:colOff>
      <xdr:row>93</xdr:row>
      <xdr:rowOff>53362</xdr:rowOff>
    </xdr:from>
    <xdr:to>
      <xdr:col>3</xdr:col>
      <xdr:colOff>875108</xdr:colOff>
      <xdr:row>94</xdr:row>
      <xdr:rowOff>58124</xdr:rowOff>
    </xdr:to>
    <xdr:sp macro="" textlink="">
      <xdr:nvSpPr>
        <xdr:cNvPr id="106" name="テキスト ボックス 105"/>
        <xdr:cNvSpPr txBox="1"/>
      </xdr:nvSpPr>
      <xdr:spPr>
        <a:xfrm>
          <a:off x="1933574" y="15655312"/>
          <a:ext cx="732234" cy="15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600"/>
            </a:lnSpc>
          </a:pPr>
          <a:r>
            <a:rPr kumimoji="1" lang="ja-JP" altLang="en-US" sz="600">
              <a:latin typeface="HGP創英角ｺﾞｼｯｸUB" pitchFamily="50" charset="-128"/>
              <a:ea typeface="HGP創英角ｺﾞｼｯｸUB" pitchFamily="50" charset="-128"/>
            </a:rPr>
            <a:t>改修</a:t>
          </a:r>
          <a:r>
            <a:rPr kumimoji="1" lang="en-US" altLang="ja-JP" sz="1100">
              <a:solidFill>
                <a:schemeClr val="dk1"/>
              </a:solidFill>
              <a:latin typeface="+mn-lt"/>
              <a:ea typeface="+mn-ea"/>
              <a:cs typeface="+mn-cs"/>
            </a:rPr>
            <a:t> </a:t>
          </a:r>
          <a:r>
            <a:rPr kumimoji="1" lang="ja-JP" altLang="en-US" sz="600">
              <a:latin typeface="HGP創英角ｺﾞｼｯｸUB" pitchFamily="50" charset="-128"/>
              <a:ea typeface="HGP創英角ｺﾞｼｯｸUB" pitchFamily="50" charset="-128"/>
            </a:rPr>
            <a:t>前　後</a:t>
          </a:r>
        </a:p>
      </xdr:txBody>
    </xdr:sp>
    <xdr:clientData/>
  </xdr:twoCellAnchor>
  <xdr:twoCellAnchor>
    <xdr:from>
      <xdr:col>5</xdr:col>
      <xdr:colOff>375048</xdr:colOff>
      <xdr:row>93</xdr:row>
      <xdr:rowOff>60564</xdr:rowOff>
    </xdr:from>
    <xdr:to>
      <xdr:col>7</xdr:col>
      <xdr:colOff>141686</xdr:colOff>
      <xdr:row>94</xdr:row>
      <xdr:rowOff>65326</xdr:rowOff>
    </xdr:to>
    <xdr:sp macro="" textlink="">
      <xdr:nvSpPr>
        <xdr:cNvPr id="107" name="テキスト ボックス 106"/>
        <xdr:cNvSpPr txBox="1"/>
      </xdr:nvSpPr>
      <xdr:spPr>
        <a:xfrm>
          <a:off x="3823098" y="15662514"/>
          <a:ext cx="738188" cy="15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600"/>
            </a:lnSpc>
          </a:pPr>
          <a:r>
            <a:rPr kumimoji="1" lang="ja-JP" altLang="en-US" sz="600">
              <a:latin typeface="HGP創英角ｺﾞｼｯｸUB" pitchFamily="50" charset="-128"/>
              <a:ea typeface="HGP創英角ｺﾞｼｯｸUB" pitchFamily="50" charset="-128"/>
            </a:rPr>
            <a:t>改修</a:t>
          </a:r>
          <a:r>
            <a:rPr kumimoji="1" lang="en-US" altLang="ja-JP" sz="1100">
              <a:solidFill>
                <a:schemeClr val="dk1"/>
              </a:solidFill>
              <a:latin typeface="+mn-lt"/>
              <a:ea typeface="+mn-ea"/>
              <a:cs typeface="+mn-cs"/>
            </a:rPr>
            <a:t> </a:t>
          </a:r>
          <a:r>
            <a:rPr kumimoji="1" lang="ja-JP" altLang="en-US" sz="600">
              <a:latin typeface="HGP創英角ｺﾞｼｯｸUB" pitchFamily="50" charset="-128"/>
              <a:ea typeface="HGP創英角ｺﾞｼｯｸUB" pitchFamily="50" charset="-128"/>
            </a:rPr>
            <a:t>前　後</a:t>
          </a:r>
        </a:p>
      </xdr:txBody>
    </xdr:sp>
    <xdr:clientData/>
  </xdr:twoCellAnchor>
  <xdr:twoCellAnchor>
    <xdr:from>
      <xdr:col>9</xdr:col>
      <xdr:colOff>896471</xdr:colOff>
      <xdr:row>51</xdr:row>
      <xdr:rowOff>44824</xdr:rowOff>
    </xdr:from>
    <xdr:to>
      <xdr:col>10</xdr:col>
      <xdr:colOff>829236</xdr:colOff>
      <xdr:row>52</xdr:row>
      <xdr:rowOff>22412</xdr:rowOff>
    </xdr:to>
    <xdr:sp macro="" textlink="">
      <xdr:nvSpPr>
        <xdr:cNvPr id="128" name="テキスト ボックス 127"/>
        <xdr:cNvSpPr txBox="1"/>
      </xdr:nvSpPr>
      <xdr:spPr>
        <a:xfrm>
          <a:off x="6611471" y="9222442"/>
          <a:ext cx="874059" cy="168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lnSpc>
              <a:spcPts val="1000"/>
            </a:lnSpc>
          </a:pPr>
          <a:r>
            <a:rPr kumimoji="1" lang="ja-JP" altLang="en-US" sz="1000" b="1" baseline="0">
              <a:latin typeface="+mn-ea"/>
              <a:ea typeface="+mn-ea"/>
            </a:rPr>
            <a:t>合計点</a:t>
          </a:r>
        </a:p>
      </xdr:txBody>
    </xdr:sp>
    <xdr:clientData/>
  </xdr:twoCellAnchor>
  <xdr:twoCellAnchor>
    <xdr:from>
      <xdr:col>10</xdr:col>
      <xdr:colOff>242047</xdr:colOff>
      <xdr:row>50</xdr:row>
      <xdr:rowOff>176492</xdr:rowOff>
    </xdr:from>
    <xdr:to>
      <xdr:col>12</xdr:col>
      <xdr:colOff>447396</xdr:colOff>
      <xdr:row>51</xdr:row>
      <xdr:rowOff>118782</xdr:rowOff>
    </xdr:to>
    <xdr:sp macro="" textlink="">
      <xdr:nvSpPr>
        <xdr:cNvPr id="131" name="テキスト ボックス 130"/>
        <xdr:cNvSpPr txBox="1"/>
      </xdr:nvSpPr>
      <xdr:spPr>
        <a:xfrm>
          <a:off x="6898341" y="9163610"/>
          <a:ext cx="2110349" cy="13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lnSpc>
              <a:spcPts val="1000"/>
            </a:lnSpc>
          </a:pPr>
          <a:r>
            <a:rPr kumimoji="1" lang="ja-JP" altLang="en-US" sz="600" baseline="0">
              <a:latin typeface="HGP創英角ｺﾞｼｯｸUB" pitchFamily="50" charset="-128"/>
              <a:ea typeface="HGP創英角ｺﾞｼｯｸUB" pitchFamily="50" charset="-128"/>
            </a:rPr>
            <a:t>改修前　        　　　　　　　　　　　　　　　　改修後</a:t>
          </a:r>
        </a:p>
      </xdr:txBody>
    </xdr:sp>
    <xdr:clientData/>
  </xdr:twoCellAnchor>
  <xdr:twoCellAnchor>
    <xdr:from>
      <xdr:col>2</xdr:col>
      <xdr:colOff>786092</xdr:colOff>
      <xdr:row>119</xdr:row>
      <xdr:rowOff>79562</xdr:rowOff>
    </xdr:from>
    <xdr:to>
      <xdr:col>2</xdr:col>
      <xdr:colOff>1357592</xdr:colOff>
      <xdr:row>121</xdr:row>
      <xdr:rowOff>22412</xdr:rowOff>
    </xdr:to>
    <xdr:sp macro="" textlink="">
      <xdr:nvSpPr>
        <xdr:cNvPr id="130" name="Rectangle 171"/>
        <xdr:cNvSpPr>
          <a:spLocks noChangeArrowheads="1"/>
        </xdr:cNvSpPr>
      </xdr:nvSpPr>
      <xdr:spPr bwMode="auto">
        <a:xfrm>
          <a:off x="1211916" y="20227738"/>
          <a:ext cx="571500" cy="200586"/>
        </a:xfrm>
        <a:prstGeom prst="rect">
          <a:avLst/>
        </a:prstGeom>
        <a:solidFill>
          <a:srgbClr val="CCFFFF"/>
        </a:solidFill>
        <a:ln w="19050" algn="ctr">
          <a:solidFill>
            <a:srgbClr val="000000"/>
          </a:solid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30</xdr:col>
      <xdr:colOff>457200</xdr:colOff>
      <xdr:row>64</xdr:row>
      <xdr:rowOff>0</xdr:rowOff>
    </xdr:from>
    <xdr:to>
      <xdr:col>33</xdr:col>
      <xdr:colOff>657225</xdr:colOff>
      <xdr:row>64</xdr:row>
      <xdr:rowOff>0</xdr:rowOff>
    </xdr:to>
    <xdr:sp macro="" textlink="">
      <xdr:nvSpPr>
        <xdr:cNvPr id="176129" name="AutoShape 1"/>
        <xdr:cNvSpPr>
          <a:spLocks noChangeArrowheads="1"/>
        </xdr:cNvSpPr>
      </xdr:nvSpPr>
      <xdr:spPr bwMode="auto">
        <a:xfrm>
          <a:off x="19440525" y="5457825"/>
          <a:ext cx="2257425" cy="0"/>
        </a:xfrm>
        <a:prstGeom prst="cloudCallout">
          <a:avLst>
            <a:gd name="adj1" fmla="val -570255"/>
            <a:gd name="adj2" fmla="val 69671"/>
          </a:avLst>
        </a:prstGeom>
        <a:solidFill>
          <a:srgbClr val="FFFFFF"/>
        </a:solidFill>
        <a:ln w="9525">
          <a:solidFill>
            <a:srgbClr val="000000"/>
          </a:solidFill>
          <a:round/>
          <a:headEnd/>
          <a:tailEnd/>
        </a:ln>
      </xdr:spPr>
      <xdr:txBody>
        <a:bodyPr vertOverflow="clip" wrap="square" lIns="36576" tIns="22860" rIns="0" bIns="0" anchor="t" upright="1"/>
        <a:lstStyle/>
        <a:p>
          <a:pPr algn="l" rtl="0">
            <a:defRPr sz="1000"/>
          </a:pPr>
          <a:r>
            <a:rPr lang="ja-JP" altLang="en-US" sz="1400" b="1" i="0" strike="noStrike">
              <a:solidFill>
                <a:srgbClr val="FF0000"/>
              </a:solidFill>
              <a:latin typeface="ＭＳ Ｐゴシック"/>
              <a:ea typeface="ＭＳ Ｐゴシック"/>
            </a:rPr>
            <a:t>紫のセルの数値を見直してください。</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a:t>
          </a:r>
          <a:r>
            <a:rPr lang="en-US" altLang="ja-JP" sz="1100" b="0" i="0" u="none" strike="noStrike" baseline="0">
              <a:solidFill>
                <a:srgbClr val="000000"/>
              </a:solidFill>
              <a:latin typeface="ＭＳ Ｐゴシック"/>
              <a:ea typeface="+mn-ea"/>
            </a:rPr>
            <a:t>CASBEE</a:t>
          </a:r>
          <a:r>
            <a:rPr lang="ja-JP" altLang="en-US" sz="1100" b="0" i="0" u="none" strike="noStrike" baseline="0">
              <a:solidFill>
                <a:srgbClr val="000000"/>
              </a:solidFill>
              <a:latin typeface="ＭＳ Ｐゴシック"/>
              <a:ea typeface="+mn-ea"/>
            </a:rPr>
            <a:t>京都</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改修（建築版）　評価ソフト</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mn-ea"/>
            </a:rPr>
            <a:t>CASBEEkyoto-RNb_2015v1.0</a:t>
          </a:r>
        </a:p>
        <a:p>
          <a:pPr algn="l" rtl="0">
            <a:lnSpc>
              <a:spcPts val="1300"/>
            </a:lnSpc>
            <a:defRPr sz="1000"/>
          </a:pPr>
          <a:r>
            <a:rPr lang="ja-JP" altLang="en-US" sz="1100" b="0" i="0" u="none" strike="noStrike" baseline="0">
              <a:solidFill>
                <a:srgbClr val="000000"/>
              </a:solidFill>
              <a:latin typeface="ＭＳ Ｐゴシック"/>
              <a:ea typeface="+mn-ea"/>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4</a:t>
          </a:r>
          <a:r>
            <a:rPr lang="ja-JP" altLang="en-US" sz="1100" b="0" i="0" u="none" strike="noStrike" baseline="0">
              <a:solidFill>
                <a:srgbClr val="000000"/>
              </a:solidFill>
              <a:latin typeface="ＭＳ Ｐゴシック"/>
              <a:ea typeface="ＭＳ Ｐゴシック"/>
            </a:rPr>
            <a:t>月発行　（200</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月初版）</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mn-ea"/>
            </a:rPr>
            <a:t>       発行　　京都市都市計画局建築指導部建築審査課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また、Microsoft Windows、Microsoft Excel 2003 for Windows Xp等の操作に関しては、</a:t>
          </a:r>
        </a:p>
        <a:p>
          <a:pPr algn="l" rtl="0">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defRPr sz="1000"/>
          </a:pPr>
          <a:r>
            <a:rPr lang="ja-JP" altLang="en-US" sz="1100" b="0" i="0" u="none" strike="noStrike" baseline="0">
              <a:solidFill>
                <a:srgbClr val="000000"/>
              </a:solidFill>
              <a:latin typeface="ＭＳ Ｐゴシック"/>
              <a:ea typeface="+mn-ea"/>
            </a:rPr>
            <a:t>　　　　　京都市都市計画局建築指導部建築審査課</a:t>
          </a:r>
        </a:p>
        <a:p>
          <a:pPr algn="l" rtl="0">
            <a:defRPr sz="1000"/>
          </a:pP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a:t>
          </a:r>
          <a:r>
            <a:rPr lang="en-US" altLang="ja-JP" sz="1100" b="0" i="0" u="none" strike="noStrike" baseline="0">
              <a:solidFill>
                <a:srgbClr val="000000"/>
              </a:solidFill>
              <a:latin typeface="ＭＳ Ｐゴシック"/>
              <a:ea typeface="+mn-ea"/>
            </a:rPr>
            <a:t>604-8571</a:t>
          </a:r>
          <a:r>
            <a:rPr lang="ja-JP" altLang="en-US" sz="1100" b="0" i="0" u="none" strike="noStrike" baseline="0">
              <a:solidFill>
                <a:srgbClr val="000000"/>
              </a:solidFill>
              <a:latin typeface="ＭＳ Ｐゴシック"/>
              <a:ea typeface="+mn-ea"/>
            </a:rPr>
            <a:t>　京都府京都市中京区寺町通御池上ル上本能寺前町４８８</a:t>
          </a:r>
        </a:p>
        <a:p>
          <a:pPr algn="l" rtl="0">
            <a:defRPr sz="1000"/>
          </a:pP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ＴＥＬ　　</a:t>
          </a:r>
          <a:r>
            <a:rPr lang="en-US" altLang="ja-JP" sz="1100" b="0" i="0" u="none" strike="noStrike" baseline="0">
              <a:solidFill>
                <a:srgbClr val="000000"/>
              </a:solidFill>
              <a:latin typeface="ＭＳ Ｐゴシック"/>
              <a:ea typeface="+mn-ea"/>
            </a:rPr>
            <a:t>075-222-3616</a:t>
          </a:r>
          <a:r>
            <a:rPr lang="ja-JP" altLang="en-US" sz="1100" b="0" i="0" u="none" strike="noStrike" baseline="0">
              <a:solidFill>
                <a:srgbClr val="000000"/>
              </a:solidFill>
              <a:latin typeface="ＭＳ Ｐゴシック"/>
              <a:ea typeface="+mn-ea"/>
            </a:rPr>
            <a:t>　　ＦＡＸ　　</a:t>
          </a:r>
          <a:r>
            <a:rPr lang="en-US" altLang="ja-JP" sz="1100" b="0" i="0" u="none" strike="noStrike" baseline="0">
              <a:solidFill>
                <a:srgbClr val="000000"/>
              </a:solidFill>
              <a:latin typeface="ＭＳ Ｐゴシック"/>
              <a:ea typeface="+mn-ea"/>
            </a:rPr>
            <a:t>075-212-3657</a:t>
          </a:r>
        </a:p>
        <a:p>
          <a:pPr algn="l" rtl="0">
            <a:defRPr sz="1000"/>
          </a:pPr>
          <a:r>
            <a:rPr lang="en-US" altLang="ja-JP" sz="1100" b="0" i="0" u="none" strike="noStrike" baseline="0">
              <a:solidFill>
                <a:srgbClr val="000000"/>
              </a:solidFill>
              <a:latin typeface="ＭＳ Ｐゴシック"/>
              <a:ea typeface="+mn-ea"/>
            </a:rPr>
            <a:t>	</a:t>
          </a:r>
          <a:r>
            <a:rPr lang="en-US" altLang="ja-JP" sz="1100" b="0" i="0" baseline="0">
              <a:latin typeface="+mj-ea"/>
              <a:ea typeface="+mj-ea"/>
              <a:cs typeface="+mn-cs"/>
            </a:rPr>
            <a:t>URL  http://www.city.kyoto.lg.jp/tokei/soshiki/9-3-2-0-0.html </a:t>
          </a:r>
          <a:endParaRPr lang="en-US" altLang="ja-JP" sz="1100" b="0" i="0" u="none" strike="noStrike" baseline="0">
            <a:solidFill>
              <a:srgbClr val="000000"/>
            </a:solidFill>
            <a:latin typeface="+mj-ea"/>
            <a:ea typeface="+mj-ea"/>
          </a:endParaRPr>
        </a:p>
        <a:p>
          <a:pPr algn="l" rtl="0">
            <a:defRPr sz="1000"/>
          </a:pPr>
          <a:r>
            <a:rPr lang="en-US" altLang="ja-JP" sz="1100" b="0" i="0" u="none" strike="noStrike" baseline="0">
              <a:solidFill>
                <a:srgbClr val="000000"/>
              </a:solidFill>
              <a:latin typeface="ＭＳ Ｐゴシック"/>
              <a:ea typeface="+mn-ea"/>
            </a:rPr>
            <a:t>	</a:t>
          </a:r>
          <a:endParaRPr lang="ja-JP" altLang="en-US" sz="1100" b="0" i="0" u="none" strike="noStrike" baseline="0">
            <a:solidFill>
              <a:srgbClr val="000000"/>
            </a:solidFill>
            <a:latin typeface="ＭＳ Ｐゴシック"/>
            <a:ea typeface="ＭＳ Ｐゴシック"/>
          </a:endParaRPr>
        </a:p>
      </xdr:txBody>
    </xdr:sp>
    <xdr:clientData/>
  </xdr:twoCellAnchor>
  <xdr:twoCellAnchor>
    <xdr:from>
      <xdr:col>1</xdr:col>
      <xdr:colOff>28575</xdr:colOff>
      <xdr:row>0</xdr:row>
      <xdr:rowOff>104775</xdr:rowOff>
    </xdr:from>
    <xdr:to>
      <xdr:col>7</xdr:col>
      <xdr:colOff>180975</xdr:colOff>
      <xdr:row>35</xdr:row>
      <xdr:rowOff>161925</xdr:rowOff>
    </xdr:to>
    <xdr:sp macro="" textlink="">
      <xdr:nvSpPr>
        <xdr:cNvPr id="4099" name="Text Box 3"/>
        <xdr:cNvSpPr txBox="1">
          <a:spLocks noChangeArrowheads="1"/>
        </xdr:cNvSpPr>
      </xdr:nvSpPr>
      <xdr:spPr bwMode="auto">
        <a:xfrm>
          <a:off x="114300" y="104775"/>
          <a:ext cx="4152900" cy="6124575"/>
        </a:xfrm>
        <a:prstGeom prst="rect">
          <a:avLst/>
        </a:prstGeom>
        <a:solidFill>
          <a:srgbClr val="FFFFFF"/>
        </a:solid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a:t>
          </a:r>
          <a:r>
            <a:rPr lang="en-US" altLang="ja-JP" sz="1100" b="0" i="0" u="none" strike="noStrike" baseline="0">
              <a:solidFill>
                <a:srgbClr val="000000"/>
              </a:solidFill>
              <a:latin typeface="ＭＳ Ｐゴシック"/>
              <a:ea typeface="+mn-ea"/>
            </a:rPr>
            <a:t>CASBEE</a:t>
          </a:r>
          <a:r>
            <a:rPr lang="ja-JP" altLang="en-US" sz="1100" b="0" i="0" u="none" strike="noStrike" baseline="0">
              <a:solidFill>
                <a:srgbClr val="000000"/>
              </a:solidFill>
              <a:latin typeface="ＭＳ Ｐゴシック"/>
              <a:ea typeface="+mn-ea"/>
            </a:rPr>
            <a:t>京都</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改修　評価ソフト」は、Microsoft Excel</a:t>
          </a: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20</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3 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4.xml><?xml version="1.0" encoding="utf-8"?>
<c:userShapes xmlns:c="http://schemas.openxmlformats.org/drawingml/2006/chart">
  <cdr:relSizeAnchor xmlns:cdr="http://schemas.openxmlformats.org/drawingml/2006/chartDrawing">
    <cdr:from>
      <cdr:x>0.14065</cdr:x>
      <cdr:y>0.63506</cdr:y>
    </cdr:from>
    <cdr:to>
      <cdr:x>0.30762</cdr:x>
      <cdr:y>0.77035</cdr:y>
    </cdr:to>
    <cdr:sp macro="" textlink="'結果(改修後)'!$W$59">
      <cdr:nvSpPr>
        <cdr:cNvPr id="6145" name="Text Box 1"/>
        <cdr:cNvSpPr txBox="1">
          <a:spLocks xmlns:a="http://schemas.openxmlformats.org/drawingml/2006/main" noChangeArrowheads="1" noTextEdit="1"/>
        </cdr:cNvSpPr>
      </cdr:nvSpPr>
      <cdr:spPr bwMode="auto">
        <a:xfrm xmlns:a="http://schemas.openxmlformats.org/drawingml/2006/main">
          <a:off x="421156" y="1031494"/>
          <a:ext cx="496205"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516A4F9-ECB4-40E0-B620-A6520FDD99B3}"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0.43539</cdr:x>
      <cdr:y>0.63506</cdr:y>
    </cdr:from>
    <cdr:to>
      <cdr:x>0.60599</cdr:x>
      <cdr:y>0.77035</cdr:y>
    </cdr:to>
    <cdr:sp macro="" textlink="'結果(改修後)'!$W$60">
      <cdr:nvSpPr>
        <cdr:cNvPr id="6146" name="Text Box 2"/>
        <cdr:cNvSpPr txBox="1">
          <a:spLocks xmlns:a="http://schemas.openxmlformats.org/drawingml/2006/main" noChangeArrowheads="1" noTextEdit="1"/>
        </cdr:cNvSpPr>
      </cdr:nvSpPr>
      <cdr:spPr bwMode="auto">
        <a:xfrm xmlns:a="http://schemas.openxmlformats.org/drawingml/2006/main">
          <a:off x="1297065" y="1031494"/>
          <a:ext cx="506992"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5DFD1BA8-F4BF-4091-A228-F8DAB9A298F0}"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0.74392</cdr:x>
      <cdr:y>0.63506</cdr:y>
    </cdr:from>
    <cdr:to>
      <cdr:x>0.90702</cdr:x>
      <cdr:y>0.77035</cdr:y>
    </cdr:to>
    <cdr:sp macro="" textlink="'結果(改修後)'!$W$61">
      <cdr:nvSpPr>
        <cdr:cNvPr id="6147" name="Text Box 3"/>
        <cdr:cNvSpPr txBox="1">
          <a:spLocks xmlns:a="http://schemas.openxmlformats.org/drawingml/2006/main" noChangeArrowheads="1" noTextEdit="1"/>
        </cdr:cNvSpPr>
      </cdr:nvSpPr>
      <cdr:spPr bwMode="auto">
        <a:xfrm xmlns:a="http://schemas.openxmlformats.org/drawingml/2006/main">
          <a:off x="2213966" y="1031494"/>
          <a:ext cx="484698" cy="21907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B98E4422-471F-4D9D-B2F1-0932E15E74DA}"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5.xml><?xml version="1.0" encoding="utf-8"?>
<c:userShapes xmlns:c="http://schemas.openxmlformats.org/drawingml/2006/chart">
  <cdr:relSizeAnchor xmlns:cdr="http://schemas.openxmlformats.org/drawingml/2006/chartDrawing">
    <cdr:from>
      <cdr:x>0.09963</cdr:x>
      <cdr:y>0.62711</cdr:y>
    </cdr:from>
    <cdr:to>
      <cdr:x>0.25274</cdr:x>
      <cdr:y>0.76033</cdr:y>
    </cdr:to>
    <cdr:sp macro="" textlink="'結果(改修後)'!$T$59">
      <cdr:nvSpPr>
        <cdr:cNvPr id="7169" name="Text Box 1"/>
        <cdr:cNvSpPr txBox="1">
          <a:spLocks xmlns:a="http://schemas.openxmlformats.org/drawingml/2006/main" noChangeArrowheads="1" noTextEdit="1"/>
        </cdr:cNvSpPr>
      </cdr:nvSpPr>
      <cdr:spPr bwMode="auto">
        <a:xfrm xmlns:a="http://schemas.openxmlformats.org/drawingml/2006/main">
          <a:off x="325834" y="1024588"/>
          <a:ext cx="495848"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153647C-A9FD-4CDA-B7BC-0A4DA1CC3ADF}" type="TxLink">
            <a:rPr lang="ja-JP" altLang="en-US"/>
            <a:pPr algn="ctr" rtl="0">
              <a:defRPr sz="1000"/>
            </a:pPr>
            <a:t>#VALUE!</a:t>
          </a:fld>
          <a:endParaRPr lang="ja-JP" altLang="en-US"/>
        </a:p>
      </cdr:txBody>
    </cdr:sp>
  </cdr:relSizeAnchor>
  <cdr:relSizeAnchor xmlns:cdr="http://schemas.openxmlformats.org/drawingml/2006/chartDrawing">
    <cdr:from>
      <cdr:x>0.32529</cdr:x>
      <cdr:y>0.62711</cdr:y>
    </cdr:from>
    <cdr:to>
      <cdr:x>0.48132</cdr:x>
      <cdr:y>0.76033</cdr:y>
    </cdr:to>
    <cdr:sp macro="" textlink="'結果(改修後)'!$T$60">
      <cdr:nvSpPr>
        <cdr:cNvPr id="7170" name="Text Box 2"/>
        <cdr:cNvSpPr txBox="1">
          <a:spLocks xmlns:a="http://schemas.openxmlformats.org/drawingml/2006/main" noChangeArrowheads="1" noTextEdit="1"/>
        </cdr:cNvSpPr>
      </cdr:nvSpPr>
      <cdr:spPr bwMode="auto">
        <a:xfrm xmlns:a="http://schemas.openxmlformats.org/drawingml/2006/main">
          <a:off x="1056640" y="1024588"/>
          <a:ext cx="505277"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081E5F59-0245-4822-8665-22CBA9E5F855}"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0.55751</cdr:x>
      <cdr:y>0.62711</cdr:y>
    </cdr:from>
    <cdr:to>
      <cdr:x>0.71256</cdr:x>
      <cdr:y>0.76033</cdr:y>
    </cdr:to>
    <cdr:sp macro="" textlink="'結果(改修後)'!$T$61">
      <cdr:nvSpPr>
        <cdr:cNvPr id="7171" name="Text Box 3"/>
        <cdr:cNvSpPr txBox="1">
          <a:spLocks xmlns:a="http://schemas.openxmlformats.org/drawingml/2006/main" noChangeArrowheads="1" noTextEdit="1"/>
        </cdr:cNvSpPr>
      </cdr:nvSpPr>
      <cdr:spPr bwMode="auto">
        <a:xfrm xmlns:a="http://schemas.openxmlformats.org/drawingml/2006/main">
          <a:off x="1808663" y="1024588"/>
          <a:ext cx="502134"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4AAD8DB-073F-401C-802A-3300C69287B9}"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0.78875</cdr:x>
      <cdr:y>0.62711</cdr:y>
    </cdr:from>
    <cdr:to>
      <cdr:x>0.94744</cdr:x>
      <cdr:y>0.76033</cdr:y>
    </cdr:to>
    <cdr:sp macro="" textlink="'結果(改修後)'!$T$62">
      <cdr:nvSpPr>
        <cdr:cNvPr id="7172" name="Text Box 4"/>
        <cdr:cNvSpPr txBox="1">
          <a:spLocks xmlns:a="http://schemas.openxmlformats.org/drawingml/2006/main" noChangeArrowheads="1" noTextEdit="1"/>
        </cdr:cNvSpPr>
      </cdr:nvSpPr>
      <cdr:spPr bwMode="auto">
        <a:xfrm xmlns:a="http://schemas.openxmlformats.org/drawingml/2006/main">
          <a:off x="2557542" y="1024588"/>
          <a:ext cx="513921" cy="2169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77A3699-7530-42DC-B9E8-89D17819C715}"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6.xml><?xml version="1.0" encoding="utf-8"?>
<c:userShapes xmlns:c="http://schemas.openxmlformats.org/drawingml/2006/chart">
  <cdr:relSizeAnchor xmlns:cdr="http://schemas.openxmlformats.org/drawingml/2006/chartDrawing">
    <cdr:from>
      <cdr:x>0.11226</cdr:x>
      <cdr:y>0.62974</cdr:y>
    </cdr:from>
    <cdr:to>
      <cdr:x>0.25381</cdr:x>
      <cdr:y>0.76652</cdr:y>
    </cdr:to>
    <cdr:sp macro="" textlink="'結果(改修後)'!$T$48">
      <cdr:nvSpPr>
        <cdr:cNvPr id="8193" name="Text Box 1"/>
        <cdr:cNvSpPr txBox="1">
          <a:spLocks xmlns:a="http://schemas.openxmlformats.org/drawingml/2006/main" noChangeArrowheads="1" noTextEdit="1"/>
        </cdr:cNvSpPr>
      </cdr:nvSpPr>
      <cdr:spPr bwMode="auto">
        <a:xfrm xmlns:a="http://schemas.openxmlformats.org/drawingml/2006/main">
          <a:off x="374200" y="1004881"/>
          <a:ext cx="467847"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D1CD1D1E-4895-489C-B755-87A6F0C9E5B2}"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0.33951</cdr:x>
      <cdr:y>0.62974</cdr:y>
    </cdr:from>
    <cdr:to>
      <cdr:x>0.48665</cdr:x>
      <cdr:y>0.76652</cdr:y>
    </cdr:to>
    <cdr:sp macro="" textlink="'結果(改修後)'!$T$49">
      <cdr:nvSpPr>
        <cdr:cNvPr id="8194" name="Text Box 2"/>
        <cdr:cNvSpPr txBox="1">
          <a:spLocks xmlns:a="http://schemas.openxmlformats.org/drawingml/2006/main" noChangeArrowheads="1" noTextEdit="1"/>
        </cdr:cNvSpPr>
      </cdr:nvSpPr>
      <cdr:spPr bwMode="auto">
        <a:xfrm xmlns:a="http://schemas.openxmlformats.org/drawingml/2006/main">
          <a:off x="1125322" y="1004881"/>
          <a:ext cx="486304"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0A5962B1-D2BC-4AC8-B9E6-5A13213241A8}"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0.5624</cdr:x>
      <cdr:y>0.62974</cdr:y>
    </cdr:from>
    <cdr:to>
      <cdr:x>0.72022</cdr:x>
      <cdr:y>0.76652</cdr:y>
    </cdr:to>
    <cdr:sp macro="" textlink="'結果(改修後)'!$T$50">
      <cdr:nvSpPr>
        <cdr:cNvPr id="8195" name="Text Box 3"/>
        <cdr:cNvSpPr txBox="1">
          <a:spLocks xmlns:a="http://schemas.openxmlformats.org/drawingml/2006/main" noChangeArrowheads="1" noTextEdit="1"/>
        </cdr:cNvSpPr>
      </cdr:nvSpPr>
      <cdr:spPr bwMode="auto">
        <a:xfrm xmlns:a="http://schemas.openxmlformats.org/drawingml/2006/main">
          <a:off x="1862000" y="1004881"/>
          <a:ext cx="521613"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5BEA40F-27CA-445C-8201-6BDE43AF9DE5}"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0.79233</cdr:x>
      <cdr:y>0.62974</cdr:y>
    </cdr:from>
    <cdr:to>
      <cdr:x>0.93388</cdr:x>
      <cdr:y>0.76652</cdr:y>
    </cdr:to>
    <cdr:sp macro="" textlink="'結果(改修後)'!$T$51">
      <cdr:nvSpPr>
        <cdr:cNvPr id="8196" name="Text Box 4"/>
        <cdr:cNvSpPr txBox="1">
          <a:spLocks xmlns:a="http://schemas.openxmlformats.org/drawingml/2006/main" noChangeArrowheads="1" noTextEdit="1"/>
        </cdr:cNvSpPr>
      </cdr:nvSpPr>
      <cdr:spPr bwMode="auto">
        <a:xfrm xmlns:a="http://schemas.openxmlformats.org/drawingml/2006/main">
          <a:off x="2621950" y="1004881"/>
          <a:ext cx="467846" cy="217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3B00C9FC-A018-4E75-B3B2-5EC174198D84}"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7.xml><?xml version="1.0" encoding="utf-8"?>
<c:userShapes xmlns:c="http://schemas.openxmlformats.org/drawingml/2006/chart">
  <cdr:relSizeAnchor xmlns:cdr="http://schemas.openxmlformats.org/drawingml/2006/chartDrawing">
    <cdr:from>
      <cdr:x>0.13062</cdr:x>
      <cdr:y>0.61615</cdr:y>
    </cdr:from>
    <cdr:to>
      <cdr:x>0.29422</cdr:x>
      <cdr:y>0.75064</cdr:y>
    </cdr:to>
    <cdr:sp macro="" textlink="'結果(改修後)'!$Z$48">
      <cdr:nvSpPr>
        <cdr:cNvPr id="9217" name="Text Box 1"/>
        <cdr:cNvSpPr txBox="1">
          <a:spLocks xmlns:a="http://schemas.openxmlformats.org/drawingml/2006/main" noChangeArrowheads="1" noTextEdit="1"/>
        </cdr:cNvSpPr>
      </cdr:nvSpPr>
      <cdr:spPr bwMode="auto">
        <a:xfrm xmlns:a="http://schemas.openxmlformats.org/drawingml/2006/main">
          <a:off x="411245" y="989136"/>
          <a:ext cx="511135" cy="21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4CFE6820-487C-45FC-83CB-9AA87142C2C7}" type="TxLink">
            <a:rPr lang="ja-JP" altLang="en-US"/>
            <a:pPr algn="ctr" rtl="0">
              <a:defRPr sz="1000"/>
            </a:pPr>
            <a:t> </a:t>
          </a:fld>
          <a:endParaRPr lang="ja-JP" altLang="en-US"/>
        </a:p>
      </cdr:txBody>
    </cdr:sp>
  </cdr:relSizeAnchor>
  <cdr:relSizeAnchor xmlns:cdr="http://schemas.openxmlformats.org/drawingml/2006/chartDrawing">
    <cdr:from>
      <cdr:x>0.43771</cdr:x>
      <cdr:y>0.61615</cdr:y>
    </cdr:from>
    <cdr:to>
      <cdr:x>0.59501</cdr:x>
      <cdr:y>0.75064</cdr:y>
    </cdr:to>
    <cdr:sp macro="" textlink="'結果(改修後)'!$Z$49">
      <cdr:nvSpPr>
        <cdr:cNvPr id="9218" name="Text Box 2"/>
        <cdr:cNvSpPr txBox="1">
          <a:spLocks xmlns:a="http://schemas.openxmlformats.org/drawingml/2006/main" noChangeArrowheads="1" noTextEdit="1"/>
        </cdr:cNvSpPr>
      </cdr:nvSpPr>
      <cdr:spPr bwMode="auto">
        <a:xfrm xmlns:a="http://schemas.openxmlformats.org/drawingml/2006/main">
          <a:off x="1370665" y="989136"/>
          <a:ext cx="491447" cy="21520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EEE5439E-ECF0-4CA8-8D9B-CB69D7232C73}" type="TxLink">
            <a:rPr lang="ja-JP" altLang="en-US"/>
            <a:pPr algn="ctr" rtl="0">
              <a:defRPr sz="1000"/>
            </a:pPr>
            <a:t> </a:t>
          </a:fld>
          <a:endParaRPr lang="ja-JP" altLang="en-US"/>
        </a:p>
      </cdr:txBody>
    </cdr:sp>
  </cdr:relSizeAnchor>
  <cdr:relSizeAnchor xmlns:cdr="http://schemas.openxmlformats.org/drawingml/2006/chartDrawing">
    <cdr:from>
      <cdr:x>0.7322</cdr:x>
      <cdr:y>0.63378</cdr:y>
    </cdr:from>
    <cdr:to>
      <cdr:x>0.91471</cdr:x>
      <cdr:y>0.76851</cdr:y>
    </cdr:to>
    <cdr:sp macro="" textlink="'結果(改修後)'!$Z$50">
      <cdr:nvSpPr>
        <cdr:cNvPr id="9219" name="Text Box 3"/>
        <cdr:cNvSpPr txBox="1">
          <a:spLocks xmlns:a="http://schemas.openxmlformats.org/drawingml/2006/main" noChangeArrowheads="1" noTextEdit="1"/>
        </cdr:cNvSpPr>
      </cdr:nvSpPr>
      <cdr:spPr bwMode="auto">
        <a:xfrm xmlns:a="http://schemas.openxmlformats.org/drawingml/2006/main">
          <a:off x="2290709" y="1017354"/>
          <a:ext cx="570199" cy="2155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7CA6A1F-B5BC-4A95-9058-1D75947301D0}"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8.xml><?xml version="1.0" encoding="utf-8"?>
<c:userShapes xmlns:c="http://schemas.openxmlformats.org/drawingml/2006/chart">
  <cdr:relSizeAnchor xmlns:cdr="http://schemas.openxmlformats.org/drawingml/2006/chartDrawing">
    <cdr:from>
      <cdr:x>0.13121</cdr:x>
      <cdr:y>0.62856</cdr:y>
    </cdr:from>
    <cdr:to>
      <cdr:x>0.31391</cdr:x>
      <cdr:y>0.76629</cdr:y>
    </cdr:to>
    <cdr:sp macro="" textlink="'結果(改修後)'!$W$48">
      <cdr:nvSpPr>
        <cdr:cNvPr id="11265" name="Text Box 1"/>
        <cdr:cNvSpPr txBox="1">
          <a:spLocks xmlns:a="http://schemas.openxmlformats.org/drawingml/2006/main" noChangeArrowheads="1" noTextEdit="1"/>
        </cdr:cNvSpPr>
      </cdr:nvSpPr>
      <cdr:spPr bwMode="auto">
        <a:xfrm xmlns:a="http://schemas.openxmlformats.org/drawingml/2006/main">
          <a:off x="393109" y="1003012"/>
          <a:ext cx="542949"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FEA88FDB-5617-49B9-ADFB-8A8F2E0C2522}"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0.43902</cdr:x>
      <cdr:y>0.63444</cdr:y>
    </cdr:from>
    <cdr:to>
      <cdr:x>0.61809</cdr:x>
      <cdr:y>0.77216</cdr:y>
    </cdr:to>
    <cdr:sp macro="" textlink="'結果(改修後)'!$W$49">
      <cdr:nvSpPr>
        <cdr:cNvPr id="11266" name="Text Box 2"/>
        <cdr:cNvSpPr txBox="1">
          <a:spLocks xmlns:a="http://schemas.openxmlformats.org/drawingml/2006/main" noChangeArrowheads="1" noTextEdit="1"/>
        </cdr:cNvSpPr>
      </cdr:nvSpPr>
      <cdr:spPr bwMode="auto">
        <a:xfrm xmlns:a="http://schemas.openxmlformats.org/drawingml/2006/main">
          <a:off x="1307852" y="1012358"/>
          <a:ext cx="532162"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C4AB4D36-3D0F-4AC7-8099-F17451774E85}" type="TxLink">
            <a:rPr lang="ja-JP" altLang="en-US" sz="1100" b="0" i="0" u="none" strike="noStrike">
              <a:solidFill>
                <a:srgbClr val="000000"/>
              </a:solidFill>
              <a:latin typeface="Arialシック"/>
            </a:rPr>
            <a:pPr algn="ctr" rtl="0">
              <a:defRPr sz="1000"/>
            </a:pPr>
            <a:t>#DIV/0!</a:t>
          </a:fld>
          <a:endParaRPr lang="ja-JP" altLang="en-US"/>
        </a:p>
      </cdr:txBody>
    </cdr:sp>
  </cdr:relSizeAnchor>
  <cdr:relSizeAnchor xmlns:cdr="http://schemas.openxmlformats.org/drawingml/2006/chartDrawing">
    <cdr:from>
      <cdr:x>0.73691</cdr:x>
      <cdr:y>0.63444</cdr:y>
    </cdr:from>
    <cdr:to>
      <cdr:x>0.90678</cdr:x>
      <cdr:y>0.77216</cdr:y>
    </cdr:to>
    <cdr:sp macro="" textlink="'結果(改修後)'!$W$50">
      <cdr:nvSpPr>
        <cdr:cNvPr id="11267" name="Text Box 3"/>
        <cdr:cNvSpPr txBox="1">
          <a:spLocks xmlns:a="http://schemas.openxmlformats.org/drawingml/2006/main" noChangeArrowheads="1" noTextEdit="1"/>
        </cdr:cNvSpPr>
      </cdr:nvSpPr>
      <cdr:spPr bwMode="auto">
        <a:xfrm xmlns:a="http://schemas.openxmlformats.org/drawingml/2006/main">
          <a:off x="2193111" y="1012358"/>
          <a:ext cx="504834" cy="219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cdr:spPr>
      <cdr:txBody>
        <a:bodyPr xmlns:a="http://schemas.openxmlformats.org/drawingml/2006/main" vertOverflow="clip" wrap="square" lIns="18288" tIns="0" rIns="0" bIns="0" anchor="ctr" upright="1"/>
        <a:lstStyle xmlns:a="http://schemas.openxmlformats.org/drawingml/2006/main"/>
        <a:p xmlns:a="http://schemas.openxmlformats.org/drawingml/2006/main">
          <a:pPr algn="ctr" rtl="0">
            <a:defRPr sz="1000"/>
          </a:pPr>
          <a:fld id="{A2CA6922-E2C3-4B36-8D66-86CD20C269A2}" type="TxLink">
            <a:rPr lang="ja-JP" altLang="en-US" sz="1100" b="0" i="0" u="none" strike="noStrike">
              <a:solidFill>
                <a:srgbClr val="000000"/>
              </a:solidFill>
              <a:latin typeface="Arialシック"/>
            </a:rPr>
            <a:pPr algn="ctr" rtl="0">
              <a:defRPr sz="1000"/>
            </a:pPr>
            <a:t>#DIV/0!</a:t>
          </a:fld>
          <a:endParaRPr lang="ja-JP" altLang="en-US"/>
        </a:p>
      </cdr:txBody>
    </cdr:sp>
  </cdr:relSizeAnchor>
</c:userShapes>
</file>

<file path=xl/drawings/drawing9.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0.21504</cdr:x>
      <cdr:y>0.88215</cdr:y>
    </cdr:from>
    <cdr:to>
      <cdr:x>0.86057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0.3865</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0.45122</cdr:x>
      <cdr:y>0.10224</cdr:y>
    </cdr:from>
    <cdr:to>
      <cdr:x>0.59613</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0.63694</cdr:x>
      <cdr:y>0.10224</cdr:y>
    </cdr:from>
    <cdr:to>
      <cdr:x>0.7886</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0.75986</cdr:x>
      <cdr:y>0.30064</cdr:y>
    </cdr:from>
    <cdr:to>
      <cdr:x>0.898</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0.76057</cdr:x>
      <cdr:y>0.65228</cdr:y>
    </cdr:from>
    <cdr:to>
      <cdr:x>0.85524</cdr:x>
      <cdr:y>0.78848</cdr:y>
    </cdr:to>
    <cdr:sp macro="" textlink="">
      <cdr:nvSpPr>
        <cdr:cNvPr id="12295" name="Text Box 7"/>
        <cdr:cNvSpPr txBox="1">
          <a:spLocks xmlns:a="http://schemas.openxmlformats.org/drawingml/2006/main" noChangeArrowheads="1"/>
        </cdr:cNvSpPr>
      </cdr:nvSpPr>
      <cdr:spPr bwMode="auto">
        <a:xfrm xmlns:a="http://schemas.openxmlformats.org/drawingml/2006/main">
          <a:off x="2133051" y="1587492"/>
          <a:ext cx="265100" cy="33079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0">
              <a:solidFill>
                <a:srgbClr val="000000"/>
              </a:solidFill>
              <a:miter lim="800000"/>
              <a:headEnd/>
              <a:tailEnd/>
            </a14:hiddenLine>
          </a:ext>
        </a:extLst>
      </cdr:spPr>
      <cdr:txBody>
        <a:bodyPr xmlns:a="http://schemas.openxmlformats.org/drawingml/2006/main" vertOverflow="clip" wrap="square" lIns="27432" tIns="27432" rIns="27432" bIns="27432" anchor="ctr"/>
        <a:lstStyle xmlns:a="http://schemas.openxmlformats.org/drawingml/2006/main"/>
        <a:p xmlns:a="http://schemas.openxmlformats.org/drawingml/2006/main">
          <a:pPr algn="ctr" rtl="0">
            <a:defRPr sz="1000"/>
          </a:pPr>
          <a:r>
            <a:rPr lang="ja-JP" altLang="en-US" sz="1150" b="1" i="0" u="none" strike="noStrike" baseline="0">
              <a:solidFill>
                <a:srgbClr val="000000"/>
              </a:solidFill>
              <a:latin typeface="Arial"/>
              <a:cs typeface="Arial"/>
            </a:rPr>
            <a:t>C</a:t>
          </a:r>
        </a:p>
      </cdr:txBody>
    </cdr:sp>
  </cdr:relSizeAnchor>
  <cdr:relSizeAnchor xmlns:cdr="http://schemas.openxmlformats.org/drawingml/2006/chartDrawing">
    <cdr:from>
      <cdr:x>0.38099</cdr:x>
      <cdr:y>0.01719</cdr:y>
    </cdr:from>
    <cdr:to>
      <cdr:x>0.45504</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3284" y="41595"/>
          <a:ext cx="206659"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0.88132</cdr:x>
      <cdr:y>0.43539</cdr:y>
    </cdr:from>
    <cdr:to>
      <cdr:x>0.97647</cdr:x>
      <cdr:y>0.52162</cdr:y>
    </cdr:to>
    <cdr:sp macro="" textlink="">
      <cdr:nvSpPr>
        <cdr:cNvPr id="12297" name="Text Box 12"/>
        <cdr:cNvSpPr txBox="1">
          <a:spLocks xmlns:a="http://schemas.openxmlformats.org/drawingml/2006/main" noChangeArrowheads="1"/>
        </cdr:cNvSpPr>
      </cdr:nvSpPr>
      <cdr:spPr bwMode="auto">
        <a:xfrm xmlns:a="http://schemas.openxmlformats.org/drawingml/2006/main">
          <a:off x="2471188" y="1060676"/>
          <a:ext cx="266453" cy="20944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1">
              <a:solidFill>
                <a:srgbClr val="000000"/>
              </a:solidFill>
              <a:miter lim="800000"/>
              <a:headEnd/>
              <a:tailEnd/>
            </a14:hiddenLine>
          </a:ext>
        </a:extLst>
      </cdr:spPr>
      <cdr:txBody>
        <a:bodyPr xmlns:a="http://schemas.openxmlformats.org/drawingml/2006/main" vertOverflow="clip" wrap="square" lIns="18288" tIns="18288" rIns="18288" bIns="18288" anchor="ctr"/>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0.5</a:t>
          </a:r>
        </a:p>
      </cdr:txBody>
    </cdr:sp>
  </cdr:relSizeAnchor>
  <cdr:relSizeAnchor xmlns:cdr="http://schemas.openxmlformats.org/drawingml/2006/chartDrawing">
    <cdr:from>
      <cdr:x>0.61368</cdr:x>
      <cdr:y>0.01719</cdr:y>
    </cdr:from>
    <cdr:to>
      <cdr:x>0.68773</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12684"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0.77053</cdr:x>
      <cdr:y>0.01719</cdr:y>
    </cdr:from>
    <cdr:to>
      <cdr:x>0.95929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50412"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8.vml"/><Relationship Id="rId7" Type="http://schemas.openxmlformats.org/officeDocument/2006/relationships/ctrlProp" Target="../ctrlProps/ctrlProp9.xml"/><Relationship Id="rId2" Type="http://schemas.openxmlformats.org/officeDocument/2006/relationships/drawing" Target="../drawings/drawing30.xml"/><Relationship Id="rId1" Type="http://schemas.openxmlformats.org/officeDocument/2006/relationships/printerSettings" Target="../printerSettings/printerSettings16.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9.vml"/><Relationship Id="rId7" Type="http://schemas.openxmlformats.org/officeDocument/2006/relationships/ctrlProp" Target="../ctrlProps/ctrlProp15.xml"/><Relationship Id="rId2" Type="http://schemas.openxmlformats.org/officeDocument/2006/relationships/drawing" Target="../drawings/drawing31.xml"/><Relationship Id="rId1" Type="http://schemas.openxmlformats.org/officeDocument/2006/relationships/printerSettings" Target="../printerSettings/printerSettings17.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3" Type="http://schemas.openxmlformats.org/officeDocument/2006/relationships/vmlDrawing" Target="../drawings/vmlDrawing10.vml"/><Relationship Id="rId21" Type="http://schemas.openxmlformats.org/officeDocument/2006/relationships/ctrlProp" Target="../ctrlProps/ctrlProp35.x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 Type="http://schemas.openxmlformats.org/officeDocument/2006/relationships/drawing" Target="../drawings/drawing32.xml"/><Relationship Id="rId16" Type="http://schemas.openxmlformats.org/officeDocument/2006/relationships/ctrlProp" Target="../ctrlProps/ctrlProp30.xml"/><Relationship Id="rId20" Type="http://schemas.openxmlformats.org/officeDocument/2006/relationships/ctrlProp" Target="../ctrlProps/ctrlProp34.xml"/><Relationship Id="rId1" Type="http://schemas.openxmlformats.org/officeDocument/2006/relationships/printerSettings" Target="../printerSettings/printerSettings18.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5" Type="http://schemas.openxmlformats.org/officeDocument/2006/relationships/ctrlProp" Target="../ctrlProps/ctrlProp29.xml"/><Relationship Id="rId23" Type="http://schemas.openxmlformats.org/officeDocument/2006/relationships/ctrlProp" Target="../ctrlProps/ctrlProp37.xml"/><Relationship Id="rId10" Type="http://schemas.openxmlformats.org/officeDocument/2006/relationships/ctrlProp" Target="../ctrlProps/ctrlProp24.xml"/><Relationship Id="rId19" Type="http://schemas.openxmlformats.org/officeDocument/2006/relationships/ctrlProp" Target="../ctrlProps/ctrlProp33.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 Id="rId22" Type="http://schemas.openxmlformats.org/officeDocument/2006/relationships/ctrlProp" Target="../ctrlProps/ctrlProp3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xml"/><Relationship Id="rId7" Type="http://schemas.openxmlformats.org/officeDocument/2006/relationships/ctrlProp" Target="../ctrlProps/ctrlProp4.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autoPageBreaks="0" fitToPage="1"/>
  </sheetPr>
  <dimension ref="A1:EY123"/>
  <sheetViews>
    <sheetView showGridLines="0" tabSelected="1" zoomScaleNormal="100" workbookViewId="0">
      <selection activeCell="C11" sqref="C11:F11"/>
    </sheetView>
  </sheetViews>
  <sheetFormatPr defaultColWidth="0" defaultRowHeight="13.5" zeroHeight="1"/>
  <cols>
    <col min="1" max="1" width="1.625" style="60" customWidth="1"/>
    <col min="2" max="2" width="15.125" style="60" customWidth="1"/>
    <col min="3" max="3" width="14.25" style="60" customWidth="1"/>
    <col min="4" max="4" width="16" style="60" customWidth="1"/>
    <col min="5" max="5" width="10.75" style="60" customWidth="1"/>
    <col min="6" max="6" width="4" style="60" customWidth="1"/>
    <col min="7" max="7" width="13.625" style="60" customWidth="1"/>
    <col min="8" max="8" width="13.375" style="60" customWidth="1"/>
    <col min="9" max="9" width="16.25" style="60" customWidth="1"/>
    <col min="10" max="10" width="9.125" style="60" customWidth="1"/>
    <col min="11" max="11" width="4.375" style="60" customWidth="1"/>
    <col min="12" max="12" width="18.375" style="60" customWidth="1"/>
    <col min="13" max="13" width="10.125" style="60" hidden="1" customWidth="1"/>
    <col min="14" max="16" width="10.625" style="60" hidden="1" customWidth="1"/>
    <col min="17" max="17" width="14" style="60" hidden="1" customWidth="1"/>
    <col min="18" max="18" width="5.375" style="60" hidden="1" customWidth="1"/>
    <col min="19" max="19" width="7.25" style="21" hidden="1" customWidth="1"/>
    <col min="20" max="20" width="8" style="6" hidden="1" customWidth="1"/>
    <col min="21" max="21" width="8.25" style="6" hidden="1" customWidth="1"/>
    <col min="22" max="22" width="9.5" style="21" hidden="1" customWidth="1"/>
    <col min="23" max="23" width="9.125" style="21" hidden="1" customWidth="1"/>
    <col min="24" max="24" width="10" style="21" hidden="1" customWidth="1"/>
    <col min="25" max="25" width="2.625" style="21" hidden="1" customWidth="1"/>
    <col min="26" max="155" width="9" style="21" hidden="1" customWidth="1"/>
    <col min="156" max="16384" width="0" style="21" hidden="1"/>
  </cols>
  <sheetData>
    <row r="1" spans="1:22" s="6" customFormat="1">
      <c r="A1" s="2"/>
      <c r="B1" s="3"/>
      <c r="C1" s="2"/>
      <c r="D1" s="2"/>
      <c r="E1" s="2"/>
      <c r="F1" s="2"/>
      <c r="G1" s="2"/>
      <c r="H1" s="2"/>
      <c r="I1" s="2"/>
      <c r="J1" s="2"/>
      <c r="K1" s="2"/>
      <c r="L1" s="2"/>
      <c r="M1" s="2"/>
      <c r="N1" s="4"/>
      <c r="O1" s="4"/>
      <c r="P1" s="4"/>
      <c r="Q1" s="5"/>
      <c r="R1" s="4"/>
    </row>
    <row r="2" spans="1:22" s="6" customFormat="1">
      <c r="A2" s="2"/>
      <c r="B2" s="3"/>
      <c r="C2" s="2"/>
      <c r="D2" s="2"/>
      <c r="E2" s="2"/>
      <c r="F2" s="2"/>
      <c r="G2" s="2"/>
      <c r="H2" s="2"/>
      <c r="I2" s="2"/>
      <c r="J2" s="2"/>
      <c r="K2" s="2"/>
      <c r="L2" s="2"/>
      <c r="M2" s="2"/>
      <c r="N2"/>
      <c r="O2"/>
      <c r="P2" s="4"/>
      <c r="Q2" s="4"/>
      <c r="R2" s="4"/>
    </row>
    <row r="3" spans="1:22" s="11" customFormat="1" ht="34.5" customHeight="1">
      <c r="A3" s="2"/>
      <c r="B3" s="3"/>
      <c r="C3" s="2"/>
      <c r="D3" s="2"/>
      <c r="E3" s="2"/>
      <c r="F3" s="2"/>
      <c r="G3" s="2"/>
      <c r="H3" s="2"/>
      <c r="I3" s="2"/>
      <c r="J3" s="2"/>
      <c r="K3" s="2"/>
      <c r="L3" s="2"/>
      <c r="M3" s="2"/>
      <c r="N3" s="7"/>
      <c r="O3" s="8"/>
      <c r="P3" s="9"/>
      <c r="Q3" s="10"/>
      <c r="R3" s="4"/>
      <c r="S3" s="6"/>
    </row>
    <row r="4" spans="1:22" s="11" customFormat="1" ht="25.5">
      <c r="A4" s="2"/>
      <c r="B4" s="12" t="s">
        <v>1855</v>
      </c>
      <c r="C4" s="13"/>
      <c r="D4" s="13"/>
      <c r="E4" s="13"/>
      <c r="F4" s="13"/>
      <c r="G4" s="13"/>
      <c r="H4" s="13"/>
      <c r="I4" s="13"/>
      <c r="J4" s="13"/>
      <c r="K4" s="12"/>
      <c r="L4" s="2"/>
      <c r="M4" s="2"/>
      <c r="N4" s="14"/>
      <c r="O4" s="14"/>
      <c r="P4" s="14"/>
      <c r="Q4" s="14"/>
      <c r="R4" s="14"/>
      <c r="S4" s="6"/>
    </row>
    <row r="5" spans="1:22" s="23" customFormat="1">
      <c r="A5" s="15"/>
      <c r="B5" s="16" t="s">
        <v>455</v>
      </c>
      <c r="C5" s="17" t="s">
        <v>1857</v>
      </c>
      <c r="D5" s="17"/>
      <c r="E5" s="17"/>
      <c r="F5" s="17"/>
      <c r="G5" s="17"/>
      <c r="H5" s="18"/>
      <c r="I5" s="2"/>
      <c r="J5" s="2"/>
      <c r="K5" s="2"/>
      <c r="L5" s="2"/>
      <c r="M5" s="19"/>
      <c r="N5" s="20"/>
      <c r="O5" s="20"/>
      <c r="P5" s="20"/>
      <c r="Q5" s="20"/>
      <c r="R5" s="20"/>
      <c r="S5" s="21"/>
      <c r="T5" s="22"/>
      <c r="U5" s="22"/>
      <c r="V5" s="22"/>
    </row>
    <row r="6" spans="1:22" s="23" customFormat="1">
      <c r="A6" s="15"/>
      <c r="B6" s="24" t="s">
        <v>456</v>
      </c>
      <c r="C6" s="16" t="s">
        <v>1856</v>
      </c>
      <c r="D6" s="25"/>
      <c r="E6" s="25"/>
      <c r="F6" s="25"/>
      <c r="G6" s="25"/>
      <c r="H6" s="18"/>
      <c r="I6" s="18"/>
      <c r="J6" s="18"/>
      <c r="K6" s="2"/>
      <c r="L6" s="2"/>
      <c r="M6" s="19"/>
      <c r="N6" t="s">
        <v>1279</v>
      </c>
      <c r="O6" t="s">
        <v>933</v>
      </c>
      <c r="P6">
        <v>1</v>
      </c>
      <c r="Q6" s="20"/>
      <c r="R6" s="20"/>
      <c r="S6" s="21"/>
      <c r="T6" s="22"/>
      <c r="U6" s="22"/>
      <c r="V6" s="22"/>
    </row>
    <row r="7" spans="1:22" s="23" customFormat="1" ht="14.25" thickBot="1">
      <c r="A7" s="15"/>
      <c r="B7" s="19"/>
      <c r="C7" s="19"/>
      <c r="D7" s="19"/>
      <c r="E7" s="19"/>
      <c r="F7" s="19"/>
      <c r="G7" s="19"/>
      <c r="H7" s="19"/>
      <c r="I7" s="19"/>
      <c r="J7" s="19"/>
      <c r="K7" s="19"/>
      <c r="L7" s="2"/>
      <c r="M7" s="19"/>
      <c r="N7" t="s">
        <v>1280</v>
      </c>
      <c r="O7" t="s">
        <v>461</v>
      </c>
      <c r="P7">
        <v>2</v>
      </c>
      <c r="Q7" s="20"/>
      <c r="R7" s="20"/>
      <c r="S7" s="21"/>
      <c r="T7" s="22"/>
      <c r="U7" s="22"/>
      <c r="V7" s="22"/>
    </row>
    <row r="8" spans="1:22" s="23" customFormat="1">
      <c r="A8" s="15"/>
      <c r="B8" s="26" t="s">
        <v>457</v>
      </c>
      <c r="C8" s="27"/>
      <c r="D8" s="27"/>
      <c r="E8" s="27"/>
      <c r="F8" s="27"/>
      <c r="G8" s="27"/>
      <c r="H8" s="27"/>
      <c r="I8" s="27"/>
      <c r="J8" s="27"/>
      <c r="K8" s="28"/>
      <c r="L8" s="2"/>
      <c r="M8" s="19"/>
      <c r="N8" t="s">
        <v>1281</v>
      </c>
      <c r="O8" t="s">
        <v>463</v>
      </c>
      <c r="P8">
        <v>3</v>
      </c>
      <c r="Q8" s="29"/>
      <c r="R8" s="30"/>
      <c r="S8" s="21"/>
    </row>
    <row r="9" spans="1:22" s="23" customFormat="1">
      <c r="A9" s="15"/>
      <c r="B9" s="31" t="s">
        <v>458</v>
      </c>
      <c r="C9" s="32"/>
      <c r="D9" s="32"/>
      <c r="E9" s="32"/>
      <c r="F9" s="32"/>
      <c r="G9" s="32"/>
      <c r="H9" s="32"/>
      <c r="I9" s="32"/>
      <c r="J9" s="32"/>
      <c r="K9" s="33"/>
      <c r="L9" s="2"/>
      <c r="M9" s="34"/>
      <c r="N9" t="s">
        <v>1282</v>
      </c>
      <c r="O9" t="s">
        <v>465</v>
      </c>
      <c r="P9">
        <v>4</v>
      </c>
      <c r="Q9" s="29"/>
      <c r="R9" s="30"/>
      <c r="S9" s="21"/>
    </row>
    <row r="10" spans="1:22" s="23" customFormat="1">
      <c r="A10" s="36"/>
      <c r="B10" s="37"/>
      <c r="C10" s="38" t="s">
        <v>459</v>
      </c>
      <c r="D10" s="38"/>
      <c r="E10" s="38"/>
      <c r="F10" s="39"/>
      <c r="G10" s="40"/>
      <c r="H10" s="41" t="s">
        <v>460</v>
      </c>
      <c r="I10" s="41"/>
      <c r="J10" s="41"/>
      <c r="K10" s="42"/>
      <c r="L10" s="2"/>
      <c r="M10" s="43"/>
      <c r="N10" t="s">
        <v>1283</v>
      </c>
      <c r="O10" t="s">
        <v>467</v>
      </c>
      <c r="P10">
        <v>5</v>
      </c>
      <c r="Q10" s="29"/>
      <c r="R10" s="30"/>
      <c r="S10" s="21"/>
    </row>
    <row r="11" spans="1:22">
      <c r="A11" s="36"/>
      <c r="B11" s="37" t="s">
        <v>462</v>
      </c>
      <c r="C11" s="2843"/>
      <c r="D11" s="2844"/>
      <c r="E11" s="2844"/>
      <c r="F11" s="2845"/>
      <c r="G11" s="44" t="s">
        <v>462</v>
      </c>
      <c r="H11" s="2843"/>
      <c r="I11" s="2844"/>
      <c r="J11" s="2844"/>
      <c r="K11" s="2846"/>
      <c r="L11" s="2"/>
      <c r="M11" s="43"/>
      <c r="N11" t="s">
        <v>1284</v>
      </c>
      <c r="O11" t="s">
        <v>469</v>
      </c>
      <c r="P11">
        <v>6</v>
      </c>
      <c r="Q11" s="30"/>
      <c r="R11" s="30"/>
      <c r="T11" s="21"/>
      <c r="U11" s="21"/>
    </row>
    <row r="12" spans="1:22">
      <c r="A12" s="36"/>
      <c r="B12" s="37"/>
      <c r="C12" s="36"/>
      <c r="D12" s="36"/>
      <c r="E12" s="36"/>
      <c r="F12" s="46"/>
      <c r="G12" s="47" t="s">
        <v>464</v>
      </c>
      <c r="H12" s="2847"/>
      <c r="I12" s="2848"/>
      <c r="J12" s="2848"/>
      <c r="K12" s="2849"/>
      <c r="L12" s="2"/>
      <c r="M12" s="48"/>
      <c r="N12" t="s">
        <v>1285</v>
      </c>
      <c r="O12"/>
      <c r="P12">
        <v>7</v>
      </c>
      <c r="Q12" s="30"/>
      <c r="R12" s="30"/>
      <c r="T12" s="21"/>
      <c r="U12" s="21"/>
    </row>
    <row r="13" spans="1:22" s="50" customFormat="1">
      <c r="A13" s="36"/>
      <c r="B13" s="37"/>
      <c r="C13" s="36"/>
      <c r="D13" s="36"/>
      <c r="E13" s="36"/>
      <c r="F13" s="46"/>
      <c r="G13" s="47" t="s">
        <v>466</v>
      </c>
      <c r="H13" s="2675" t="s">
        <v>1284</v>
      </c>
      <c r="I13" s="52"/>
      <c r="J13" s="52"/>
      <c r="K13" s="42"/>
      <c r="L13" s="2"/>
      <c r="M13" s="48"/>
      <c r="N13" t="s">
        <v>1286</v>
      </c>
      <c r="O13"/>
      <c r="P13">
        <v>8</v>
      </c>
      <c r="Q13" s="45"/>
      <c r="R13" s="30"/>
      <c r="S13" s="21"/>
    </row>
    <row r="14" spans="1:22">
      <c r="A14" s="36"/>
      <c r="B14" s="47" t="s">
        <v>468</v>
      </c>
      <c r="C14" s="2847"/>
      <c r="D14" s="2848"/>
      <c r="E14" s="2848"/>
      <c r="F14" s="2849"/>
      <c r="G14" s="47" t="s">
        <v>468</v>
      </c>
      <c r="H14" s="2847"/>
      <c r="I14" s="2848"/>
      <c r="J14" s="2848"/>
      <c r="K14" s="2849"/>
      <c r="L14" s="2"/>
      <c r="M14" s="51"/>
      <c r="N14"/>
      <c r="O14"/>
      <c r="P14"/>
      <c r="Q14" s="30"/>
      <c r="R14" s="30"/>
      <c r="T14" s="21"/>
      <c r="U14" s="21"/>
    </row>
    <row r="15" spans="1:22">
      <c r="A15" s="36"/>
      <c r="B15" s="47" t="s">
        <v>470</v>
      </c>
      <c r="C15" s="2669"/>
      <c r="D15" s="52"/>
      <c r="E15" s="52"/>
      <c r="F15" s="46"/>
      <c r="G15" s="47" t="s">
        <v>471</v>
      </c>
      <c r="H15" s="2669"/>
      <c r="I15" s="52"/>
      <c r="J15" s="52"/>
      <c r="K15" s="42"/>
      <c r="L15" s="2"/>
      <c r="M15" s="53"/>
      <c r="N15"/>
      <c r="O15"/>
      <c r="P15"/>
      <c r="Q15" s="30"/>
      <c r="R15" s="30"/>
      <c r="T15" s="21"/>
      <c r="U15" s="21"/>
    </row>
    <row r="16" spans="1:22">
      <c r="A16" s="36"/>
      <c r="B16" s="47"/>
      <c r="C16" s="52"/>
      <c r="D16" s="52"/>
      <c r="E16" s="52"/>
      <c r="F16" s="46"/>
      <c r="G16" s="54" t="s">
        <v>472</v>
      </c>
      <c r="H16" s="2676"/>
      <c r="I16" s="49"/>
      <c r="J16" s="49"/>
      <c r="K16" s="55"/>
      <c r="L16" s="2"/>
      <c r="M16" s="53"/>
      <c r="N16"/>
      <c r="O16"/>
      <c r="P16" s="1">
        <f>VLOOKUP(H13,N6:P13,3)</f>
        <v>6</v>
      </c>
      <c r="Q16" s="30"/>
      <c r="R16" s="30"/>
      <c r="T16" s="21"/>
      <c r="U16" s="21"/>
    </row>
    <row r="17" spans="1:21">
      <c r="A17" s="36"/>
      <c r="B17" s="47"/>
      <c r="C17" s="36"/>
      <c r="D17" s="36"/>
      <c r="E17" s="36"/>
      <c r="F17" s="36"/>
      <c r="G17" s="56" t="s">
        <v>473</v>
      </c>
      <c r="H17" s="2670"/>
      <c r="I17" s="57" t="s">
        <v>474</v>
      </c>
      <c r="J17" s="63"/>
      <c r="K17" s="58"/>
      <c r="L17" s="2"/>
      <c r="M17" s="53"/>
      <c r="N17" s="30"/>
      <c r="O17" s="30"/>
      <c r="P17" s="30"/>
      <c r="Q17" s="30"/>
      <c r="R17" s="30"/>
      <c r="T17" s="21"/>
      <c r="U17" s="21"/>
    </row>
    <row r="18" spans="1:21">
      <c r="A18" s="36"/>
      <c r="B18" s="47" t="s">
        <v>475</v>
      </c>
      <c r="C18" s="2670"/>
      <c r="D18" s="59" t="s">
        <v>476</v>
      </c>
      <c r="E18" s="59"/>
      <c r="F18" s="39"/>
      <c r="G18" s="56" t="s">
        <v>475</v>
      </c>
      <c r="H18" s="2670"/>
      <c r="I18" s="57" t="s">
        <v>477</v>
      </c>
      <c r="J18" s="63"/>
      <c r="K18" s="58"/>
      <c r="L18" s="2"/>
      <c r="M18" s="53"/>
      <c r="O18" s="30"/>
      <c r="P18" s="30"/>
      <c r="Q18" s="30"/>
      <c r="R18" s="30"/>
      <c r="T18" s="21"/>
      <c r="U18" s="21"/>
    </row>
    <row r="19" spans="1:21">
      <c r="A19" s="36"/>
      <c r="B19" s="47" t="s">
        <v>478</v>
      </c>
      <c r="C19" s="2671">
        <f>O67</f>
        <v>0</v>
      </c>
      <c r="D19" s="61" t="s">
        <v>476</v>
      </c>
      <c r="E19" s="61"/>
      <c r="F19" s="39"/>
      <c r="G19" s="56" t="s">
        <v>478</v>
      </c>
      <c r="H19" s="2671">
        <f>V67</f>
        <v>0</v>
      </c>
      <c r="I19" s="57" t="s">
        <v>474</v>
      </c>
      <c r="J19" s="63"/>
      <c r="K19" s="62"/>
      <c r="L19" s="2"/>
      <c r="M19" s="63"/>
      <c r="N19" s="64"/>
      <c r="O19" s="64"/>
      <c r="P19" s="64"/>
      <c r="Q19" s="64"/>
      <c r="R19" s="65"/>
      <c r="S19" s="65"/>
      <c r="T19" s="21"/>
      <c r="U19" s="21"/>
    </row>
    <row r="20" spans="1:21">
      <c r="A20" s="36"/>
      <c r="B20" s="47" t="s">
        <v>479</v>
      </c>
      <c r="C20" s="2847" t="s">
        <v>480</v>
      </c>
      <c r="D20" s="2848"/>
      <c r="E20" s="2848"/>
      <c r="F20" s="2849"/>
      <c r="G20" s="56" t="s">
        <v>479</v>
      </c>
      <c r="H20" s="2847" t="s">
        <v>480</v>
      </c>
      <c r="I20" s="2848"/>
      <c r="J20" s="2848"/>
      <c r="K20" s="2849"/>
      <c r="L20" s="2"/>
      <c r="M20" s="34"/>
      <c r="Q20" s="30"/>
      <c r="R20" s="30"/>
      <c r="T20" s="21"/>
      <c r="U20" s="21"/>
    </row>
    <row r="21" spans="1:21">
      <c r="A21" s="36"/>
      <c r="B21" s="66"/>
      <c r="C21" s="2868" t="str">
        <f>S68</f>
        <v/>
      </c>
      <c r="D21" s="2869"/>
      <c r="E21" s="2869"/>
      <c r="F21" s="2870"/>
      <c r="G21" s="40"/>
      <c r="H21" s="2868" t="str">
        <f>Z68</f>
        <v/>
      </c>
      <c r="I21" s="2869"/>
      <c r="J21" s="2869"/>
      <c r="K21" s="2870"/>
      <c r="L21" s="2"/>
      <c r="M21" s="34"/>
      <c r="Q21" s="30"/>
      <c r="R21" s="30"/>
      <c r="T21" s="21"/>
      <c r="U21" s="21"/>
    </row>
    <row r="22" spans="1:21">
      <c r="A22" s="36"/>
      <c r="B22" s="47" t="s">
        <v>481</v>
      </c>
      <c r="C22" s="2672" t="s">
        <v>482</v>
      </c>
      <c r="D22" s="67"/>
      <c r="E22" s="67"/>
      <c r="F22" s="67"/>
      <c r="G22" s="47" t="s">
        <v>481</v>
      </c>
      <c r="H22" s="2677" t="s">
        <v>482</v>
      </c>
      <c r="I22" s="67"/>
      <c r="J22" s="67"/>
      <c r="K22" s="42"/>
      <c r="L22" s="2"/>
      <c r="M22" s="68"/>
      <c r="N22" s="21"/>
      <c r="O22" s="64"/>
      <c r="P22" s="30"/>
      <c r="Q22" s="30"/>
      <c r="R22" s="30"/>
      <c r="T22" s="21"/>
      <c r="U22" s="21"/>
    </row>
    <row r="23" spans="1:21" s="72" customFormat="1">
      <c r="A23" s="36"/>
      <c r="B23" s="47" t="s">
        <v>483</v>
      </c>
      <c r="C23" s="2672" t="s">
        <v>484</v>
      </c>
      <c r="D23" s="67"/>
      <c r="E23" s="67"/>
      <c r="F23" s="67"/>
      <c r="G23" s="47" t="s">
        <v>483</v>
      </c>
      <c r="H23" s="2672" t="s">
        <v>484</v>
      </c>
      <c r="I23" s="67"/>
      <c r="J23" s="67"/>
      <c r="K23" s="42"/>
      <c r="L23" s="2"/>
      <c r="M23" s="69"/>
      <c r="N23" s="70" t="s">
        <v>484</v>
      </c>
      <c r="O23" s="70" t="s">
        <v>485</v>
      </c>
      <c r="P23" s="70" t="s">
        <v>486</v>
      </c>
      <c r="Q23" s="70" t="s">
        <v>305</v>
      </c>
      <c r="R23" s="71"/>
    </row>
    <row r="24" spans="1:21" s="72" customFormat="1">
      <c r="A24" s="36"/>
      <c r="B24" s="47" t="s">
        <v>487</v>
      </c>
      <c r="C24" s="2673"/>
      <c r="D24" s="63" t="s">
        <v>488</v>
      </c>
      <c r="E24" s="63"/>
      <c r="F24" s="39"/>
      <c r="G24" s="47" t="s">
        <v>487</v>
      </c>
      <c r="H24" s="2673"/>
      <c r="I24" s="57" t="s">
        <v>488</v>
      </c>
      <c r="J24" s="63"/>
      <c r="K24" s="58"/>
      <c r="L24" s="2"/>
      <c r="M24" s="73"/>
      <c r="N24" s="21">
        <f>IF(C23=N23,1,IF(C23=O23,2,3))</f>
        <v>1</v>
      </c>
      <c r="O24" s="21"/>
      <c r="P24" s="21">
        <f>IF(H23=N23,1,IF(H23=O23,2,3))</f>
        <v>1</v>
      </c>
      <c r="Q24" s="30"/>
      <c r="R24" s="71"/>
    </row>
    <row r="25" spans="1:21" s="72" customFormat="1">
      <c r="A25" s="36"/>
      <c r="B25" s="47" t="s">
        <v>489</v>
      </c>
      <c r="C25" s="2673"/>
      <c r="D25" s="63" t="s">
        <v>490</v>
      </c>
      <c r="E25" s="63"/>
      <c r="F25" s="39"/>
      <c r="G25" s="47" t="s">
        <v>489</v>
      </c>
      <c r="H25" s="2673"/>
      <c r="I25" s="57" t="s">
        <v>490</v>
      </c>
      <c r="J25" s="63"/>
      <c r="K25" s="58"/>
      <c r="L25" s="2"/>
      <c r="M25" s="74"/>
      <c r="N25" s="30"/>
      <c r="O25" s="64"/>
      <c r="P25" s="30"/>
      <c r="Q25" s="30"/>
      <c r="R25" s="71"/>
    </row>
    <row r="26" spans="1:21" s="72" customFormat="1" ht="24">
      <c r="A26" s="36"/>
      <c r="B26" s="75" t="s">
        <v>491</v>
      </c>
      <c r="C26" s="2674"/>
      <c r="D26" s="76" t="s">
        <v>492</v>
      </c>
      <c r="E26" s="76"/>
      <c r="F26" s="39"/>
      <c r="G26" s="77" t="s">
        <v>493</v>
      </c>
      <c r="H26" s="2674"/>
      <c r="I26" s="78" t="s">
        <v>492</v>
      </c>
      <c r="J26" s="291"/>
      <c r="K26" s="62"/>
      <c r="L26" s="2"/>
      <c r="M26" s="74"/>
      <c r="N26" s="30"/>
      <c r="O26" s="64"/>
      <c r="P26" s="30"/>
      <c r="Q26" s="30"/>
      <c r="R26" s="71"/>
    </row>
    <row r="27" spans="1:21" s="72" customFormat="1">
      <c r="A27" s="36"/>
      <c r="B27" s="77" t="s">
        <v>494</v>
      </c>
      <c r="C27" s="2856"/>
      <c r="D27" s="2857"/>
      <c r="E27" s="2857"/>
      <c r="F27" s="2858"/>
      <c r="G27" s="79" t="s">
        <v>495</v>
      </c>
      <c r="H27" s="2856"/>
      <c r="I27" s="2857"/>
      <c r="J27" s="2857"/>
      <c r="K27" s="2858"/>
      <c r="L27" s="2"/>
      <c r="M27" s="74"/>
      <c r="N27" s="30"/>
      <c r="O27" s="64"/>
      <c r="P27" s="30"/>
      <c r="Q27" s="30"/>
      <c r="R27" s="71"/>
    </row>
    <row r="28" spans="1:21" s="72" customFormat="1">
      <c r="A28" s="36"/>
      <c r="B28" s="80" t="s">
        <v>496</v>
      </c>
      <c r="C28" s="2859"/>
      <c r="D28" s="2860"/>
      <c r="E28" s="2860"/>
      <c r="F28" s="2861"/>
      <c r="G28" s="81"/>
      <c r="H28" s="2859"/>
      <c r="I28" s="2860"/>
      <c r="J28" s="2860"/>
      <c r="K28" s="2861"/>
      <c r="L28" s="2"/>
      <c r="M28" s="74"/>
      <c r="N28" s="30"/>
      <c r="O28" s="64"/>
      <c r="P28" s="30"/>
      <c r="Q28" s="30"/>
      <c r="R28" s="71"/>
    </row>
    <row r="29" spans="1:21" s="72" customFormat="1">
      <c r="A29" s="36"/>
      <c r="B29" s="47"/>
      <c r="C29" s="2859"/>
      <c r="D29" s="2860"/>
      <c r="E29" s="2860"/>
      <c r="F29" s="2861"/>
      <c r="G29" s="82"/>
      <c r="H29" s="2859"/>
      <c r="I29" s="2860"/>
      <c r="J29" s="2860"/>
      <c r="K29" s="2861"/>
      <c r="L29" s="2"/>
      <c r="M29" s="74"/>
      <c r="N29" s="30"/>
      <c r="O29" s="64"/>
      <c r="P29" s="30"/>
      <c r="Q29" s="30"/>
      <c r="R29" s="71"/>
    </row>
    <row r="30" spans="1:21" s="72" customFormat="1">
      <c r="A30" s="36"/>
      <c r="B30" s="47"/>
      <c r="C30" s="2859"/>
      <c r="D30" s="2860"/>
      <c r="E30" s="2860"/>
      <c r="F30" s="2861"/>
      <c r="G30" s="82"/>
      <c r="H30" s="2859"/>
      <c r="I30" s="2860"/>
      <c r="J30" s="2860"/>
      <c r="K30" s="2861"/>
      <c r="L30" s="2"/>
      <c r="M30" s="74"/>
      <c r="N30" s="30"/>
      <c r="O30" s="64"/>
      <c r="P30" s="30"/>
      <c r="Q30" s="30"/>
      <c r="R30" s="71"/>
    </row>
    <row r="31" spans="1:21" s="72" customFormat="1">
      <c r="A31" s="36"/>
      <c r="B31" s="47"/>
      <c r="C31" s="2862"/>
      <c r="D31" s="2863"/>
      <c r="E31" s="2863"/>
      <c r="F31" s="2864"/>
      <c r="G31" s="82"/>
      <c r="H31" s="2862"/>
      <c r="I31" s="2863"/>
      <c r="J31" s="2863"/>
      <c r="K31" s="2864"/>
      <c r="L31" s="2"/>
      <c r="M31" s="74"/>
      <c r="N31" s="30"/>
      <c r="O31" s="64"/>
      <c r="P31" s="30"/>
      <c r="Q31" s="30"/>
      <c r="R31" s="71"/>
    </row>
    <row r="32" spans="1:21" s="72" customFormat="1">
      <c r="A32" s="36"/>
      <c r="B32" s="47"/>
      <c r="C32" s="82"/>
      <c r="D32" s="82"/>
      <c r="E32" s="82"/>
      <c r="F32" s="82"/>
      <c r="G32" s="47" t="s">
        <v>497</v>
      </c>
      <c r="H32" s="82"/>
      <c r="I32" s="82"/>
      <c r="J32" s="82"/>
      <c r="K32" s="83"/>
      <c r="L32" s="2"/>
      <c r="M32" s="74"/>
      <c r="N32" s="30"/>
      <c r="O32" s="64"/>
      <c r="P32" s="30"/>
      <c r="Q32" s="30"/>
      <c r="R32" s="71"/>
    </row>
    <row r="33" spans="1:26" s="72" customFormat="1">
      <c r="A33" s="36"/>
      <c r="B33" s="47"/>
      <c r="C33" s="82"/>
      <c r="D33" s="82"/>
      <c r="E33" s="82"/>
      <c r="F33" s="82"/>
      <c r="G33" s="84" t="s">
        <v>498</v>
      </c>
      <c r="H33" s="2678"/>
      <c r="I33" s="85"/>
      <c r="J33" s="85"/>
      <c r="K33" s="83"/>
      <c r="L33" s="2"/>
      <c r="M33" s="74"/>
      <c r="N33" s="30"/>
      <c r="O33" s="64"/>
      <c r="P33" s="30"/>
      <c r="Q33" s="30"/>
      <c r="R33" s="71"/>
    </row>
    <row r="34" spans="1:26" s="72" customFormat="1">
      <c r="A34" s="36"/>
      <c r="B34" s="47"/>
      <c r="C34" s="82"/>
      <c r="D34" s="82"/>
      <c r="E34" s="82"/>
      <c r="F34" s="82"/>
      <c r="G34" s="84" t="s">
        <v>499</v>
      </c>
      <c r="H34" s="2678"/>
      <c r="I34" s="85"/>
      <c r="J34" s="85"/>
      <c r="K34" s="83"/>
      <c r="L34" s="82"/>
      <c r="M34" s="74"/>
      <c r="N34" s="30"/>
      <c r="O34" s="64"/>
      <c r="P34" s="30"/>
      <c r="Q34" s="30"/>
      <c r="R34" s="71"/>
    </row>
    <row r="35" spans="1:26" s="72" customFormat="1">
      <c r="A35" s="36"/>
      <c r="B35" s="47"/>
      <c r="C35" s="82"/>
      <c r="D35" s="82"/>
      <c r="E35" s="82"/>
      <c r="F35" s="82"/>
      <c r="G35" s="84" t="s">
        <v>500</v>
      </c>
      <c r="H35" s="2678"/>
      <c r="I35" s="85"/>
      <c r="J35" s="85"/>
      <c r="K35" s="83"/>
      <c r="L35" s="82"/>
      <c r="M35" s="74"/>
      <c r="N35" s="30"/>
      <c r="O35" s="64"/>
      <c r="P35" s="30"/>
      <c r="Q35" s="30"/>
      <c r="R35" s="71"/>
    </row>
    <row r="36" spans="1:26" s="72" customFormat="1">
      <c r="A36" s="36"/>
      <c r="B36" s="47"/>
      <c r="C36" s="82"/>
      <c r="D36" s="82"/>
      <c r="E36" s="82"/>
      <c r="F36" s="82"/>
      <c r="G36" s="84" t="s">
        <v>501</v>
      </c>
      <c r="H36" s="2679"/>
      <c r="I36" s="85"/>
      <c r="J36" s="85"/>
      <c r="K36" s="83"/>
      <c r="L36" s="82"/>
      <c r="M36" s="74"/>
      <c r="N36" s="30"/>
      <c r="O36" s="64"/>
      <c r="P36" s="30"/>
    </row>
    <row r="37" spans="1:26" s="72" customFormat="1">
      <c r="A37" s="36"/>
      <c r="B37" s="47"/>
      <c r="C37" s="82"/>
      <c r="D37" s="82"/>
      <c r="E37" s="82"/>
      <c r="F37" s="82"/>
      <c r="G37" s="47" t="s">
        <v>502</v>
      </c>
      <c r="H37" s="2865"/>
      <c r="I37" s="2866"/>
      <c r="J37" s="2866"/>
      <c r="K37" s="2867"/>
      <c r="L37" s="82"/>
      <c r="M37" s="74"/>
      <c r="N37" s="30"/>
      <c r="O37" s="64"/>
      <c r="P37" s="30"/>
    </row>
    <row r="38" spans="1:26" s="72" customFormat="1">
      <c r="A38" s="86"/>
      <c r="B38" s="87" t="s">
        <v>503</v>
      </c>
      <c r="C38" s="88"/>
      <c r="D38" s="88"/>
      <c r="E38" s="88"/>
      <c r="F38" s="88"/>
      <c r="G38" s="88"/>
      <c r="H38" s="88"/>
      <c r="I38" s="88"/>
      <c r="J38" s="88"/>
      <c r="K38" s="89"/>
      <c r="L38" s="82"/>
      <c r="M38" s="74"/>
      <c r="N38" s="30"/>
      <c r="O38" t="s">
        <v>807</v>
      </c>
      <c r="P38"/>
      <c r="Q38" s="1" t="s">
        <v>808</v>
      </c>
      <c r="R38" s="1" t="s">
        <v>809</v>
      </c>
    </row>
    <row r="39" spans="1:26" s="23" customFormat="1">
      <c r="A39" s="86"/>
      <c r="B39" s="90" t="s">
        <v>504</v>
      </c>
      <c r="C39" s="2680"/>
      <c r="D39" s="91"/>
      <c r="E39" s="91"/>
      <c r="F39" s="91"/>
      <c r="G39" s="90" t="s">
        <v>504</v>
      </c>
      <c r="H39" s="2680"/>
      <c r="I39" s="2850" t="s">
        <v>812</v>
      </c>
      <c r="J39" s="2851"/>
      <c r="K39" s="2852"/>
      <c r="L39" s="82"/>
      <c r="M39" s="74"/>
      <c r="N39" s="1989" t="s">
        <v>214</v>
      </c>
      <c r="O39" t="s">
        <v>810</v>
      </c>
      <c r="P39"/>
      <c r="Q39" s="1" t="s">
        <v>810</v>
      </c>
      <c r="R39" s="1" t="s">
        <v>811</v>
      </c>
    </row>
    <row r="40" spans="1:26" s="23" customFormat="1">
      <c r="A40" s="86"/>
      <c r="B40" s="90" t="s">
        <v>505</v>
      </c>
      <c r="C40" s="2672"/>
      <c r="D40" s="67"/>
      <c r="E40" s="67"/>
      <c r="F40" s="67"/>
      <c r="G40" s="90" t="s">
        <v>505</v>
      </c>
      <c r="H40" s="2672"/>
      <c r="I40" s="67"/>
      <c r="J40" s="67"/>
      <c r="K40" s="42"/>
      <c r="L40" s="82"/>
      <c r="M40" s="74"/>
      <c r="N40" s="1989" t="s">
        <v>215</v>
      </c>
      <c r="O40" t="s">
        <v>812</v>
      </c>
      <c r="P40"/>
      <c r="Q40" s="1" t="s">
        <v>812</v>
      </c>
      <c r="R40" s="1" t="s">
        <v>813</v>
      </c>
    </row>
    <row r="41" spans="1:26" s="23" customFormat="1">
      <c r="A41" s="92"/>
      <c r="B41" s="90" t="s">
        <v>506</v>
      </c>
      <c r="C41" s="2681"/>
      <c r="D41" s="91"/>
      <c r="E41" s="91"/>
      <c r="F41" s="91"/>
      <c r="G41" s="90" t="s">
        <v>506</v>
      </c>
      <c r="H41" s="2681"/>
      <c r="I41" s="91"/>
      <c r="J41" s="91"/>
      <c r="K41" s="42"/>
      <c r="L41" s="82"/>
      <c r="M41" s="74"/>
      <c r="N41" s="1990"/>
      <c r="O41" t="s">
        <v>814</v>
      </c>
      <c r="P41"/>
      <c r="Q41" s="1" t="s">
        <v>814</v>
      </c>
      <c r="R41" s="1"/>
    </row>
    <row r="42" spans="1:26" s="23" customFormat="1">
      <c r="A42" s="92"/>
      <c r="B42" s="90" t="s">
        <v>507</v>
      </c>
      <c r="C42" s="2672"/>
      <c r="D42" s="67"/>
      <c r="E42" s="67"/>
      <c r="F42" s="67"/>
      <c r="G42" s="90" t="s">
        <v>507</v>
      </c>
      <c r="H42" s="2672"/>
      <c r="I42" s="67"/>
      <c r="J42" s="67"/>
      <c r="K42" s="42"/>
      <c r="L42" s="82"/>
      <c r="M42" s="74"/>
      <c r="N42" s="30"/>
      <c r="O42" s="1">
        <f>IF(I39=O39,1,2)</f>
        <v>2</v>
      </c>
      <c r="P42"/>
      <c r="Q42"/>
      <c r="R42"/>
      <c r="T42" s="93"/>
      <c r="U42" s="35"/>
      <c r="V42" s="93"/>
    </row>
    <row r="43" spans="1:26" s="23" customFormat="1" ht="26.25" customHeight="1" thickBot="1">
      <c r="A43" s="92"/>
      <c r="B43" s="94" t="s">
        <v>508</v>
      </c>
      <c r="C43" s="2682" t="str">
        <f>H43</f>
        <v>標準計算</v>
      </c>
      <c r="D43" s="2853" t="str">
        <f>IF(C43=$N43,$P43,$P44)</f>
        <v>→LCCO2算定条件シート（標準計算）を入力</v>
      </c>
      <c r="E43" s="2854"/>
      <c r="F43" s="2855">
        <f>IF(D43=I43,M43,M44)</f>
        <v>0</v>
      </c>
      <c r="G43" s="94" t="s">
        <v>508</v>
      </c>
      <c r="H43" s="2683" t="s">
        <v>509</v>
      </c>
      <c r="I43" s="2853" t="str">
        <f>IF(H43=$N43,$P43,$P44)</f>
        <v>→LCCO2算定条件シート（標準計算）を入力</v>
      </c>
      <c r="J43" s="2854"/>
      <c r="K43" s="2855">
        <f>IF(I43=O43,Q43,Q44)</f>
        <v>0</v>
      </c>
      <c r="L43" s="82"/>
      <c r="M43" s="74"/>
      <c r="N43" s="50" t="s">
        <v>509</v>
      </c>
      <c r="O43" s="50"/>
      <c r="P43" s="50" t="s">
        <v>510</v>
      </c>
      <c r="Q43" s="30"/>
      <c r="R43" s="30"/>
      <c r="S43" s="21"/>
      <c r="T43" s="95"/>
      <c r="U43" s="96"/>
      <c r="V43" s="95"/>
    </row>
    <row r="44" spans="1:26" s="23" customFormat="1" ht="14.25" thickBot="1">
      <c r="A44" s="97"/>
      <c r="B44" s="98"/>
      <c r="C44" s="98"/>
      <c r="D44" s="98"/>
      <c r="E44" s="98"/>
      <c r="F44" s="98"/>
      <c r="G44" s="99"/>
      <c r="H44" s="99"/>
      <c r="I44" s="99"/>
      <c r="J44" s="99"/>
      <c r="K44" s="99"/>
      <c r="L44" s="82"/>
      <c r="M44" s="74"/>
      <c r="N44" s="50" t="s">
        <v>511</v>
      </c>
      <c r="O44" s="50"/>
      <c r="P44" s="50" t="s">
        <v>512</v>
      </c>
      <c r="Q44" s="30"/>
      <c r="R44" s="30"/>
      <c r="S44" s="21"/>
      <c r="T44" s="95"/>
      <c r="U44" s="96"/>
      <c r="V44" s="95"/>
    </row>
    <row r="45" spans="1:26" s="50" customFormat="1">
      <c r="A45" s="97"/>
      <c r="B45" s="100" t="s">
        <v>513</v>
      </c>
      <c r="C45" s="101"/>
      <c r="D45" s="101"/>
      <c r="E45" s="101"/>
      <c r="F45" s="101"/>
      <c r="G45" s="101"/>
      <c r="H45" s="101"/>
      <c r="I45" s="101"/>
      <c r="J45" s="101"/>
      <c r="K45" s="102"/>
      <c r="L45" s="82"/>
      <c r="M45" s="74"/>
      <c r="N45" s="45"/>
      <c r="O45" s="45"/>
      <c r="P45" s="45"/>
      <c r="Q45" s="45"/>
      <c r="R45" s="29"/>
      <c r="S45" s="21"/>
      <c r="T45" s="95"/>
      <c r="U45" s="96"/>
      <c r="V45" s="95"/>
    </row>
    <row r="46" spans="1:26" s="50" customFormat="1" ht="14.25" thickBot="1">
      <c r="A46" s="97"/>
      <c r="B46" s="103" t="s">
        <v>454</v>
      </c>
      <c r="C46" s="104"/>
      <c r="D46" s="105"/>
      <c r="E46" s="105"/>
      <c r="F46" s="105"/>
      <c r="G46" s="105"/>
      <c r="H46" s="105"/>
      <c r="I46" s="105"/>
      <c r="J46" s="105"/>
      <c r="K46" s="106"/>
      <c r="L46" s="82"/>
      <c r="M46" s="74"/>
      <c r="N46" s="107" t="s">
        <v>514</v>
      </c>
      <c r="O46" s="108" t="s">
        <v>515</v>
      </c>
      <c r="P46" s="70" t="s">
        <v>1757</v>
      </c>
      <c r="Q46" s="107" t="s">
        <v>516</v>
      </c>
      <c r="R46" s="29"/>
      <c r="S46" s="21"/>
      <c r="T46" s="95"/>
      <c r="U46" s="107" t="s">
        <v>517</v>
      </c>
      <c r="V46" s="108" t="s">
        <v>515</v>
      </c>
      <c r="W46" s="70" t="s">
        <v>1757</v>
      </c>
      <c r="X46" s="107" t="s">
        <v>516</v>
      </c>
      <c r="Y46" s="29"/>
      <c r="Z46" s="21"/>
    </row>
    <row r="47" spans="1:26" s="50" customFormat="1">
      <c r="A47" s="97"/>
      <c r="B47" s="2115" t="s">
        <v>1160</v>
      </c>
      <c r="C47" s="2671">
        <f>E47+E48</f>
        <v>0</v>
      </c>
      <c r="D47" s="63" t="s">
        <v>1161</v>
      </c>
      <c r="E47" s="2685"/>
      <c r="F47" s="2116" t="s">
        <v>476</v>
      </c>
      <c r="G47" s="2115" t="s">
        <v>1160</v>
      </c>
      <c r="H47" s="2671">
        <f>J47+J48</f>
        <v>0</v>
      </c>
      <c r="I47" s="63" t="s">
        <v>1161</v>
      </c>
      <c r="J47" s="2685"/>
      <c r="K47" s="2116" t="s">
        <v>476</v>
      </c>
      <c r="L47" s="82"/>
      <c r="M47" s="74"/>
      <c r="N47" s="110" t="s">
        <v>519</v>
      </c>
      <c r="O47" s="111">
        <f>C47</f>
        <v>0</v>
      </c>
      <c r="P47" s="70" t="e">
        <f>O47/O$67</f>
        <v>#DIV/0!</v>
      </c>
      <c r="Q47" s="110"/>
      <c r="R47" s="112">
        <f>IF(O47=0,0,RANK(O47,$O$47:$O$63))</f>
        <v>0</v>
      </c>
      <c r="S47" s="70" t="str">
        <f>IF(AND(0&lt;R47,R47&lt;4),N47&amp;",","")</f>
        <v/>
      </c>
      <c r="T47" s="95"/>
      <c r="U47" s="110" t="s">
        <v>519</v>
      </c>
      <c r="V47" s="111">
        <f>H47</f>
        <v>0</v>
      </c>
      <c r="W47" s="70" t="e">
        <f>V47/V$67</f>
        <v>#DIV/0!</v>
      </c>
      <c r="X47" s="110"/>
      <c r="Y47" s="112">
        <f>IF(V47=0,0,RANK(V47,$V$47:$V$63))</f>
        <v>0</v>
      </c>
      <c r="Z47" s="70" t="str">
        <f>IF(AND(0&lt;Y47,Y47&lt;4),U47&amp;",","")</f>
        <v/>
      </c>
    </row>
    <row r="48" spans="1:26" s="50" customFormat="1">
      <c r="A48" s="97"/>
      <c r="B48" s="109"/>
      <c r="C48" s="63"/>
      <c r="D48" s="2117" t="s">
        <v>1162</v>
      </c>
      <c r="E48" s="2685"/>
      <c r="F48" s="2116" t="s">
        <v>1163</v>
      </c>
      <c r="G48" s="109"/>
      <c r="H48" s="63"/>
      <c r="I48" s="2117" t="s">
        <v>1162</v>
      </c>
      <c r="J48" s="2685"/>
      <c r="K48" s="2116" t="s">
        <v>1163</v>
      </c>
      <c r="L48" s="82"/>
      <c r="M48" s="74"/>
      <c r="N48" s="110"/>
      <c r="O48" s="111"/>
      <c r="P48" s="70" t="e">
        <f t="shared" ref="P48:P62" si="0">O48/O$67</f>
        <v>#DIV/0!</v>
      </c>
      <c r="Q48" s="110"/>
      <c r="R48" s="112">
        <f t="shared" ref="R48:R63" si="1">IF(O48=0,0,RANK(O48,$O$47:$O$63))</f>
        <v>0</v>
      </c>
      <c r="S48" s="70" t="str">
        <f t="shared" ref="S48:S63" si="2">IF(AND(0&lt;R48,R48&lt;4),N48&amp;",","")</f>
        <v/>
      </c>
      <c r="T48" s="95"/>
      <c r="U48" s="110"/>
      <c r="V48" s="111"/>
      <c r="W48" s="70" t="e">
        <f t="shared" ref="W48:W62" si="3">V48/V$67</f>
        <v>#DIV/0!</v>
      </c>
      <c r="X48" s="110"/>
      <c r="Y48" s="112">
        <f t="shared" ref="Y48:Y63" si="4">IF(V48=0,0,RANK(V48,$V$47:$V$63))</f>
        <v>0</v>
      </c>
      <c r="Z48" s="70" t="str">
        <f t="shared" ref="Z48:Z63" si="5">IF(AND(0&lt;Y48,Y48&lt;4),U48&amp;",","")</f>
        <v/>
      </c>
    </row>
    <row r="49" spans="1:26" s="50" customFormat="1">
      <c r="A49" s="97"/>
      <c r="B49" s="109" t="s">
        <v>520</v>
      </c>
      <c r="C49" s="2671">
        <f>SUM(E49:E53)</f>
        <v>0</v>
      </c>
      <c r="D49" s="63" t="s">
        <v>1164</v>
      </c>
      <c r="E49" s="2685"/>
      <c r="F49" s="2116" t="s">
        <v>1163</v>
      </c>
      <c r="G49" s="109" t="s">
        <v>520</v>
      </c>
      <c r="H49" s="2671">
        <f>SUM(J49:J53)</f>
        <v>0</v>
      </c>
      <c r="I49" s="63" t="s">
        <v>1164</v>
      </c>
      <c r="J49" s="2685"/>
      <c r="K49" s="2116" t="s">
        <v>1163</v>
      </c>
      <c r="L49" s="82"/>
      <c r="M49" s="74"/>
      <c r="N49" s="110" t="s">
        <v>521</v>
      </c>
      <c r="O49" s="111">
        <f>C49</f>
        <v>0</v>
      </c>
      <c r="P49" s="70" t="e">
        <f t="shared" si="0"/>
        <v>#DIV/0!</v>
      </c>
      <c r="Q49" s="110"/>
      <c r="R49" s="112">
        <f t="shared" si="1"/>
        <v>0</v>
      </c>
      <c r="S49" s="70" t="str">
        <f t="shared" si="2"/>
        <v/>
      </c>
      <c r="T49" s="95"/>
      <c r="U49" s="110" t="s">
        <v>521</v>
      </c>
      <c r="V49" s="111">
        <f>H49</f>
        <v>0</v>
      </c>
      <c r="W49" s="70" t="e">
        <f t="shared" si="3"/>
        <v>#DIV/0!</v>
      </c>
      <c r="X49" s="110"/>
      <c r="Y49" s="112">
        <f t="shared" si="4"/>
        <v>0</v>
      </c>
      <c r="Z49" s="70" t="str">
        <f t="shared" si="5"/>
        <v/>
      </c>
    </row>
    <row r="50" spans="1:26" s="50" customFormat="1">
      <c r="A50" s="97"/>
      <c r="B50" s="109"/>
      <c r="C50" s="63"/>
      <c r="D50" s="2117" t="s">
        <v>1858</v>
      </c>
      <c r="E50" s="2685"/>
      <c r="F50" s="2116" t="s">
        <v>1163</v>
      </c>
      <c r="G50" s="109"/>
      <c r="H50" s="63"/>
      <c r="I50" s="2117" t="s">
        <v>1858</v>
      </c>
      <c r="J50" s="2685"/>
      <c r="K50" s="2116" t="s">
        <v>1163</v>
      </c>
      <c r="L50" s="82"/>
      <c r="M50" s="74"/>
      <c r="N50" s="110"/>
      <c r="O50" s="111"/>
      <c r="P50" s="70" t="e">
        <f t="shared" si="0"/>
        <v>#DIV/0!</v>
      </c>
      <c r="Q50" s="110"/>
      <c r="R50" s="112">
        <f t="shared" si="1"/>
        <v>0</v>
      </c>
      <c r="S50" s="70" t="str">
        <f t="shared" si="2"/>
        <v/>
      </c>
      <c r="T50" s="95"/>
      <c r="U50" s="110"/>
      <c r="V50" s="111"/>
      <c r="W50" s="70" t="e">
        <f t="shared" si="3"/>
        <v>#DIV/0!</v>
      </c>
      <c r="X50" s="110"/>
      <c r="Y50" s="112">
        <f t="shared" si="4"/>
        <v>0</v>
      </c>
      <c r="Z50" s="70" t="str">
        <f t="shared" si="5"/>
        <v/>
      </c>
    </row>
    <row r="51" spans="1:26" s="50" customFormat="1" hidden="1">
      <c r="A51" s="97"/>
      <c r="B51" s="109"/>
      <c r="C51" s="63"/>
      <c r="D51" s="2117" t="s">
        <v>1156</v>
      </c>
      <c r="E51" s="2685"/>
      <c r="F51" s="2116" t="s">
        <v>1163</v>
      </c>
      <c r="G51" s="109"/>
      <c r="H51" s="63"/>
      <c r="I51" s="2117" t="s">
        <v>1156</v>
      </c>
      <c r="J51" s="2685"/>
      <c r="K51" s="2116" t="s">
        <v>1163</v>
      </c>
      <c r="L51" s="82"/>
      <c r="M51" s="74"/>
      <c r="N51" s="110"/>
      <c r="O51" s="111"/>
      <c r="P51" s="70" t="e">
        <f t="shared" si="0"/>
        <v>#DIV/0!</v>
      </c>
      <c r="Q51" s="110"/>
      <c r="R51" s="112">
        <f t="shared" si="1"/>
        <v>0</v>
      </c>
      <c r="S51" s="70" t="str">
        <f t="shared" si="2"/>
        <v/>
      </c>
      <c r="T51" s="95"/>
      <c r="U51" s="110"/>
      <c r="V51" s="111"/>
      <c r="W51" s="70" t="e">
        <f t="shared" si="3"/>
        <v>#DIV/0!</v>
      </c>
      <c r="X51" s="110"/>
      <c r="Y51" s="112">
        <f t="shared" si="4"/>
        <v>0</v>
      </c>
      <c r="Z51" s="70" t="str">
        <f t="shared" si="5"/>
        <v/>
      </c>
    </row>
    <row r="52" spans="1:26" s="50" customFormat="1">
      <c r="A52" s="97"/>
      <c r="B52" s="109"/>
      <c r="C52" s="63"/>
      <c r="D52" s="2117" t="s">
        <v>1165</v>
      </c>
      <c r="E52" s="2685"/>
      <c r="F52" s="2116" t="s">
        <v>1163</v>
      </c>
      <c r="G52" s="109"/>
      <c r="H52" s="63"/>
      <c r="I52" s="2117" t="s">
        <v>1165</v>
      </c>
      <c r="J52" s="2685"/>
      <c r="K52" s="2116" t="s">
        <v>1163</v>
      </c>
      <c r="L52" s="82"/>
      <c r="M52" s="74"/>
      <c r="N52" s="110"/>
      <c r="O52" s="111"/>
      <c r="P52" s="70" t="e">
        <f t="shared" si="0"/>
        <v>#DIV/0!</v>
      </c>
      <c r="Q52" s="110"/>
      <c r="R52" s="112">
        <f t="shared" si="1"/>
        <v>0</v>
      </c>
      <c r="S52" s="70" t="str">
        <f t="shared" si="2"/>
        <v/>
      </c>
      <c r="T52" s="95"/>
      <c r="U52" s="110"/>
      <c r="V52" s="111"/>
      <c r="W52" s="70" t="e">
        <f t="shared" si="3"/>
        <v>#DIV/0!</v>
      </c>
      <c r="X52" s="110"/>
      <c r="Y52" s="112">
        <f t="shared" si="4"/>
        <v>0</v>
      </c>
      <c r="Z52" s="70" t="str">
        <f t="shared" si="5"/>
        <v/>
      </c>
    </row>
    <row r="53" spans="1:26" s="50" customFormat="1">
      <c r="A53" s="97"/>
      <c r="B53" s="109"/>
      <c r="C53" s="63"/>
      <c r="D53" s="2117" t="s">
        <v>1166</v>
      </c>
      <c r="E53" s="2685"/>
      <c r="F53" s="2116" t="s">
        <v>1163</v>
      </c>
      <c r="G53" s="109"/>
      <c r="H53" s="63"/>
      <c r="I53" s="2117" t="s">
        <v>1166</v>
      </c>
      <c r="J53" s="2685"/>
      <c r="K53" s="2116" t="s">
        <v>1163</v>
      </c>
      <c r="L53" s="82"/>
      <c r="M53" s="74"/>
      <c r="N53" s="110"/>
      <c r="O53" s="111"/>
      <c r="P53" s="70" t="e">
        <f t="shared" si="0"/>
        <v>#DIV/0!</v>
      </c>
      <c r="Q53" s="110"/>
      <c r="R53" s="112">
        <f t="shared" si="1"/>
        <v>0</v>
      </c>
      <c r="S53" s="70" t="str">
        <f t="shared" si="2"/>
        <v/>
      </c>
      <c r="T53" s="95"/>
      <c r="U53" s="110"/>
      <c r="V53" s="111"/>
      <c r="W53" s="70" t="e">
        <f t="shared" si="3"/>
        <v>#DIV/0!</v>
      </c>
      <c r="X53" s="110"/>
      <c r="Y53" s="112">
        <f t="shared" si="4"/>
        <v>0</v>
      </c>
      <c r="Z53" s="70" t="str">
        <f t="shared" si="5"/>
        <v/>
      </c>
    </row>
    <row r="54" spans="1:26" s="50" customFormat="1">
      <c r="A54" s="97"/>
      <c r="B54" s="109" t="s">
        <v>522</v>
      </c>
      <c r="C54" s="2671">
        <f>E54+E55</f>
        <v>0</v>
      </c>
      <c r="D54" s="63" t="s">
        <v>1167</v>
      </c>
      <c r="E54" s="2685"/>
      <c r="F54" s="2116" t="s">
        <v>1163</v>
      </c>
      <c r="G54" s="109" t="s">
        <v>522</v>
      </c>
      <c r="H54" s="2671">
        <f>J54+J55</f>
        <v>0</v>
      </c>
      <c r="I54" s="63" t="s">
        <v>1167</v>
      </c>
      <c r="J54" s="2685"/>
      <c r="K54" s="2116" t="s">
        <v>1163</v>
      </c>
      <c r="L54" s="82"/>
      <c r="M54" s="74"/>
      <c r="N54" s="110" t="s">
        <v>523</v>
      </c>
      <c r="O54" s="111">
        <f>C54</f>
        <v>0</v>
      </c>
      <c r="P54" s="70" t="e">
        <f t="shared" si="0"/>
        <v>#DIV/0!</v>
      </c>
      <c r="Q54" s="110"/>
      <c r="R54" s="112">
        <f t="shared" si="1"/>
        <v>0</v>
      </c>
      <c r="S54" s="70" t="str">
        <f t="shared" si="2"/>
        <v/>
      </c>
      <c r="T54" s="95"/>
      <c r="U54" s="110" t="s">
        <v>523</v>
      </c>
      <c r="V54" s="111">
        <f>H54</f>
        <v>0</v>
      </c>
      <c r="W54" s="70" t="e">
        <f t="shared" si="3"/>
        <v>#DIV/0!</v>
      </c>
      <c r="X54" s="110"/>
      <c r="Y54" s="112">
        <f t="shared" si="4"/>
        <v>0</v>
      </c>
      <c r="Z54" s="70" t="str">
        <f t="shared" si="5"/>
        <v/>
      </c>
    </row>
    <row r="55" spans="1:26" s="50" customFormat="1">
      <c r="A55" s="97"/>
      <c r="B55" s="109"/>
      <c r="C55" s="63"/>
      <c r="D55" s="2117" t="s">
        <v>1168</v>
      </c>
      <c r="E55" s="2685"/>
      <c r="F55" s="2116" t="s">
        <v>1163</v>
      </c>
      <c r="G55" s="109"/>
      <c r="H55" s="63"/>
      <c r="I55" s="2117" t="s">
        <v>1168</v>
      </c>
      <c r="J55" s="2685"/>
      <c r="K55" s="2116" t="s">
        <v>1163</v>
      </c>
      <c r="L55" s="82"/>
      <c r="M55" s="74"/>
      <c r="N55" s="110"/>
      <c r="O55" s="111"/>
      <c r="P55" s="70" t="e">
        <f t="shared" si="0"/>
        <v>#DIV/0!</v>
      </c>
      <c r="Q55" s="110"/>
      <c r="R55" s="112">
        <f t="shared" si="1"/>
        <v>0</v>
      </c>
      <c r="S55" s="70" t="str">
        <f t="shared" si="2"/>
        <v/>
      </c>
      <c r="T55" s="95"/>
      <c r="U55" s="110"/>
      <c r="V55" s="111"/>
      <c r="W55" s="70" t="e">
        <f t="shared" si="3"/>
        <v>#DIV/0!</v>
      </c>
      <c r="X55" s="110"/>
      <c r="Y55" s="112">
        <f t="shared" si="4"/>
        <v>0</v>
      </c>
      <c r="Z55" s="70" t="str">
        <f t="shared" si="5"/>
        <v/>
      </c>
    </row>
    <row r="56" spans="1:26" s="50" customFormat="1">
      <c r="A56" s="97"/>
      <c r="B56" s="109" t="s">
        <v>524</v>
      </c>
      <c r="C56" s="2684"/>
      <c r="D56" s="63" t="s">
        <v>1163</v>
      </c>
      <c r="E56" s="63"/>
      <c r="F56" s="2116"/>
      <c r="G56" s="109" t="s">
        <v>524</v>
      </c>
      <c r="H56" s="2684"/>
      <c r="I56" s="63" t="s">
        <v>1163</v>
      </c>
      <c r="J56" s="63"/>
      <c r="K56" s="2116"/>
      <c r="L56" s="82"/>
      <c r="M56" s="74"/>
      <c r="N56" s="110" t="s">
        <v>525</v>
      </c>
      <c r="O56" s="111">
        <f>C56</f>
        <v>0</v>
      </c>
      <c r="P56" s="70" t="e">
        <f t="shared" si="0"/>
        <v>#DIV/0!</v>
      </c>
      <c r="Q56" s="110"/>
      <c r="R56" s="112">
        <f t="shared" si="1"/>
        <v>0</v>
      </c>
      <c r="S56" s="70" t="str">
        <f t="shared" si="2"/>
        <v/>
      </c>
      <c r="T56" s="95"/>
      <c r="U56" s="110" t="s">
        <v>525</v>
      </c>
      <c r="V56" s="111">
        <f>H56</f>
        <v>0</v>
      </c>
      <c r="W56" s="70" t="e">
        <f t="shared" si="3"/>
        <v>#DIV/0!</v>
      </c>
      <c r="X56" s="110"/>
      <c r="Y56" s="112">
        <f t="shared" si="4"/>
        <v>0</v>
      </c>
      <c r="Z56" s="70" t="str">
        <f t="shared" si="5"/>
        <v/>
      </c>
    </row>
    <row r="57" spans="1:26" s="50" customFormat="1">
      <c r="A57" s="97"/>
      <c r="B57" s="109" t="s">
        <v>526</v>
      </c>
      <c r="C57" s="2671">
        <f>E57+E58+E59</f>
        <v>0</v>
      </c>
      <c r="D57" s="63" t="s">
        <v>1169</v>
      </c>
      <c r="E57" s="2685"/>
      <c r="F57" s="2116" t="s">
        <v>1163</v>
      </c>
      <c r="G57" s="109" t="s">
        <v>526</v>
      </c>
      <c r="H57" s="2671">
        <f>J57+J58+J59</f>
        <v>0</v>
      </c>
      <c r="I57" s="63" t="s">
        <v>1169</v>
      </c>
      <c r="J57" s="2685"/>
      <c r="K57" s="2116" t="s">
        <v>1163</v>
      </c>
      <c r="L57" s="82"/>
      <c r="M57" s="74"/>
      <c r="N57" s="110" t="s">
        <v>527</v>
      </c>
      <c r="O57" s="111">
        <f>C57</f>
        <v>0</v>
      </c>
      <c r="P57" s="70" t="e">
        <f t="shared" si="0"/>
        <v>#DIV/0!</v>
      </c>
      <c r="Q57" s="110"/>
      <c r="R57" s="112">
        <f t="shared" si="1"/>
        <v>0</v>
      </c>
      <c r="S57" s="70" t="str">
        <f t="shared" si="2"/>
        <v/>
      </c>
      <c r="T57" s="95"/>
      <c r="U57" s="110" t="s">
        <v>527</v>
      </c>
      <c r="V57" s="111">
        <f>H57</f>
        <v>0</v>
      </c>
      <c r="W57" s="70" t="e">
        <f t="shared" si="3"/>
        <v>#DIV/0!</v>
      </c>
      <c r="X57" s="110"/>
      <c r="Y57" s="112">
        <f t="shared" si="4"/>
        <v>0</v>
      </c>
      <c r="Z57" s="70" t="str">
        <f t="shared" si="5"/>
        <v/>
      </c>
    </row>
    <row r="58" spans="1:26" s="50" customFormat="1">
      <c r="A58" s="97"/>
      <c r="B58" s="109"/>
      <c r="C58" s="63"/>
      <c r="D58" s="2117" t="s">
        <v>1170</v>
      </c>
      <c r="E58" s="2685"/>
      <c r="F58" s="2116" t="s">
        <v>1163</v>
      </c>
      <c r="G58" s="109"/>
      <c r="H58" s="63"/>
      <c r="I58" s="2117" t="s">
        <v>1170</v>
      </c>
      <c r="J58" s="2685"/>
      <c r="K58" s="2116" t="s">
        <v>1163</v>
      </c>
      <c r="L58" s="82"/>
      <c r="M58" s="74"/>
      <c r="N58" s="110"/>
      <c r="O58" s="111"/>
      <c r="P58" s="70" t="e">
        <f t="shared" si="0"/>
        <v>#DIV/0!</v>
      </c>
      <c r="Q58" s="110"/>
      <c r="R58" s="112">
        <f t="shared" si="1"/>
        <v>0</v>
      </c>
      <c r="S58" s="70" t="str">
        <f t="shared" si="2"/>
        <v/>
      </c>
      <c r="T58" s="95"/>
      <c r="U58" s="110"/>
      <c r="V58" s="111"/>
      <c r="W58" s="70" t="e">
        <f t="shared" si="3"/>
        <v>#DIV/0!</v>
      </c>
      <c r="X58" s="110"/>
      <c r="Y58" s="112">
        <f t="shared" si="4"/>
        <v>0</v>
      </c>
      <c r="Z58" s="70" t="str">
        <f t="shared" si="5"/>
        <v/>
      </c>
    </row>
    <row r="59" spans="1:26" s="50" customFormat="1">
      <c r="A59" s="97"/>
      <c r="B59" s="109"/>
      <c r="C59" s="63"/>
      <c r="D59" s="2117" t="s">
        <v>1171</v>
      </c>
      <c r="E59" s="2685"/>
      <c r="F59" s="2116" t="s">
        <v>1163</v>
      </c>
      <c r="G59" s="109"/>
      <c r="H59" s="63"/>
      <c r="I59" s="2117" t="s">
        <v>1171</v>
      </c>
      <c r="J59" s="2685"/>
      <c r="K59" s="2116" t="s">
        <v>1163</v>
      </c>
      <c r="L59" s="82"/>
      <c r="M59" s="74"/>
      <c r="N59" s="110"/>
      <c r="O59" s="111"/>
      <c r="P59" s="70" t="e">
        <f t="shared" si="0"/>
        <v>#DIV/0!</v>
      </c>
      <c r="Q59" s="110"/>
      <c r="R59" s="112">
        <f t="shared" si="1"/>
        <v>0</v>
      </c>
      <c r="S59" s="70" t="str">
        <f t="shared" si="2"/>
        <v/>
      </c>
      <c r="T59" s="95"/>
      <c r="U59" s="110"/>
      <c r="V59" s="111"/>
      <c r="W59" s="70" t="e">
        <f t="shared" si="3"/>
        <v>#DIV/0!</v>
      </c>
      <c r="X59" s="110"/>
      <c r="Y59" s="112">
        <f t="shared" si="4"/>
        <v>0</v>
      </c>
      <c r="Z59" s="70" t="str">
        <f t="shared" si="5"/>
        <v/>
      </c>
    </row>
    <row r="60" spans="1:26" s="50" customFormat="1">
      <c r="A60" s="97"/>
      <c r="B60" s="109" t="s">
        <v>528</v>
      </c>
      <c r="C60" s="2685"/>
      <c r="D60" s="63" t="s">
        <v>1163</v>
      </c>
      <c r="E60" s="63"/>
      <c r="F60" s="2116"/>
      <c r="G60" s="109" t="s">
        <v>528</v>
      </c>
      <c r="H60" s="2685"/>
      <c r="I60" s="63" t="s">
        <v>1163</v>
      </c>
      <c r="J60" s="63"/>
      <c r="K60" s="2116"/>
      <c r="L60" s="82"/>
      <c r="M60" s="74"/>
      <c r="N60" s="110" t="s">
        <v>529</v>
      </c>
      <c r="O60" s="111">
        <f>C61</f>
        <v>0</v>
      </c>
      <c r="P60" s="70" t="e">
        <f t="shared" si="0"/>
        <v>#DIV/0!</v>
      </c>
      <c r="Q60" s="110">
        <f>O60*E68</f>
        <v>0</v>
      </c>
      <c r="R60" s="112">
        <f t="shared" si="1"/>
        <v>0</v>
      </c>
      <c r="S60" s="70" t="str">
        <f t="shared" si="2"/>
        <v/>
      </c>
      <c r="T60" s="95"/>
      <c r="U60" s="110" t="s">
        <v>529</v>
      </c>
      <c r="V60" s="111">
        <f>H61</f>
        <v>0</v>
      </c>
      <c r="W60" s="70" t="e">
        <f t="shared" si="3"/>
        <v>#DIV/0!</v>
      </c>
      <c r="X60" s="110">
        <f>V60*J68</f>
        <v>0</v>
      </c>
      <c r="Y60" s="112">
        <f t="shared" si="4"/>
        <v>0</v>
      </c>
      <c r="Z60" s="70" t="str">
        <f t="shared" si="5"/>
        <v/>
      </c>
    </row>
    <row r="61" spans="1:26">
      <c r="A61" s="97"/>
      <c r="B61" s="109" t="s">
        <v>530</v>
      </c>
      <c r="C61" s="2685"/>
      <c r="D61" s="63" t="s">
        <v>1163</v>
      </c>
      <c r="E61" s="63"/>
      <c r="F61" s="2116"/>
      <c r="G61" s="109" t="s">
        <v>530</v>
      </c>
      <c r="H61" s="2685"/>
      <c r="I61" s="63" t="s">
        <v>1163</v>
      </c>
      <c r="J61" s="63"/>
      <c r="K61" s="2116"/>
      <c r="L61" s="82"/>
      <c r="M61" s="74"/>
      <c r="N61" s="110" t="s">
        <v>531</v>
      </c>
      <c r="O61" s="111">
        <f>C62</f>
        <v>0</v>
      </c>
      <c r="P61" s="70" t="e">
        <f t="shared" si="0"/>
        <v>#DIV/0!</v>
      </c>
      <c r="Q61" s="110">
        <f>O61*E69</f>
        <v>0</v>
      </c>
      <c r="R61" s="112">
        <f t="shared" si="1"/>
        <v>0</v>
      </c>
      <c r="S61" s="70" t="str">
        <f>IF(AND(0&lt;R61,R61&lt;4),N61&amp;",","")</f>
        <v/>
      </c>
      <c r="T61" s="95"/>
      <c r="U61" s="110" t="s">
        <v>531</v>
      </c>
      <c r="V61" s="111">
        <f>H62</f>
        <v>0</v>
      </c>
      <c r="W61" s="70" t="e">
        <f t="shared" si="3"/>
        <v>#DIV/0!</v>
      </c>
      <c r="X61" s="110">
        <f>V61*J69</f>
        <v>0</v>
      </c>
      <c r="Y61" s="112">
        <f t="shared" si="4"/>
        <v>0</v>
      </c>
      <c r="Z61" s="70" t="str">
        <f t="shared" si="5"/>
        <v/>
      </c>
    </row>
    <row r="62" spans="1:26">
      <c r="A62" s="97"/>
      <c r="B62" s="109" t="s">
        <v>532</v>
      </c>
      <c r="C62" s="2685"/>
      <c r="D62" s="63" t="s">
        <v>1163</v>
      </c>
      <c r="E62" s="63"/>
      <c r="F62" s="2116"/>
      <c r="G62" s="109" t="s">
        <v>532</v>
      </c>
      <c r="H62" s="2685"/>
      <c r="I62" s="63" t="s">
        <v>1163</v>
      </c>
      <c r="J62" s="63"/>
      <c r="K62" s="2116"/>
      <c r="L62" s="82"/>
      <c r="M62" s="74"/>
      <c r="N62" s="110" t="s">
        <v>533</v>
      </c>
      <c r="O62" s="111">
        <f>C64</f>
        <v>0</v>
      </c>
      <c r="P62" s="70" t="e">
        <f t="shared" si="0"/>
        <v>#DIV/0!</v>
      </c>
      <c r="Q62" s="110">
        <f>O62*E70</f>
        <v>0</v>
      </c>
      <c r="R62" s="112">
        <f t="shared" si="1"/>
        <v>0</v>
      </c>
      <c r="S62" s="70" t="str">
        <f t="shared" si="2"/>
        <v/>
      </c>
      <c r="T62" s="95"/>
      <c r="U62" s="110" t="s">
        <v>533</v>
      </c>
      <c r="V62" s="111">
        <f>H64</f>
        <v>0</v>
      </c>
      <c r="W62" s="70" t="e">
        <f t="shared" si="3"/>
        <v>#DIV/0!</v>
      </c>
      <c r="X62" s="110">
        <f>V62*J70</f>
        <v>0</v>
      </c>
      <c r="Y62" s="112">
        <f t="shared" si="4"/>
        <v>0</v>
      </c>
      <c r="Z62" s="70" t="str">
        <f t="shared" si="5"/>
        <v/>
      </c>
    </row>
    <row r="63" spans="1:26">
      <c r="A63" s="97"/>
      <c r="B63" s="109" t="s">
        <v>1157</v>
      </c>
      <c r="C63" s="2671">
        <f>SUM(C47:C62)</f>
        <v>0</v>
      </c>
      <c r="D63" s="63" t="s">
        <v>1163</v>
      </c>
      <c r="E63" s="63"/>
      <c r="F63" s="2116"/>
      <c r="G63" s="109" t="s">
        <v>1157</v>
      </c>
      <c r="H63" s="2671">
        <f>SUM(H47:H62)</f>
        <v>0</v>
      </c>
      <c r="I63" s="63" t="s">
        <v>1163</v>
      </c>
      <c r="J63" s="63"/>
      <c r="K63" s="2116"/>
      <c r="L63" s="82"/>
      <c r="M63" s="74"/>
      <c r="N63" s="110" t="s">
        <v>535</v>
      </c>
      <c r="O63" s="111">
        <f>C60</f>
        <v>0</v>
      </c>
      <c r="P63" s="70" t="e">
        <f>O63/O$67</f>
        <v>#DIV/0!</v>
      </c>
      <c r="Q63" s="110"/>
      <c r="R63" s="112">
        <f t="shared" si="1"/>
        <v>0</v>
      </c>
      <c r="S63" s="70" t="str">
        <f t="shared" si="2"/>
        <v/>
      </c>
      <c r="T63" s="95"/>
      <c r="U63" s="110" t="s">
        <v>535</v>
      </c>
      <c r="V63" s="111">
        <f>H60</f>
        <v>0</v>
      </c>
      <c r="W63" s="70" t="e">
        <f>V63/V$67</f>
        <v>#DIV/0!</v>
      </c>
      <c r="X63" s="110"/>
      <c r="Y63" s="112">
        <f t="shared" si="4"/>
        <v>0</v>
      </c>
      <c r="Z63" s="70" t="str">
        <f t="shared" si="5"/>
        <v/>
      </c>
    </row>
    <row r="64" spans="1:26">
      <c r="A64" s="97"/>
      <c r="B64" s="113" t="s">
        <v>534</v>
      </c>
      <c r="C64" s="2671">
        <f>E64+E65</f>
        <v>0</v>
      </c>
      <c r="D64" s="63" t="s">
        <v>1158</v>
      </c>
      <c r="E64" s="2685"/>
      <c r="F64" s="2116" t="s">
        <v>1163</v>
      </c>
      <c r="G64" s="113" t="s">
        <v>534</v>
      </c>
      <c r="H64" s="2671">
        <f>J64+J65</f>
        <v>0</v>
      </c>
      <c r="I64" s="63" t="s">
        <v>1158</v>
      </c>
      <c r="J64" s="2685"/>
      <c r="K64" s="2116" t="s">
        <v>1163</v>
      </c>
      <c r="L64" s="82"/>
      <c r="M64" s="74"/>
      <c r="N64" s="110"/>
      <c r="O64" s="111"/>
      <c r="P64" s="2399"/>
      <c r="Q64" s="110"/>
      <c r="R64" s="2113"/>
      <c r="S64" s="70"/>
      <c r="T64" s="95"/>
      <c r="U64" s="110"/>
      <c r="V64" s="111"/>
      <c r="W64" s="2399"/>
      <c r="X64" s="110"/>
      <c r="Y64" s="2113"/>
      <c r="Z64" s="70"/>
    </row>
    <row r="65" spans="1:26">
      <c r="A65" s="97"/>
      <c r="B65" s="2118"/>
      <c r="C65" s="63"/>
      <c r="D65" s="2117" t="s">
        <v>1159</v>
      </c>
      <c r="E65" s="2685"/>
      <c r="F65" s="2116" t="s">
        <v>1163</v>
      </c>
      <c r="G65" s="2118"/>
      <c r="H65" s="63"/>
      <c r="I65" s="2117" t="s">
        <v>1159</v>
      </c>
      <c r="J65" s="2685"/>
      <c r="K65" s="2116" t="s">
        <v>1163</v>
      </c>
      <c r="L65" s="82"/>
      <c r="M65" s="74"/>
      <c r="N65" s="110"/>
      <c r="O65" s="111"/>
      <c r="P65" s="2399"/>
      <c r="Q65" s="110"/>
      <c r="R65" s="2113"/>
      <c r="S65" s="70"/>
      <c r="T65" s="95"/>
      <c r="U65" s="110"/>
      <c r="V65" s="111"/>
      <c r="W65" s="2399"/>
      <c r="X65" s="110"/>
      <c r="Y65" s="2113"/>
      <c r="Z65" s="70"/>
    </row>
    <row r="66" spans="1:26">
      <c r="A66" s="97"/>
      <c r="B66" s="2118"/>
      <c r="C66" s="63"/>
      <c r="D66" s="63"/>
      <c r="E66" s="63"/>
      <c r="F66" s="42"/>
      <c r="G66" s="2118"/>
      <c r="H66" s="63"/>
      <c r="I66" s="63"/>
      <c r="J66" s="63"/>
      <c r="K66" s="42"/>
      <c r="L66" s="82"/>
      <c r="M66" s="74"/>
      <c r="N66" s="110"/>
      <c r="O66" s="111"/>
      <c r="P66" s="2399"/>
      <c r="Q66" s="110"/>
      <c r="R66" s="2113"/>
      <c r="S66" s="70"/>
      <c r="T66" s="95"/>
      <c r="U66" s="110"/>
      <c r="V66" s="111"/>
      <c r="W66" s="2399"/>
      <c r="X66" s="110"/>
      <c r="Y66" s="2113"/>
      <c r="Z66" s="70"/>
    </row>
    <row r="67" spans="1:26">
      <c r="A67" s="97"/>
      <c r="B67" s="114" t="s">
        <v>536</v>
      </c>
      <c r="C67" s="115"/>
      <c r="D67" s="115"/>
      <c r="E67" s="2120"/>
      <c r="F67" s="116"/>
      <c r="G67" s="115"/>
      <c r="H67" s="115"/>
      <c r="I67" s="115"/>
      <c r="J67" s="2120"/>
      <c r="K67" s="116"/>
      <c r="L67" s="82"/>
      <c r="M67" s="74"/>
      <c r="N67" s="110" t="s">
        <v>537</v>
      </c>
      <c r="O67" s="117">
        <f>SUM(O47:O63)</f>
        <v>0</v>
      </c>
      <c r="P67" s="2399"/>
      <c r="Q67" s="117">
        <f>SUM(Q47:Q63)</f>
        <v>0</v>
      </c>
      <c r="R67" s="21"/>
      <c r="S67" s="118" t="str">
        <f>IF(MAX(R47:R63)&gt;3,"等","")</f>
        <v/>
      </c>
      <c r="T67" s="95"/>
      <c r="U67" s="110" t="s">
        <v>537</v>
      </c>
      <c r="V67" s="119">
        <f>SUM(V47:V63)</f>
        <v>0</v>
      </c>
      <c r="W67" s="2399"/>
      <c r="X67" s="119">
        <f>SUM(X47:X63)</f>
        <v>0</v>
      </c>
      <c r="Z67" s="118" t="str">
        <f>IF(MAX(Y47:Y63)&gt;3,"等","")</f>
        <v/>
      </c>
    </row>
    <row r="68" spans="1:26">
      <c r="A68" s="97"/>
      <c r="B68" s="109" t="s">
        <v>1814</v>
      </c>
      <c r="C68" s="76"/>
      <c r="D68" s="2114"/>
      <c r="E68" s="2686"/>
      <c r="F68" s="2116"/>
      <c r="G68" s="109" t="s">
        <v>1814</v>
      </c>
      <c r="H68" s="76"/>
      <c r="I68" s="2114"/>
      <c r="J68" s="2686"/>
      <c r="K68" s="2116"/>
      <c r="L68" s="82"/>
      <c r="M68" s="74"/>
      <c r="N68" s="120"/>
      <c r="O68" s="4"/>
      <c r="P68" s="120"/>
      <c r="Q68" s="21"/>
      <c r="R68" s="21"/>
      <c r="S68" s="45" t="str">
        <f>S47&amp;S49&amp;S54&amp;S56&amp;S57&amp;S60&amp;S61&amp;S62&amp;S63&amp;S67</f>
        <v/>
      </c>
      <c r="T68" s="45"/>
      <c r="U68" s="120"/>
      <c r="V68" s="4"/>
      <c r="W68" s="120"/>
      <c r="Z68" s="45" t="str">
        <f>Z47&amp;Z49&amp;Z54&amp;Z56&amp;Z57&amp;Z60&amp;Z61&amp;Z62&amp;Z63&amp;Z67</f>
        <v/>
      </c>
    </row>
    <row r="69" spans="1:26">
      <c r="A69" s="97"/>
      <c r="B69" s="109" t="s">
        <v>1815</v>
      </c>
      <c r="C69" s="76"/>
      <c r="D69" s="2114"/>
      <c r="E69" s="2686"/>
      <c r="F69" s="2116"/>
      <c r="G69" s="109" t="s">
        <v>1815</v>
      </c>
      <c r="H69" s="76"/>
      <c r="I69" s="2114"/>
      <c r="J69" s="2686"/>
      <c r="K69" s="2116"/>
      <c r="L69" s="82"/>
      <c r="M69" s="74"/>
      <c r="N69" s="120"/>
      <c r="O69" s="4"/>
      <c r="P69" s="120"/>
      <c r="Q69" s="21"/>
      <c r="R69" s="21"/>
    </row>
    <row r="70" spans="1:26">
      <c r="A70" s="97"/>
      <c r="B70" s="113" t="s">
        <v>1816</v>
      </c>
      <c r="C70" s="2119"/>
      <c r="D70" s="2119"/>
      <c r="E70" s="2687">
        <f>IF(C64=0,0,E64/C64)</f>
        <v>0</v>
      </c>
      <c r="F70" s="2116"/>
      <c r="G70" s="113" t="s">
        <v>1816</v>
      </c>
      <c r="H70" s="2119"/>
      <c r="I70" s="2119"/>
      <c r="J70" s="2687">
        <f>IF(H64=0,0,J64/H64)</f>
        <v>0</v>
      </c>
      <c r="K70" s="2116"/>
      <c r="L70" s="82"/>
      <c r="M70" s="74"/>
      <c r="N70" s="120"/>
      <c r="O70" s="4"/>
      <c r="P70" s="120"/>
      <c r="Q70" s="21"/>
      <c r="R70" s="21"/>
    </row>
    <row r="71" spans="1:26" customFormat="1" ht="14.25" thickBot="1">
      <c r="A71" s="1869"/>
      <c r="B71" s="1870"/>
      <c r="C71" s="1871"/>
      <c r="D71" s="1871"/>
      <c r="E71" s="1871"/>
      <c r="F71" s="1872"/>
      <c r="G71" s="1871"/>
      <c r="H71" s="1871"/>
      <c r="I71" s="1871"/>
      <c r="J71" s="1871"/>
      <c r="K71" s="1872"/>
      <c r="L71" s="1869"/>
      <c r="M71" s="1869"/>
      <c r="N71" s="2183" t="s">
        <v>199</v>
      </c>
      <c r="O71" s="2184" t="s">
        <v>519</v>
      </c>
      <c r="P71" s="2185">
        <f>E47</f>
        <v>0</v>
      </c>
      <c r="U71" s="2183" t="s">
        <v>199</v>
      </c>
      <c r="V71" s="2184" t="s">
        <v>519</v>
      </c>
      <c r="W71" s="2185">
        <f>J47</f>
        <v>0</v>
      </c>
    </row>
    <row r="72" spans="1:26" ht="14.25" thickBot="1">
      <c r="A72" s="97"/>
      <c r="B72" s="2842"/>
      <c r="C72" s="2842"/>
      <c r="D72" s="2842"/>
      <c r="E72" s="2842"/>
      <c r="F72" s="2842"/>
      <c r="G72" s="2842"/>
      <c r="H72" s="97"/>
      <c r="I72" s="97"/>
      <c r="J72" s="97"/>
      <c r="K72" s="97"/>
      <c r="L72" s="82"/>
      <c r="M72" s="74"/>
      <c r="N72" s="2186"/>
      <c r="O72" s="2184" t="s">
        <v>1218</v>
      </c>
      <c r="P72" s="2185">
        <f t="shared" ref="P72:P89" si="6">E48</f>
        <v>0</v>
      </c>
      <c r="Q72" s="72"/>
      <c r="R72" s="72"/>
      <c r="U72" s="2186"/>
      <c r="V72" s="2184" t="s">
        <v>1218</v>
      </c>
      <c r="W72" s="2185">
        <f t="shared" ref="W72:W89" si="7">J48</f>
        <v>0</v>
      </c>
    </row>
    <row r="73" spans="1:26" ht="14.25" thickBot="1">
      <c r="A73" s="97"/>
      <c r="B73" s="121" t="s">
        <v>538</v>
      </c>
      <c r="C73" s="122"/>
      <c r="D73" s="122"/>
      <c r="E73" s="122"/>
      <c r="F73" s="122"/>
      <c r="G73" s="122"/>
      <c r="H73" s="123"/>
      <c r="I73" s="123"/>
      <c r="J73" s="123"/>
      <c r="K73" s="124"/>
      <c r="L73" s="82"/>
      <c r="M73" s="74"/>
      <c r="N73" s="2187" t="s">
        <v>1219</v>
      </c>
      <c r="O73" s="2184" t="s">
        <v>1220</v>
      </c>
      <c r="P73" s="2185">
        <f t="shared" si="6"/>
        <v>0</v>
      </c>
      <c r="Q73" s="72"/>
      <c r="R73" s="72"/>
      <c r="U73" s="2187" t="s">
        <v>1219</v>
      </c>
      <c r="V73" s="2184" t="s">
        <v>1220</v>
      </c>
      <c r="W73" s="2185">
        <f t="shared" si="7"/>
        <v>0</v>
      </c>
    </row>
    <row r="74" spans="1:26" ht="14.25" thickBot="1">
      <c r="A74" s="97"/>
      <c r="B74" s="125" t="s">
        <v>539</v>
      </c>
      <c r="C74" s="126" t="s">
        <v>540</v>
      </c>
      <c r="D74" s="127" t="s">
        <v>541</v>
      </c>
      <c r="E74" s="127"/>
      <c r="F74" s="128"/>
      <c r="G74" s="128"/>
      <c r="H74" s="128"/>
      <c r="I74" s="129"/>
      <c r="J74" s="129"/>
      <c r="K74" s="130"/>
      <c r="L74" s="82"/>
      <c r="M74" s="74"/>
      <c r="N74" s="2187"/>
      <c r="O74" s="2184" t="s">
        <v>1287</v>
      </c>
      <c r="P74" s="2185">
        <f t="shared" si="6"/>
        <v>0</v>
      </c>
      <c r="Q74" s="23"/>
      <c r="R74" s="23"/>
      <c r="U74" s="2187"/>
      <c r="V74" s="2184" t="s">
        <v>1287</v>
      </c>
      <c r="W74" s="2185">
        <f t="shared" si="7"/>
        <v>0</v>
      </c>
    </row>
    <row r="75" spans="1:26">
      <c r="A75" s="97"/>
      <c r="B75" s="131" t="s">
        <v>542</v>
      </c>
      <c r="C75" s="132" t="s">
        <v>543</v>
      </c>
      <c r="D75" s="133" t="s">
        <v>544</v>
      </c>
      <c r="E75" s="133"/>
      <c r="F75" s="133"/>
      <c r="G75" s="134" t="s">
        <v>545</v>
      </c>
      <c r="H75" s="134" t="s">
        <v>546</v>
      </c>
      <c r="I75" s="133"/>
      <c r="J75" s="133"/>
      <c r="K75" s="135"/>
      <c r="L75" s="82"/>
      <c r="M75" s="74"/>
      <c r="N75" s="2187"/>
      <c r="O75" s="2184" t="s">
        <v>1288</v>
      </c>
      <c r="P75" s="2185">
        <f t="shared" si="6"/>
        <v>0</v>
      </c>
      <c r="Q75" s="23"/>
      <c r="R75" s="23"/>
      <c r="U75" s="2187"/>
      <c r="V75" s="2184" t="s">
        <v>1288</v>
      </c>
      <c r="W75" s="2185">
        <f t="shared" si="7"/>
        <v>0</v>
      </c>
    </row>
    <row r="76" spans="1:26" ht="14.25" thickBot="1">
      <c r="A76" s="36"/>
      <c r="B76" s="125" t="s">
        <v>547</v>
      </c>
      <c r="C76" s="136" t="s">
        <v>548</v>
      </c>
      <c r="D76" s="137" t="s">
        <v>549</v>
      </c>
      <c r="E76" s="137"/>
      <c r="F76" s="138"/>
      <c r="G76" s="138"/>
      <c r="H76" s="138"/>
      <c r="I76" s="138"/>
      <c r="J76" s="138"/>
      <c r="K76" s="139"/>
      <c r="L76" s="140"/>
      <c r="M76" s="36"/>
      <c r="N76" s="2187"/>
      <c r="O76" s="2184" t="s">
        <v>1222</v>
      </c>
      <c r="P76" s="2185">
        <f t="shared" si="6"/>
        <v>0</v>
      </c>
      <c r="Q76"/>
      <c r="R76"/>
      <c r="U76" s="2187"/>
      <c r="V76" s="2184" t="s">
        <v>1222</v>
      </c>
      <c r="W76" s="2185">
        <f t="shared" si="7"/>
        <v>0</v>
      </c>
    </row>
    <row r="77" spans="1:26">
      <c r="A77" s="97"/>
      <c r="B77" s="97"/>
      <c r="C77" s="97"/>
      <c r="D77" s="97"/>
      <c r="E77" s="97"/>
      <c r="F77" s="97"/>
      <c r="G77" s="97"/>
      <c r="H77" s="97"/>
      <c r="I77" s="97"/>
      <c r="J77" s="97"/>
      <c r="K77" s="97"/>
      <c r="L77" s="97"/>
      <c r="M77" s="74"/>
      <c r="N77" s="2186"/>
      <c r="O77" s="2184" t="s">
        <v>1223</v>
      </c>
      <c r="P77" s="2185">
        <f t="shared" si="6"/>
        <v>0</v>
      </c>
      <c r="Q77" s="23"/>
      <c r="R77" s="23"/>
      <c r="U77" s="2186"/>
      <c r="V77" s="2184" t="s">
        <v>1223</v>
      </c>
      <c r="W77" s="2185">
        <f t="shared" si="7"/>
        <v>0</v>
      </c>
    </row>
    <row r="78" spans="1:26">
      <c r="A78" s="36"/>
      <c r="B78" s="141" t="s">
        <v>550</v>
      </c>
      <c r="C78" s="142" t="s">
        <v>551</v>
      </c>
      <c r="D78" s="143"/>
      <c r="E78" s="143"/>
      <c r="F78" s="144"/>
      <c r="G78" s="143"/>
      <c r="H78" s="145"/>
      <c r="I78" s="145"/>
      <c r="J78" s="145"/>
      <c r="K78" s="146"/>
      <c r="L78" s="147"/>
      <c r="M78" s="36"/>
      <c r="N78" s="2183" t="s">
        <v>1224</v>
      </c>
      <c r="O78" s="2184" t="s">
        <v>909</v>
      </c>
      <c r="P78" s="2185">
        <f t="shared" si="6"/>
        <v>0</v>
      </c>
      <c r="U78" s="2183" t="s">
        <v>1224</v>
      </c>
      <c r="V78" s="2184" t="s">
        <v>909</v>
      </c>
      <c r="W78" s="2185">
        <f t="shared" si="7"/>
        <v>0</v>
      </c>
    </row>
    <row r="79" spans="1:26">
      <c r="A79" s="36"/>
      <c r="B79" s="148" t="s">
        <v>518</v>
      </c>
      <c r="C79" s="149" t="s">
        <v>1817</v>
      </c>
      <c r="D79" s="150"/>
      <c r="E79" s="150"/>
      <c r="F79" s="150"/>
      <c r="G79" s="150"/>
      <c r="H79" s="150"/>
      <c r="I79" s="150"/>
      <c r="J79" s="150"/>
      <c r="K79" s="151"/>
      <c r="L79" s="147"/>
      <c r="M79" s="36"/>
      <c r="N79" s="2186"/>
      <c r="O79" s="2184" t="s">
        <v>1225</v>
      </c>
      <c r="P79" s="2185">
        <f t="shared" si="6"/>
        <v>0</v>
      </c>
      <c r="Q79" s="21"/>
      <c r="R79" s="21"/>
      <c r="T79" s="21"/>
      <c r="U79" s="2186"/>
      <c r="V79" s="2184" t="s">
        <v>1225</v>
      </c>
      <c r="W79" s="2185">
        <f t="shared" si="7"/>
        <v>0</v>
      </c>
    </row>
    <row r="80" spans="1:26">
      <c r="A80" s="36"/>
      <c r="B80" s="152" t="s">
        <v>520</v>
      </c>
      <c r="C80" s="153" t="s">
        <v>1818</v>
      </c>
      <c r="D80" s="154"/>
      <c r="E80" s="154"/>
      <c r="F80" s="154"/>
      <c r="G80" s="154"/>
      <c r="H80" s="154"/>
      <c r="I80" s="154"/>
      <c r="J80" s="154"/>
      <c r="K80" s="155"/>
      <c r="L80" s="147"/>
      <c r="M80" s="36"/>
      <c r="N80" s="2184" t="s">
        <v>525</v>
      </c>
      <c r="O80" s="2188"/>
      <c r="P80" s="2185">
        <f>C56</f>
        <v>0</v>
      </c>
      <c r="Q80" s="21"/>
      <c r="R80" s="21"/>
      <c r="T80" s="21"/>
      <c r="U80" s="2184" t="s">
        <v>525</v>
      </c>
      <c r="V80" s="2188"/>
      <c r="W80" s="2185">
        <f>H56</f>
        <v>0</v>
      </c>
    </row>
    <row r="81" spans="1:23">
      <c r="A81" s="36"/>
      <c r="B81" s="152" t="s">
        <v>522</v>
      </c>
      <c r="C81" s="153" t="s">
        <v>1819</v>
      </c>
      <c r="D81" s="154"/>
      <c r="E81" s="154"/>
      <c r="F81" s="154"/>
      <c r="G81" s="154"/>
      <c r="H81" s="154"/>
      <c r="I81" s="154"/>
      <c r="J81" s="154"/>
      <c r="K81" s="155"/>
      <c r="L81" s="147"/>
      <c r="M81" s="36"/>
      <c r="N81" s="2183" t="s">
        <v>1226</v>
      </c>
      <c r="O81" s="2184" t="s">
        <v>1227</v>
      </c>
      <c r="P81" s="2185">
        <f t="shared" si="6"/>
        <v>0</v>
      </c>
      <c r="Q81" s="21"/>
      <c r="R81" s="21"/>
      <c r="T81" s="21"/>
      <c r="U81" s="2183" t="s">
        <v>1226</v>
      </c>
      <c r="V81" s="2184" t="s">
        <v>1227</v>
      </c>
      <c r="W81" s="2185">
        <f t="shared" si="7"/>
        <v>0</v>
      </c>
    </row>
    <row r="82" spans="1:23">
      <c r="A82" s="36"/>
      <c r="B82" s="152" t="s">
        <v>524</v>
      </c>
      <c r="C82" s="153" t="s">
        <v>1820</v>
      </c>
      <c r="D82" s="154"/>
      <c r="E82" s="154"/>
      <c r="F82" s="154"/>
      <c r="G82" s="154"/>
      <c r="H82" s="154"/>
      <c r="I82" s="154"/>
      <c r="J82" s="154"/>
      <c r="K82" s="155"/>
      <c r="L82" s="147"/>
      <c r="M82" s="36"/>
      <c r="N82" s="2187"/>
      <c r="O82" s="2184" t="s">
        <v>1228</v>
      </c>
      <c r="P82" s="2185">
        <f t="shared" si="6"/>
        <v>0</v>
      </c>
      <c r="Q82" s="21"/>
      <c r="R82" s="21"/>
      <c r="T82" s="21"/>
      <c r="U82" s="2187"/>
      <c r="V82" s="2184" t="s">
        <v>1228</v>
      </c>
      <c r="W82" s="2185">
        <f t="shared" si="7"/>
        <v>0</v>
      </c>
    </row>
    <row r="83" spans="1:23">
      <c r="A83" s="36"/>
      <c r="B83" s="152" t="s">
        <v>526</v>
      </c>
      <c r="C83" s="153" t="s">
        <v>1821</v>
      </c>
      <c r="D83" s="154"/>
      <c r="E83" s="154"/>
      <c r="F83" s="154"/>
      <c r="G83" s="154"/>
      <c r="H83" s="154"/>
      <c r="I83" s="154"/>
      <c r="J83" s="154"/>
      <c r="K83" s="155"/>
      <c r="L83" s="147"/>
      <c r="M83" s="36"/>
      <c r="N83" s="2187"/>
      <c r="O83" s="2189" t="s">
        <v>1229</v>
      </c>
      <c r="P83" s="2185">
        <f t="shared" si="6"/>
        <v>0</v>
      </c>
      <c r="Q83" s="21"/>
      <c r="R83" s="21"/>
      <c r="T83" s="21"/>
      <c r="U83" s="2187"/>
      <c r="V83" s="2189" t="s">
        <v>1229</v>
      </c>
      <c r="W83" s="2185">
        <f t="shared" si="7"/>
        <v>0</v>
      </c>
    </row>
    <row r="84" spans="1:23">
      <c r="A84" s="36"/>
      <c r="B84" s="152" t="s">
        <v>528</v>
      </c>
      <c r="C84" s="153" t="s">
        <v>1822</v>
      </c>
      <c r="D84" s="154"/>
      <c r="E84" s="154"/>
      <c r="F84" s="154"/>
      <c r="G84" s="154"/>
      <c r="H84" s="156"/>
      <c r="I84" s="156"/>
      <c r="J84" s="156"/>
      <c r="K84" s="155"/>
      <c r="L84" s="147"/>
      <c r="M84" s="36"/>
      <c r="N84" s="2184" t="s">
        <v>535</v>
      </c>
      <c r="O84" s="2188"/>
      <c r="P84" s="2185">
        <f>C60</f>
        <v>0</v>
      </c>
      <c r="Q84" s="21"/>
      <c r="R84" s="21"/>
      <c r="T84" s="21"/>
      <c r="U84" s="2184" t="s">
        <v>535</v>
      </c>
      <c r="V84" s="2188"/>
      <c r="W84" s="2185">
        <f>H60</f>
        <v>0</v>
      </c>
    </row>
    <row r="85" spans="1:23">
      <c r="A85" s="36"/>
      <c r="B85" s="152" t="s">
        <v>530</v>
      </c>
      <c r="C85" s="153" t="s">
        <v>1823</v>
      </c>
      <c r="D85" s="154"/>
      <c r="E85" s="154"/>
      <c r="F85" s="154"/>
      <c r="G85" s="154"/>
      <c r="H85" s="154"/>
      <c r="I85" s="154"/>
      <c r="J85" s="154"/>
      <c r="K85" s="155"/>
      <c r="L85" s="147"/>
      <c r="M85" s="36"/>
      <c r="N85" s="2184" t="s">
        <v>529</v>
      </c>
      <c r="O85" s="2188"/>
      <c r="P85" s="2185">
        <f t="shared" ref="P85:P86" si="8">C61</f>
        <v>0</v>
      </c>
      <c r="Q85" s="21"/>
      <c r="R85" s="21"/>
      <c r="T85" s="21"/>
      <c r="U85" s="2184" t="s">
        <v>529</v>
      </c>
      <c r="V85" s="2188"/>
      <c r="W85" s="2185">
        <f t="shared" ref="W85:W86" si="9">H61</f>
        <v>0</v>
      </c>
    </row>
    <row r="86" spans="1:23">
      <c r="A86" s="36"/>
      <c r="B86" s="152" t="s">
        <v>532</v>
      </c>
      <c r="C86" s="153" t="s">
        <v>1824</v>
      </c>
      <c r="D86" s="154"/>
      <c r="E86" s="154"/>
      <c r="F86" s="154"/>
      <c r="G86" s="154"/>
      <c r="H86" s="154"/>
      <c r="I86" s="154"/>
      <c r="J86" s="154"/>
      <c r="K86" s="155"/>
      <c r="L86" s="147"/>
      <c r="M86" s="36"/>
      <c r="N86" s="2184" t="s">
        <v>1230</v>
      </c>
      <c r="O86" s="2188"/>
      <c r="P86" s="2185">
        <f t="shared" si="8"/>
        <v>0</v>
      </c>
      <c r="Q86" s="21"/>
      <c r="R86" s="21"/>
      <c r="T86" s="21"/>
      <c r="U86" s="2184" t="s">
        <v>1230</v>
      </c>
      <c r="V86" s="2188"/>
      <c r="W86" s="2185">
        <f t="shared" si="9"/>
        <v>0</v>
      </c>
    </row>
    <row r="87" spans="1:23">
      <c r="A87" s="36"/>
      <c r="B87" s="157" t="s">
        <v>534</v>
      </c>
      <c r="C87" s="158" t="s">
        <v>552</v>
      </c>
      <c r="D87" s="159"/>
      <c r="E87" s="159"/>
      <c r="F87" s="159"/>
      <c r="G87" s="159"/>
      <c r="H87" s="160"/>
      <c r="I87" s="160"/>
      <c r="J87" s="160"/>
      <c r="K87" s="161"/>
      <c r="L87" s="147"/>
      <c r="M87" s="36"/>
      <c r="N87" s="2190"/>
      <c r="O87" s="2191"/>
      <c r="P87" s="2185">
        <f>C64</f>
        <v>0</v>
      </c>
      <c r="Q87" s="21"/>
      <c r="R87" s="21"/>
      <c r="T87" s="21"/>
      <c r="U87" s="2190"/>
      <c r="V87" s="2191"/>
      <c r="W87" s="2185">
        <f t="shared" si="7"/>
        <v>0</v>
      </c>
    </row>
    <row r="88" spans="1:23">
      <c r="A88" s="36"/>
      <c r="B88" s="36"/>
      <c r="C88" s="36"/>
      <c r="D88" s="36"/>
      <c r="E88" s="36"/>
      <c r="F88" s="36"/>
      <c r="G88" s="36"/>
      <c r="H88" s="36"/>
      <c r="I88" s="36"/>
      <c r="J88" s="36"/>
      <c r="K88" s="36"/>
      <c r="L88" s="36"/>
      <c r="M88" s="36"/>
      <c r="N88" s="2192" t="s">
        <v>816</v>
      </c>
      <c r="O88" s="2193" t="s">
        <v>1231</v>
      </c>
      <c r="P88" s="2185">
        <f t="shared" si="6"/>
        <v>0</v>
      </c>
      <c r="Q88" s="21"/>
      <c r="R88" s="21"/>
      <c r="T88" s="21"/>
      <c r="U88" s="2192" t="s">
        <v>816</v>
      </c>
      <c r="V88" s="2193" t="s">
        <v>1231</v>
      </c>
      <c r="W88" s="2185">
        <f>J64</f>
        <v>0</v>
      </c>
    </row>
    <row r="89" spans="1:23">
      <c r="N89" s="2194"/>
      <c r="O89" s="2195" t="s">
        <v>1232</v>
      </c>
      <c r="P89" s="2185">
        <f t="shared" si="6"/>
        <v>0</v>
      </c>
      <c r="Q89" s="21"/>
      <c r="R89" s="21"/>
      <c r="T89" s="21"/>
      <c r="U89" s="2194"/>
      <c r="V89" s="2195" t="s">
        <v>1232</v>
      </c>
      <c r="W89" s="2185">
        <f t="shared" si="7"/>
        <v>0</v>
      </c>
    </row>
    <row r="90" spans="1:23"/>
    <row r="91" spans="1:23"/>
    <row r="92" spans="1:23"/>
    <row r="93" spans="1:23"/>
    <row r="94" spans="1:23"/>
    <row r="95" spans="1:23"/>
    <row r="96" spans="1:23"/>
    <row r="97"/>
    <row r="98"/>
    <row r="99"/>
    <row r="100"/>
    <row r="101"/>
    <row r="102"/>
    <row r="103"/>
    <row r="104"/>
    <row r="105"/>
    <row r="106"/>
    <row r="107"/>
    <row r="108"/>
    <row r="109"/>
    <row r="110"/>
    <row r="111"/>
    <row r="112"/>
    <row r="113"/>
    <row r="114"/>
    <row r="115"/>
    <row r="116"/>
    <row r="117"/>
    <row r="118"/>
    <row r="119"/>
    <row r="120"/>
    <row r="121"/>
    <row r="122"/>
    <row r="123"/>
  </sheetData>
  <sheetProtection password="CC47" sheet="1" objects="1" scenarios="1"/>
  <mergeCells count="16">
    <mergeCell ref="B72:G72"/>
    <mergeCell ref="C11:F11"/>
    <mergeCell ref="H11:K11"/>
    <mergeCell ref="H12:K12"/>
    <mergeCell ref="C14:F14"/>
    <mergeCell ref="H14:K14"/>
    <mergeCell ref="I39:K39"/>
    <mergeCell ref="D43:F43"/>
    <mergeCell ref="C20:F20"/>
    <mergeCell ref="H20:K20"/>
    <mergeCell ref="I43:K43"/>
    <mergeCell ref="C27:F31"/>
    <mergeCell ref="H27:K31"/>
    <mergeCell ref="H37:K37"/>
    <mergeCell ref="C21:F21"/>
    <mergeCell ref="H21:K21"/>
  </mergeCells>
  <phoneticPr fontId="20"/>
  <conditionalFormatting sqref="H16 H23 C23 H13">
    <cfRule type="cellIs" dxfId="92" priority="5" stopIfTrue="1" operator="equal">
      <formula>0</formula>
    </cfRule>
  </conditionalFormatting>
  <conditionalFormatting sqref="E68">
    <cfRule type="expression" dxfId="91" priority="7" stopIfTrue="1">
      <formula>AND($C$61&gt;0,$E$68=0)</formula>
    </cfRule>
  </conditionalFormatting>
  <conditionalFormatting sqref="E69">
    <cfRule type="expression" dxfId="90" priority="8" stopIfTrue="1">
      <formula>AND($C$62&gt;0,$E$69=0)</formula>
    </cfRule>
  </conditionalFormatting>
  <conditionalFormatting sqref="J68">
    <cfRule type="expression" dxfId="89" priority="10" stopIfTrue="1">
      <formula>AND($H$61&gt;0,$J$68=0)</formula>
    </cfRule>
  </conditionalFormatting>
  <conditionalFormatting sqref="J69">
    <cfRule type="expression" dxfId="88" priority="11" stopIfTrue="1">
      <formula>AND($H$62&gt;0,$J$69=0)</formula>
    </cfRule>
  </conditionalFormatting>
  <conditionalFormatting sqref="C56 E47:E55 E64:E65 E57:E59 C60:C62">
    <cfRule type="cellIs" dxfId="87" priority="4" stopIfTrue="1" operator="equal">
      <formula>0</formula>
    </cfRule>
  </conditionalFormatting>
  <conditionalFormatting sqref="H56 J47:J55 J64:J65 J57:J59 H60:H62">
    <cfRule type="cellIs" dxfId="86" priority="3" stopIfTrue="1" operator="equal">
      <formula>0</formula>
    </cfRule>
  </conditionalFormatting>
  <dataValidations count="6">
    <dataValidation type="decimal" allowBlank="1" showInputMessage="1" showErrorMessage="1" sqref="E68:E69 J68:J69">
      <formula1>0</formula1>
      <formula2>1</formula2>
    </dataValidation>
    <dataValidation type="list" allowBlank="1" showInputMessage="1" showErrorMessage="1" sqref="H16 F13">
      <formula1>"予定,竣工"</formula1>
    </dataValidation>
    <dataValidation type="list" allowBlank="1" showInputMessage="1" showErrorMessage="1" sqref="H43">
      <formula1>$N$43:$N$44</formula1>
    </dataValidation>
    <dataValidation type="list" allowBlank="1" showInputMessage="1" showErrorMessage="1" sqref="H13">
      <formula1>$N$6:$N$13</formula1>
    </dataValidation>
    <dataValidation type="list" allowBlank="1" showInputMessage="1" showErrorMessage="1" sqref="H23 C23">
      <formula1>$N$23:$Q$23</formula1>
    </dataValidation>
    <dataValidation type="list" allowBlank="1" showInputMessage="1" showErrorMessage="1" sqref="I39:K39">
      <formula1>$O$39:$O$41</formula1>
    </dataValidation>
  </dataValidations>
  <hyperlinks>
    <hyperlink ref="C75" location="'結果(改修前)'!A1" tooltip="[改修前の結果]シート" display="●改修前の結果"/>
    <hyperlink ref="C74" location="スコア入力!A1" tooltip="[スコア入力]シート" display="●スコア入力"/>
    <hyperlink ref="C76" location="'条件(標準)_後'!A1" tooltip="[条件（標準）]シート" display="●標準計算"/>
    <hyperlink ref="D76" location="'条件(個別)_後'!A1" tooltip="[条件（個別）]シート" display="●個別計算"/>
    <hyperlink ref="D75" location="'結果(改修後)'!A1" tooltip="[改修前の結果]シート" display="●改修後の結果"/>
    <hyperlink ref="G75" location="改修前後の比較!A1" tooltip="[改修前後の比較]シート" display="●改修前後の比較"/>
    <hyperlink ref="H75" location="CO2計算_後!A1" tooltip="[CO2計算]シート" display="●LCCO2計算"/>
    <hyperlink ref="D74" location="スコア表示!A1" tooltip="[スコア表示]シート" display="●スコア表示"/>
  </hyperlinks>
  <printOptions horizontalCentered="1"/>
  <pageMargins left="0.59055118110236227" right="0.59055118110236227" top="0.78740157480314965" bottom="0.59055118110236227" header="0.51181102362204722" footer="0.51181102362204722"/>
  <pageSetup paperSize="9" scale="77" orientation="portrait" verticalDpi="4294967293" r:id="rId1"/>
  <headerFooter alignWithMargins="0">
    <oddHeader>&amp;L&amp;F&amp;R&amp;A</oddHeader>
    <oddFooter>&amp;C&amp;P/&amp;N</oddFooter>
  </headerFooter>
  <colBreaks count="1" manualBreakCount="1">
    <brk id="19" max="1048575" man="1"/>
  </colBreaks>
  <drawing r:id="rId2"/>
  <legacyDrawing r:id="rId3"/>
</worksheet>
</file>

<file path=xl/worksheets/sheet10.xml><?xml version="1.0" encoding="utf-8"?>
<worksheet xmlns="http://schemas.openxmlformats.org/spreadsheetml/2006/main" xmlns:r="http://schemas.openxmlformats.org/officeDocument/2006/relationships">
  <sheetPr codeName="Sheet11">
    <pageSetUpPr fitToPage="1"/>
  </sheetPr>
  <dimension ref="A1:AC118"/>
  <sheetViews>
    <sheetView showGridLines="0" zoomScaleNormal="100" zoomScaleSheetLayoutView="100" workbookViewId="0">
      <selection activeCell="E10" sqref="E10"/>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196"/>
      <c r="C2" s="2197" t="s">
        <v>1289</v>
      </c>
      <c r="D2" s="2198"/>
      <c r="E2" s="2198"/>
      <c r="F2" s="2199"/>
      <c r="G2" s="2199"/>
      <c r="H2" s="2200"/>
      <c r="I2" s="2198"/>
      <c r="J2" s="2201"/>
      <c r="K2" s="2201"/>
      <c r="L2" s="2201"/>
      <c r="M2" s="2202" t="s">
        <v>798</v>
      </c>
      <c r="N2" s="3031">
        <f>メイン!C11</f>
        <v>0</v>
      </c>
      <c r="O2" s="3031"/>
      <c r="P2" s="3031"/>
      <c r="Q2" s="2203"/>
    </row>
    <row r="3" spans="2:29">
      <c r="B3" s="2204"/>
      <c r="C3" s="2205"/>
      <c r="D3" s="2205"/>
      <c r="E3" s="2205"/>
      <c r="F3" s="2205"/>
      <c r="G3" s="2205"/>
      <c r="H3" s="2205"/>
      <c r="I3" s="2205"/>
      <c r="J3" s="2205"/>
      <c r="K3" s="2205"/>
      <c r="L3" s="2205"/>
      <c r="M3" s="2205"/>
      <c r="N3" s="2205"/>
      <c r="O3" s="2205"/>
      <c r="P3" s="2205"/>
      <c r="Q3" s="2206"/>
      <c r="S3" t="s">
        <v>1290</v>
      </c>
      <c r="U3" s="2207" t="s">
        <v>1291</v>
      </c>
      <c r="V3" s="2168">
        <f>IF($I$6&lt;=W9,V10,IF($I$6&lt;=W8,V9,IF($I$6&lt;=W7,V8,IF($I$6&lt;=W6,V7,1))))</f>
        <v>5</v>
      </c>
      <c r="X3">
        <f>VLOOKUP($V$3,V6:Y10,3)</f>
        <v>-10.000000000000002</v>
      </c>
      <c r="Y3">
        <f>VLOOKUP($V$3,V6:Y10,4)</f>
        <v>13.000000000000002</v>
      </c>
      <c r="Z3" s="2168">
        <f>IF($I$6&lt;=AA9,Z10,IF($I$6&lt;=AA8,Z9,IF($I$6&lt;=AA7,Z8,IF($I$6&lt;=AA6,Z7,1))))</f>
        <v>5</v>
      </c>
      <c r="AB3">
        <f>VLOOKUP($Z$3,Z6:AC10,3)</f>
        <v>-12.499999999999989</v>
      </c>
      <c r="AC3">
        <f>VLOOKUP($Z$3,Z6:AC10,4)</f>
        <v>15.624999999999991</v>
      </c>
    </row>
    <row r="4" spans="2:29">
      <c r="B4" s="2204"/>
      <c r="C4" s="2205"/>
      <c r="D4" s="2205"/>
      <c r="E4" s="2205"/>
      <c r="F4" s="2205"/>
      <c r="G4" s="2205"/>
      <c r="H4" s="2205"/>
      <c r="I4" s="2208" t="s">
        <v>1292</v>
      </c>
      <c r="J4" s="2205"/>
      <c r="K4" s="2205"/>
      <c r="L4" s="2205"/>
      <c r="M4" s="2208" t="s">
        <v>1293</v>
      </c>
      <c r="N4" s="2205"/>
      <c r="O4" s="2205"/>
      <c r="P4" s="2205"/>
      <c r="Q4" s="2206"/>
      <c r="S4" t="s">
        <v>1294</v>
      </c>
      <c r="U4" s="2207" t="s">
        <v>1295</v>
      </c>
      <c r="V4" s="2168">
        <f>IF($I$6&lt;=W16,V16,IF($I$6&lt;=W15,V15,IF($I$6&lt;=W14,V14,1)))</f>
        <v>4</v>
      </c>
      <c r="Z4" s="2168">
        <f>IF($I$6&lt;=AA16,Z16,IF($I$6&lt;=AA15,Z15,IF($I$6&lt;=AA14,Z14,IF($I$6&lt;=AA13,Z13,1))))</f>
        <v>4</v>
      </c>
    </row>
    <row r="5" spans="2:29" ht="14.25" thickBot="1">
      <c r="B5" s="2204"/>
      <c r="C5" s="2209" t="s">
        <v>1296</v>
      </c>
      <c r="D5" s="2208" t="s">
        <v>1297</v>
      </c>
      <c r="E5" s="2205"/>
      <c r="F5" s="2205"/>
      <c r="G5" s="2205"/>
      <c r="H5" s="2205"/>
      <c r="I5" s="2205"/>
      <c r="J5" s="2205"/>
      <c r="K5" s="2205"/>
      <c r="L5" s="2205"/>
      <c r="M5" s="2205"/>
      <c r="N5" s="2205"/>
      <c r="O5" s="2205"/>
      <c r="P5" s="2205"/>
      <c r="Q5" s="2206"/>
      <c r="T5" t="s">
        <v>823</v>
      </c>
      <c r="U5" t="s">
        <v>1298</v>
      </c>
      <c r="V5" s="1" t="s">
        <v>1299</v>
      </c>
      <c r="W5" s="1" t="s">
        <v>1300</v>
      </c>
      <c r="X5" t="s">
        <v>1123</v>
      </c>
      <c r="Y5" t="s">
        <v>1124</v>
      </c>
      <c r="Z5" s="1" t="s">
        <v>1299</v>
      </c>
      <c r="AA5" s="1" t="s">
        <v>1799</v>
      </c>
      <c r="AB5" t="s">
        <v>1123</v>
      </c>
      <c r="AC5" t="s">
        <v>1124</v>
      </c>
    </row>
    <row r="6" spans="2:29" ht="14.25" thickBot="1">
      <c r="B6" s="2204"/>
      <c r="C6" s="2205"/>
      <c r="D6" s="2208"/>
      <c r="E6" s="3024" t="s">
        <v>1290</v>
      </c>
      <c r="F6" s="3025"/>
      <c r="G6" s="3026"/>
      <c r="H6" s="2210" t="str">
        <f>IF(E6=S3,U3,U4)</f>
        <v>BPI=</v>
      </c>
      <c r="I6" s="2211"/>
      <c r="J6" s="2205"/>
      <c r="K6" s="2205"/>
      <c r="L6" s="2212" t="s">
        <v>1301</v>
      </c>
      <c r="M6" s="2213" t="s">
        <v>823</v>
      </c>
      <c r="N6" s="2205"/>
      <c r="O6" s="2205"/>
      <c r="P6" s="2205"/>
      <c r="Q6" s="2206"/>
      <c r="T6" t="s">
        <v>229</v>
      </c>
      <c r="V6" s="1">
        <v>1</v>
      </c>
      <c r="W6" s="1">
        <v>1.03</v>
      </c>
      <c r="X6" s="2168">
        <v>0</v>
      </c>
      <c r="Y6" s="2168">
        <v>1</v>
      </c>
      <c r="Z6" s="1">
        <v>1</v>
      </c>
      <c r="AA6" s="1">
        <v>1.03</v>
      </c>
      <c r="AB6" s="2168">
        <v>0</v>
      </c>
      <c r="AC6" s="2168">
        <v>1</v>
      </c>
    </row>
    <row r="7" spans="2:29" ht="5.25" customHeight="1">
      <c r="B7" s="2204"/>
      <c r="C7" s="2205"/>
      <c r="D7" s="2205"/>
      <c r="E7" s="2205"/>
      <c r="F7" s="2205"/>
      <c r="G7" s="2205"/>
      <c r="H7" s="2205"/>
      <c r="I7" s="2205"/>
      <c r="J7" s="2205"/>
      <c r="K7" s="2205"/>
      <c r="L7" s="2205"/>
      <c r="M7" s="2205"/>
      <c r="N7" s="2205"/>
      <c r="O7" s="2205"/>
      <c r="P7" s="2205"/>
      <c r="Q7" s="2206"/>
      <c r="T7" t="s">
        <v>230</v>
      </c>
      <c r="V7" s="1">
        <v>2</v>
      </c>
      <c r="W7" s="1">
        <v>1</v>
      </c>
      <c r="X7">
        <f>(V7-V6)/(W7-W6)</f>
        <v>-33.333333333333307</v>
      </c>
      <c r="Y7">
        <f>V7-X7*W7</f>
        <v>35.333333333333307</v>
      </c>
      <c r="Z7" s="1">
        <v>2</v>
      </c>
      <c r="AA7" s="1">
        <v>1</v>
      </c>
      <c r="AB7">
        <f>(Z7-Z6)/(AA7-AA6)</f>
        <v>-33.333333333333307</v>
      </c>
      <c r="AC7">
        <f>Z7-AB7*AA7</f>
        <v>35.333333333333307</v>
      </c>
    </row>
    <row r="8" spans="2:29">
      <c r="B8" s="2204"/>
      <c r="C8" s="2205"/>
      <c r="D8" s="2205"/>
      <c r="E8" s="2205"/>
      <c r="F8" s="2205"/>
      <c r="G8" s="2205"/>
      <c r="H8" s="2205"/>
      <c r="I8" s="2214" t="str">
        <f>W5</f>
        <v>1～7地域</v>
      </c>
      <c r="J8" s="2214" t="str">
        <f>AA5</f>
        <v>８地域</v>
      </c>
      <c r="K8" s="2205"/>
      <c r="L8" s="2205"/>
      <c r="M8" s="2205"/>
      <c r="N8" s="2205"/>
      <c r="O8" s="2205"/>
      <c r="P8" s="2205"/>
      <c r="Q8" s="2206"/>
      <c r="T8" t="s">
        <v>231</v>
      </c>
      <c r="V8" s="1">
        <v>3</v>
      </c>
      <c r="W8" s="1">
        <v>0.97</v>
      </c>
      <c r="X8">
        <f>(V8-V7)/(W8-W7)</f>
        <v>-33.333333333333307</v>
      </c>
      <c r="Y8">
        <f>V8-X8*W8</f>
        <v>35.333333333333307</v>
      </c>
      <c r="Z8" s="1">
        <v>3</v>
      </c>
      <c r="AA8" s="1">
        <v>0.97</v>
      </c>
      <c r="AB8">
        <f>(Z8-Z7)/(AA8-AA7)</f>
        <v>-33.333333333333307</v>
      </c>
      <c r="AC8">
        <f>Z8-AB8*AA8</f>
        <v>35.333333333333307</v>
      </c>
    </row>
    <row r="9" spans="2:29">
      <c r="B9" s="2204"/>
      <c r="C9" s="2205"/>
      <c r="D9" s="2205"/>
      <c r="E9" s="2205"/>
      <c r="F9" s="2205" t="s">
        <v>1299</v>
      </c>
      <c r="G9" s="2205"/>
      <c r="H9" s="2212" t="s">
        <v>1302</v>
      </c>
      <c r="I9" s="2215">
        <f>IF(I6&lt;=0.8,5,I6*X3+Y3)</f>
        <v>5</v>
      </c>
      <c r="J9" s="2215">
        <f>IF(I6&lt;=0.85,5,I6*AB3+AC3)</f>
        <v>5</v>
      </c>
      <c r="K9" s="2205"/>
      <c r="L9" s="2205"/>
      <c r="M9" s="2205"/>
      <c r="N9" s="2205"/>
      <c r="O9" s="2205"/>
      <c r="P9" s="2205"/>
      <c r="Q9" s="2206"/>
      <c r="T9" t="s">
        <v>232</v>
      </c>
      <c r="V9" s="1">
        <v>4</v>
      </c>
      <c r="W9" s="1">
        <v>0.9</v>
      </c>
      <c r="X9">
        <f>(V9-V8)/(W9-W8)</f>
        <v>-14.285714285714295</v>
      </c>
      <c r="Y9">
        <f>V9-X9*W9</f>
        <v>16.857142857142868</v>
      </c>
      <c r="Z9" s="1">
        <v>4</v>
      </c>
      <c r="AA9" s="1">
        <v>0.93</v>
      </c>
      <c r="AB9">
        <f>(Z9-Z8)/(AA9-AA8)</f>
        <v>-25.000000000000046</v>
      </c>
      <c r="AC9">
        <f>Z9-AB9*AA9</f>
        <v>27.250000000000043</v>
      </c>
    </row>
    <row r="10" spans="2:29">
      <c r="B10" s="2204"/>
      <c r="C10" s="2205"/>
      <c r="D10" s="2205"/>
      <c r="E10" s="2205"/>
      <c r="F10" s="2205"/>
      <c r="G10" s="2205"/>
      <c r="H10" s="2212" t="s">
        <v>1303</v>
      </c>
      <c r="I10" s="2215">
        <f>V4</f>
        <v>4</v>
      </c>
      <c r="J10" s="2215">
        <f>Z4</f>
        <v>4</v>
      </c>
      <c r="K10" s="2205"/>
      <c r="L10" s="2205"/>
      <c r="M10" s="2205"/>
      <c r="N10" s="2205"/>
      <c r="O10" s="2205"/>
      <c r="P10" s="2205"/>
      <c r="Q10" s="2206"/>
      <c r="T10" t="s">
        <v>822</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04"/>
      <c r="C11" s="2205"/>
      <c r="D11" s="2205"/>
      <c r="E11" s="2205"/>
      <c r="F11" s="2205"/>
      <c r="G11" s="2205"/>
      <c r="H11" s="2212"/>
      <c r="I11" s="2216"/>
      <c r="J11" s="2216"/>
      <c r="K11" s="2205"/>
      <c r="L11" s="2205"/>
      <c r="M11" s="2217"/>
      <c r="N11" s="2205"/>
      <c r="O11" s="2205"/>
      <c r="P11" s="2205"/>
      <c r="Q11" s="2206"/>
    </row>
    <row r="12" spans="2:29" ht="14.25" thickBot="1">
      <c r="B12" s="2204"/>
      <c r="C12" s="2205"/>
      <c r="D12" s="2205"/>
      <c r="E12" s="2208"/>
      <c r="F12" s="2205" t="s">
        <v>1304</v>
      </c>
      <c r="G12" s="2214" t="str">
        <f>メイン!H13</f>
        <v>６地域</v>
      </c>
      <c r="H12" s="2205"/>
      <c r="I12" s="2218">
        <f>IF(I6="",0,IF(E6=S3,IF(G12=AA5,J9,I9),IF(G12=AA5,J10,I10)))</f>
        <v>0</v>
      </c>
      <c r="J12" s="2205"/>
      <c r="K12" s="2205"/>
      <c r="L12" s="2205"/>
      <c r="M12" s="2218">
        <f>IF(M6="",$T10,IF(M6=T9,5,IF(M6=T8,3,IF(M6=T7,2,1))))</f>
        <v>1</v>
      </c>
      <c r="N12" s="2205"/>
      <c r="O12" s="2205"/>
      <c r="P12" s="2205"/>
      <c r="Q12" s="2206"/>
      <c r="U12" t="s">
        <v>1305</v>
      </c>
      <c r="V12" s="1" t="s">
        <v>1299</v>
      </c>
      <c r="W12" s="1" t="s">
        <v>1300</v>
      </c>
      <c r="Z12" s="1" t="s">
        <v>1299</v>
      </c>
      <c r="AA12" s="1" t="s">
        <v>1799</v>
      </c>
    </row>
    <row r="13" spans="2:29" ht="6.75" customHeight="1">
      <c r="B13" s="2204"/>
      <c r="C13" s="2205"/>
      <c r="D13" s="2205"/>
      <c r="E13" s="2208"/>
      <c r="F13" s="2205"/>
      <c r="G13" s="2205"/>
      <c r="H13" s="2205"/>
      <c r="I13" s="2205"/>
      <c r="J13" s="2205"/>
      <c r="K13" s="2205"/>
      <c r="L13" s="2205"/>
      <c r="M13" s="2205"/>
      <c r="N13" s="2205"/>
      <c r="O13" s="2205"/>
      <c r="P13" s="2205"/>
      <c r="Q13" s="2206"/>
      <c r="V13" s="1">
        <v>1</v>
      </c>
      <c r="W13" s="1"/>
      <c r="Z13" s="1">
        <v>1</v>
      </c>
      <c r="AA13" s="1"/>
    </row>
    <row r="14" spans="2:29">
      <c r="B14" s="2204"/>
      <c r="C14" s="2205"/>
      <c r="D14" s="2205"/>
      <c r="E14" s="2208"/>
      <c r="F14" s="2205"/>
      <c r="G14" s="2205"/>
      <c r="H14" s="2212" t="s">
        <v>1306</v>
      </c>
      <c r="I14" s="1971">
        <f>H94-H91</f>
        <v>0</v>
      </c>
      <c r="J14" s="2205" t="s">
        <v>1307</v>
      </c>
      <c r="K14" s="2205"/>
      <c r="L14" s="2205"/>
      <c r="M14" s="1971">
        <f>M29+N29</f>
        <v>0</v>
      </c>
      <c r="N14" s="2205" t="s">
        <v>1308</v>
      </c>
      <c r="O14" s="2205"/>
      <c r="P14" s="2205"/>
      <c r="Q14" s="2206"/>
      <c r="V14" s="1">
        <v>2</v>
      </c>
      <c r="W14" s="1">
        <v>1</v>
      </c>
      <c r="Z14" s="1">
        <v>2</v>
      </c>
      <c r="AA14" s="1">
        <v>1</v>
      </c>
    </row>
    <row r="15" spans="2:29">
      <c r="B15" s="2204"/>
      <c r="C15" s="2205"/>
      <c r="D15" s="2205"/>
      <c r="E15" s="2208"/>
      <c r="F15" s="2205"/>
      <c r="G15" s="2205"/>
      <c r="H15" s="2212" t="s">
        <v>1309</v>
      </c>
      <c r="I15" s="2219">
        <f>IF(I14+M14=0,0,I14/(I14+M14))</f>
        <v>0</v>
      </c>
      <c r="J15" s="2205"/>
      <c r="K15" s="2205"/>
      <c r="L15" s="2212"/>
      <c r="M15" s="2219">
        <f>IF(I14+M14=0,0,M14/(I14+M14))</f>
        <v>0</v>
      </c>
      <c r="N15" s="2205"/>
      <c r="O15" s="2205"/>
      <c r="P15" s="2205"/>
      <c r="Q15" s="2206"/>
      <c r="V15" s="1">
        <v>3</v>
      </c>
      <c r="W15" s="1">
        <v>0.97</v>
      </c>
      <c r="Z15" s="1">
        <v>3</v>
      </c>
      <c r="AA15" s="1">
        <v>0.97</v>
      </c>
    </row>
    <row r="16" spans="2:29" ht="4.5" customHeight="1" thickBot="1">
      <c r="B16" s="2204"/>
      <c r="C16" s="2205"/>
      <c r="D16" s="2205"/>
      <c r="E16" s="2208"/>
      <c r="F16" s="2205"/>
      <c r="G16" s="2205"/>
      <c r="H16" s="2205"/>
      <c r="I16" s="2205"/>
      <c r="J16" s="2205"/>
      <c r="K16" s="2205"/>
      <c r="L16" s="2205"/>
      <c r="M16" s="2205"/>
      <c r="N16" s="2205"/>
      <c r="O16" s="2205"/>
      <c r="P16" s="2205"/>
      <c r="Q16" s="2206"/>
      <c r="V16" s="1">
        <v>4</v>
      </c>
      <c r="W16" s="1">
        <v>0.9</v>
      </c>
      <c r="Z16" s="1">
        <v>4</v>
      </c>
      <c r="AA16" s="1">
        <v>0.93</v>
      </c>
    </row>
    <row r="17" spans="2:29" ht="14.25" thickBot="1">
      <c r="B17" s="2204"/>
      <c r="C17" s="2205"/>
      <c r="D17" s="2205"/>
      <c r="E17" s="2208" t="s">
        <v>1310</v>
      </c>
      <c r="F17" s="2205"/>
      <c r="G17" s="2205"/>
      <c r="H17" s="2212" t="s">
        <v>818</v>
      </c>
      <c r="I17" s="2220">
        <f>I12*I15+M12*M15</f>
        <v>0</v>
      </c>
      <c r="J17" s="2205"/>
      <c r="K17" s="2205"/>
      <c r="L17" s="2205"/>
      <c r="M17" s="2205"/>
      <c r="N17" s="2205"/>
      <c r="O17" s="2205"/>
      <c r="P17" s="2205"/>
      <c r="Q17" s="2206"/>
      <c r="V17" s="1">
        <v>5</v>
      </c>
      <c r="W17" s="1"/>
      <c r="Z17" s="1">
        <v>5</v>
      </c>
      <c r="AA17" s="1"/>
    </row>
    <row r="18" spans="2:29">
      <c r="B18" s="2204"/>
      <c r="C18" s="2205"/>
      <c r="D18" s="2205"/>
      <c r="E18" s="2205"/>
      <c r="F18" s="2205"/>
      <c r="G18" s="2205"/>
      <c r="H18" s="2205"/>
      <c r="I18" s="2205"/>
      <c r="J18" s="2205"/>
      <c r="K18" s="2205"/>
      <c r="L18" s="2205"/>
      <c r="M18" s="2205"/>
      <c r="N18" s="2205"/>
      <c r="O18" s="2205"/>
      <c r="P18" s="2205"/>
      <c r="Q18" s="2206"/>
    </row>
    <row r="19" spans="2:29" hidden="1">
      <c r="B19" s="2204"/>
      <c r="C19" s="2205"/>
      <c r="D19" s="2221"/>
      <c r="E19" s="2208" t="s">
        <v>1311</v>
      </c>
      <c r="F19" s="2205"/>
      <c r="G19" s="2205"/>
      <c r="H19" s="2205"/>
      <c r="I19" s="2214">
        <f>IF(G12=W20,W25,V25)</f>
        <v>195</v>
      </c>
      <c r="J19" s="2205" t="s">
        <v>1312</v>
      </c>
      <c r="K19" s="2205"/>
      <c r="L19" s="2205"/>
      <c r="M19" s="2205"/>
      <c r="N19" s="2205"/>
      <c r="O19" s="2205"/>
      <c r="P19" s="2205"/>
      <c r="Q19" s="2206"/>
      <c r="T19" t="s">
        <v>1313</v>
      </c>
      <c r="V19" s="2222">
        <f>(1-I6)*100</f>
        <v>100</v>
      </c>
      <c r="Z19">
        <f>IF($I$19&gt;=AA25,Z25,IF($I$19&gt;=AA24,Z24,IF($I$19&gt;=AA23,Z23,IF($I$19&gt;=AA22,Z22,Z21))))</f>
        <v>5</v>
      </c>
      <c r="AB19">
        <f>VLOOKUP($Z$19,Z21:AC25,3)</f>
        <v>0</v>
      </c>
      <c r="AC19">
        <f>VLOOKUP($Z$19,Z21:AC25,4)</f>
        <v>0</v>
      </c>
    </row>
    <row r="20" spans="2:29" ht="6" hidden="1" customHeight="1" thickBot="1">
      <c r="B20" s="2204"/>
      <c r="C20" s="2205"/>
      <c r="D20" s="2221"/>
      <c r="E20" s="2205"/>
      <c r="F20" s="2205"/>
      <c r="G20" s="2205"/>
      <c r="H20" s="2205"/>
      <c r="I20" s="2205"/>
      <c r="J20" s="2205"/>
      <c r="K20" s="2205"/>
      <c r="L20" s="2205"/>
      <c r="M20" s="2205"/>
      <c r="N20" s="2205"/>
      <c r="O20" s="2205"/>
      <c r="P20" s="2205"/>
      <c r="Q20" s="2206"/>
      <c r="V20" s="1" t="s">
        <v>1300</v>
      </c>
      <c r="W20" s="1" t="s">
        <v>1286</v>
      </c>
      <c r="Z20" s="1" t="s">
        <v>1299</v>
      </c>
      <c r="AA20" s="1" t="s">
        <v>1314</v>
      </c>
      <c r="AB20" t="s">
        <v>1123</v>
      </c>
      <c r="AC20" t="s">
        <v>1124</v>
      </c>
    </row>
    <row r="21" spans="2:29" ht="14.25" hidden="1" thickBot="1">
      <c r="B21" s="2204"/>
      <c r="C21" s="2205"/>
      <c r="D21" s="2221"/>
      <c r="E21" s="2205"/>
      <c r="F21" s="2205"/>
      <c r="G21" s="2205"/>
      <c r="H21" s="2205"/>
      <c r="I21" s="2218">
        <f>IF(I19&gt;=35,5,I19*AB19+AC19)</f>
        <v>5</v>
      </c>
      <c r="J21" s="2205"/>
      <c r="K21" s="2205"/>
      <c r="L21" s="2205"/>
      <c r="M21" s="2205"/>
      <c r="N21" s="2205"/>
      <c r="O21" s="2205"/>
      <c r="P21" s="2205"/>
      <c r="Q21" s="2206"/>
      <c r="U21" s="1912" t="s">
        <v>1315</v>
      </c>
      <c r="V21" s="1">
        <f>2*V19</f>
        <v>200</v>
      </c>
      <c r="W21" s="2223">
        <f>2*V19</f>
        <v>200</v>
      </c>
      <c r="Z21" s="1">
        <v>1</v>
      </c>
      <c r="AA21" s="1">
        <v>-5</v>
      </c>
      <c r="AB21">
        <f>(Z22-Z21)/(AA22-AA21)</f>
        <v>0.2</v>
      </c>
      <c r="AC21">
        <f>Z22-AB21*AA22</f>
        <v>2</v>
      </c>
    </row>
    <row r="22" spans="2:29" ht="12" hidden="1" customHeight="1">
      <c r="B22" s="2204"/>
      <c r="C22" s="2205"/>
      <c r="D22" s="2205"/>
      <c r="E22" s="2205"/>
      <c r="F22" s="2205"/>
      <c r="G22" s="2205"/>
      <c r="H22" s="2205"/>
      <c r="I22" s="2205"/>
      <c r="J22" s="2205"/>
      <c r="K22" s="2205"/>
      <c r="L22" s="2205"/>
      <c r="M22" s="2205"/>
      <c r="N22" s="2205"/>
      <c r="O22" s="2205"/>
      <c r="P22" s="2205"/>
      <c r="Q22" s="2206"/>
      <c r="U22" s="1912" t="s">
        <v>1316</v>
      </c>
      <c r="V22" s="2223">
        <f>1.3*V19+1.7</f>
        <v>131.69999999999999</v>
      </c>
      <c r="W22" s="2194">
        <f>2*V19</f>
        <v>200</v>
      </c>
      <c r="Z22" s="1">
        <v>2</v>
      </c>
      <c r="AA22" s="1">
        <v>0</v>
      </c>
      <c r="AB22">
        <f>(Z23-Z22)/(AA23-AA22)</f>
        <v>0.2</v>
      </c>
      <c r="AC22">
        <f>Z23-AB22*AA23</f>
        <v>2</v>
      </c>
    </row>
    <row r="23" spans="2:29" ht="14.25" thickBot="1">
      <c r="B23" s="2204"/>
      <c r="C23" s="2209" t="s">
        <v>1317</v>
      </c>
      <c r="D23" s="2208" t="s">
        <v>1318</v>
      </c>
      <c r="E23" s="2205"/>
      <c r="F23" s="2205"/>
      <c r="G23" s="2205"/>
      <c r="H23" s="2205"/>
      <c r="I23" s="2205"/>
      <c r="J23" s="2205"/>
      <c r="K23" s="2205"/>
      <c r="L23" s="2205"/>
      <c r="M23" s="2205"/>
      <c r="N23" s="2205"/>
      <c r="O23" s="2205"/>
      <c r="P23" s="2205"/>
      <c r="Q23" s="2206"/>
      <c r="U23" s="1912" t="s">
        <v>1319</v>
      </c>
      <c r="V23" s="2194">
        <f>1.3*V19+1.7</f>
        <v>131.69999999999999</v>
      </c>
      <c r="W23" s="2223">
        <f>2.7*V19-5.2</f>
        <v>264.8</v>
      </c>
      <c r="Z23" s="1">
        <v>3</v>
      </c>
      <c r="AA23" s="1">
        <v>5</v>
      </c>
      <c r="AB23">
        <f>(Z24-Z23)/(AA24-AA23)</f>
        <v>0.1</v>
      </c>
      <c r="AC23">
        <f>Z24-AB23*AA24</f>
        <v>2.5</v>
      </c>
    </row>
    <row r="24" spans="2:29" ht="14.25" thickBot="1">
      <c r="B24" s="2204"/>
      <c r="C24" s="2209"/>
      <c r="D24" s="2208"/>
      <c r="E24" s="3024" t="s">
        <v>1327</v>
      </c>
      <c r="F24" s="3025"/>
      <c r="G24" s="3026"/>
      <c r="H24" s="2205"/>
      <c r="I24" s="2208" t="s">
        <v>1292</v>
      </c>
      <c r="J24" s="2205"/>
      <c r="K24" s="2205"/>
      <c r="L24" s="2205"/>
      <c r="M24" s="2208" t="s">
        <v>1232</v>
      </c>
      <c r="N24" s="2208" t="s">
        <v>1321</v>
      </c>
      <c r="O24" s="2205"/>
      <c r="P24" s="2205"/>
      <c r="Q24" s="2224"/>
      <c r="U24" s="1912" t="s">
        <v>1322</v>
      </c>
      <c r="V24" s="1">
        <f>2*V19-5</f>
        <v>195</v>
      </c>
      <c r="W24" s="2194">
        <f>2.7*V19-5.2</f>
        <v>264.8</v>
      </c>
      <c r="Z24" s="1">
        <v>4</v>
      </c>
      <c r="AA24" s="1">
        <v>15</v>
      </c>
      <c r="AB24">
        <f>(Z25-Z24)/(AA25-AA24)</f>
        <v>0.05</v>
      </c>
      <c r="AC24">
        <f>Z25-AB24*AA25</f>
        <v>3.25</v>
      </c>
    </row>
    <row r="25" spans="2:29" ht="14.25" thickBot="1">
      <c r="B25" s="2204"/>
      <c r="C25" s="2205"/>
      <c r="D25" s="2208"/>
      <c r="E25" s="2208"/>
      <c r="F25" s="2208"/>
      <c r="G25" s="2208"/>
      <c r="H25" s="2225" t="s">
        <v>1323</v>
      </c>
      <c r="I25" s="2211"/>
      <c r="J25" s="2205"/>
      <c r="K25" s="2205"/>
      <c r="L25" s="2225" t="s">
        <v>1324</v>
      </c>
      <c r="M25" s="2219" t="str">
        <f>M44</f>
        <v>-</v>
      </c>
      <c r="N25" s="2226">
        <f>IF(N39=0,0,(N41-N40)/(N39-N40))</f>
        <v>0</v>
      </c>
      <c r="O25" s="2205" t="s">
        <v>1325</v>
      </c>
      <c r="P25" s="2205"/>
      <c r="Q25" s="2206"/>
      <c r="V25">
        <f>IF($V$19&lt;2.5,V21,IF($V$19&lt;7.5,V22,IF($V$19&lt;10,V23,V24)))</f>
        <v>195</v>
      </c>
      <c r="W25">
        <f>IF($V$19&lt;2.5,W21,IF($V$19&lt;7.5,W22,IF($V$19&lt;10,W23,W24)))</f>
        <v>264.8</v>
      </c>
      <c r="Z25" s="1">
        <v>5</v>
      </c>
      <c r="AA25" s="1">
        <v>35</v>
      </c>
    </row>
    <row r="26" spans="2:29" ht="14.25" thickBot="1">
      <c r="B26" s="2204"/>
      <c r="C26" s="2205"/>
      <c r="D26" s="2208"/>
      <c r="E26" s="2205"/>
      <c r="F26" s="2208"/>
      <c r="G26" s="2205"/>
      <c r="H26" s="2225" t="s">
        <v>1326</v>
      </c>
      <c r="I26" s="2211"/>
      <c r="J26" s="2208"/>
      <c r="K26" s="2205"/>
      <c r="L26" s="2208"/>
      <c r="M26" s="2205"/>
      <c r="N26" s="2208"/>
      <c r="O26" s="2205"/>
      <c r="P26" s="2208"/>
      <c r="Q26" s="2206"/>
    </row>
    <row r="27" spans="2:29" ht="14.25" thickBot="1">
      <c r="B27" s="2204"/>
      <c r="C27" s="2205"/>
      <c r="D27" s="2208"/>
      <c r="E27" s="2208"/>
      <c r="F27" s="2205"/>
      <c r="G27" s="2205"/>
      <c r="H27" s="2205"/>
      <c r="I27" s="2218">
        <f>IF($I$25&lt;=W39,V39,IF($I$25&lt;=W38,V38,IF($I$25&lt;=W37,V37,V36)))</f>
        <v>4</v>
      </c>
      <c r="J27" s="2205"/>
      <c r="K27" s="2205"/>
      <c r="L27" s="2205"/>
      <c r="M27" s="2218">
        <f>IF(OR(M25=0,M25="-"),0,IF(M25&lt;=W40,5,IF(M25&gt;W36,1,M25*X42+Y42)))</f>
        <v>0</v>
      </c>
      <c r="N27" s="2218">
        <f>IF(N61=T59,IF(N25=0,0,IF(N25&lt;=AA40,5,IF(N25&gt;AA36,1,N25*AB27+AC27))),N61)</f>
        <v>0</v>
      </c>
      <c r="O27" s="2205"/>
      <c r="P27" s="2208"/>
      <c r="Q27" s="2206"/>
      <c r="S27" t="s">
        <v>1327</v>
      </c>
      <c r="V27" s="2227">
        <f>IF($I$44&lt;=W40,V40,IF($I$44&lt;=W39,V39,IF($I$44&lt;=W38,V38,IF($I$44&lt;=W37,V37,V36))))</f>
        <v>1</v>
      </c>
      <c r="X27">
        <f>VLOOKUP($V$27,V36:Y40,3)</f>
        <v>-19.999999999999982</v>
      </c>
      <c r="Y27">
        <f>VLOOKUP($V$27,V36:Y40,4)</f>
        <v>22.999999999999982</v>
      </c>
      <c r="Z27">
        <f>IF($N$25&lt;=AA40,Z40,IF($N$25&lt;=AA39,Z39,IF($N$25&lt;=AA38,Z38,IF($N$25&lt;=AA37,Z37))))</f>
        <v>5</v>
      </c>
      <c r="AB27">
        <f>VLOOKUP($Z$27,Z36:AC40,3)</f>
        <v>0</v>
      </c>
      <c r="AC27">
        <f>VLOOKUP($Z$27,Z36:AC40,4)</f>
        <v>0</v>
      </c>
    </row>
    <row r="28" spans="2:29">
      <c r="B28" s="2204"/>
      <c r="C28" s="2205"/>
      <c r="D28" s="2208"/>
      <c r="E28" s="2205"/>
      <c r="F28" s="2208"/>
      <c r="G28" s="2205"/>
      <c r="H28" s="2208"/>
      <c r="I28" s="2205"/>
      <c r="J28" s="2208"/>
      <c r="K28" s="2205"/>
      <c r="L28" s="2208"/>
      <c r="M28" s="2205"/>
      <c r="N28" s="2208"/>
      <c r="O28" s="2205"/>
      <c r="P28" s="2208"/>
      <c r="Q28" s="2206"/>
      <c r="S28" t="s">
        <v>1320</v>
      </c>
    </row>
    <row r="29" spans="2:29">
      <c r="B29" s="2204"/>
      <c r="C29" s="2205"/>
      <c r="D29" s="2208"/>
      <c r="E29" s="2208"/>
      <c r="F29" s="2208"/>
      <c r="G29" s="2205"/>
      <c r="H29" s="2212" t="s">
        <v>1306</v>
      </c>
      <c r="I29" s="1971">
        <f>H94</f>
        <v>0</v>
      </c>
      <c r="J29" s="2205" t="s">
        <v>1308</v>
      </c>
      <c r="K29" s="2205"/>
      <c r="L29" s="2205"/>
      <c r="M29" s="1971">
        <f>メイン!E65</f>
        <v>0</v>
      </c>
      <c r="N29" s="1971">
        <f>メイン!E64</f>
        <v>0</v>
      </c>
      <c r="O29" s="2205"/>
      <c r="P29" s="2208"/>
      <c r="Q29" s="2206"/>
    </row>
    <row r="30" spans="2:29" ht="14.25" thickBot="1">
      <c r="B30" s="2204"/>
      <c r="C30" s="2205"/>
      <c r="D30" s="2208"/>
      <c r="E30" s="2205"/>
      <c r="F30" s="2208"/>
      <c r="G30" s="2205"/>
      <c r="H30" s="2208"/>
      <c r="I30" s="2205"/>
      <c r="J30" s="2208"/>
      <c r="K30" s="2205"/>
      <c r="L30" s="2208"/>
      <c r="M30" s="2205"/>
      <c r="N30" s="2208"/>
      <c r="O30" s="2205"/>
      <c r="P30" s="2208"/>
      <c r="Q30" s="2206"/>
    </row>
    <row r="31" spans="2:29" ht="14.25" thickBot="1">
      <c r="B31" s="2204"/>
      <c r="C31" s="2205"/>
      <c r="D31" s="2208"/>
      <c r="E31" s="2208" t="s">
        <v>1328</v>
      </c>
      <c r="F31" s="2208"/>
      <c r="G31" s="2205"/>
      <c r="H31" s="2208"/>
      <c r="I31" s="2218">
        <f>IF(AND(I25=0,I44="-"),0,IF(E24=S28,I27,IF(I44&lt;=W40,5,IF(I44&gt;W36,1,I44*X27+Y27))))</f>
        <v>0</v>
      </c>
      <c r="J31" s="2208"/>
      <c r="K31" s="2205"/>
      <c r="L31" s="2208"/>
      <c r="M31" s="2218">
        <f>IF(M29+N29=0,0,M27*M29/M14+N27*N29/M14)</f>
        <v>0</v>
      </c>
      <c r="N31" s="2208"/>
      <c r="O31" s="2205"/>
      <c r="P31" s="2208"/>
      <c r="Q31" s="2206"/>
    </row>
    <row r="32" spans="2:29" ht="14.25" hidden="1" thickBot="1">
      <c r="B32" s="2204"/>
      <c r="C32" s="2205"/>
      <c r="D32" s="2208"/>
      <c r="E32" s="2205" t="s">
        <v>1329</v>
      </c>
      <c r="F32" s="2208"/>
      <c r="G32" s="2205"/>
      <c r="H32" s="2205" t="s">
        <v>1330</v>
      </c>
      <c r="I32" s="2218"/>
      <c r="J32" s="2208"/>
      <c r="K32" s="2205"/>
      <c r="L32" s="2208"/>
      <c r="M32" s="2217"/>
      <c r="N32" s="2208"/>
      <c r="O32" s="2205"/>
      <c r="P32" s="2208"/>
      <c r="Q32" s="2206"/>
    </row>
    <row r="33" spans="2:29" ht="14.25" hidden="1" thickBot="1">
      <c r="B33" s="2204"/>
      <c r="C33" s="2205"/>
      <c r="D33" s="2208"/>
      <c r="E33" s="2205"/>
      <c r="F33" s="2208"/>
      <c r="G33" s="2205"/>
      <c r="H33" s="2205" t="s">
        <v>1331</v>
      </c>
      <c r="I33" s="2218">
        <f>I31</f>
        <v>0</v>
      </c>
      <c r="J33" s="2208"/>
      <c r="K33" s="2205"/>
      <c r="L33" s="2208"/>
      <c r="M33" s="2205"/>
      <c r="N33" s="2208"/>
      <c r="O33" s="2205"/>
      <c r="P33" s="2208"/>
      <c r="Q33" s="2206"/>
    </row>
    <row r="34" spans="2:29" ht="14.25" thickBot="1">
      <c r="B34" s="2204"/>
      <c r="C34" s="2205"/>
      <c r="D34" s="2208"/>
      <c r="E34" s="2205"/>
      <c r="F34" s="2208"/>
      <c r="G34" s="2205"/>
      <c r="H34" s="2208"/>
      <c r="I34" s="2220" t="e">
        <f>I31*I29/($I$29+$M$29+$N$29)+M31*(M29+N29)/($I$29+$M$29+$N$29)</f>
        <v>#DIV/0!</v>
      </c>
      <c r="J34" s="2208"/>
      <c r="K34" s="2205"/>
      <c r="L34" s="2208"/>
      <c r="M34" s="2205"/>
      <c r="N34" s="2208"/>
      <c r="O34" s="2205"/>
      <c r="P34" s="2208"/>
      <c r="Q34" s="2206"/>
    </row>
    <row r="35" spans="2:29" hidden="1">
      <c r="B35" s="2204"/>
      <c r="C35" s="2205"/>
      <c r="D35" s="2208"/>
      <c r="E35" s="2205"/>
      <c r="F35" s="2208"/>
      <c r="G35" s="2205"/>
      <c r="H35" s="2208"/>
      <c r="I35" s="2205"/>
      <c r="J35" s="2208"/>
      <c r="K35" s="2205"/>
      <c r="L35" s="2208"/>
      <c r="M35" s="2205"/>
      <c r="N35" s="2208"/>
      <c r="O35" s="2205"/>
      <c r="P35" s="2208"/>
      <c r="Q35" s="2206"/>
      <c r="V35" s="1" t="s">
        <v>1299</v>
      </c>
      <c r="W35" s="1" t="s">
        <v>817</v>
      </c>
      <c r="X35" t="s">
        <v>1123</v>
      </c>
      <c r="Y35" t="s">
        <v>1124</v>
      </c>
      <c r="Z35" s="1" t="s">
        <v>1299</v>
      </c>
      <c r="AA35" s="1" t="s">
        <v>1231</v>
      </c>
      <c r="AB35" t="s">
        <v>1123</v>
      </c>
      <c r="AC35" t="s">
        <v>1124</v>
      </c>
    </row>
    <row r="36" spans="2:29" hidden="1">
      <c r="B36" s="2204"/>
      <c r="C36" s="2205"/>
      <c r="D36" s="2228"/>
      <c r="E36" s="2208" t="s">
        <v>1332</v>
      </c>
      <c r="F36" s="2208"/>
      <c r="G36" s="2208"/>
      <c r="H36" s="2208"/>
      <c r="I36" s="2229">
        <f>-100*I25+105</f>
        <v>105</v>
      </c>
      <c r="J36" s="2208" t="s">
        <v>1312</v>
      </c>
      <c r="K36" s="2205"/>
      <c r="L36" s="2208"/>
      <c r="M36" s="2229" t="e">
        <f>-100*M25+105</f>
        <v>#VALUE!</v>
      </c>
      <c r="N36" s="2208" t="s">
        <v>1312</v>
      </c>
      <c r="O36" s="2205"/>
      <c r="P36" s="2208"/>
      <c r="Q36" s="2206"/>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hidden="1" thickBot="1">
      <c r="B37" s="2204"/>
      <c r="C37" s="2205"/>
      <c r="D37" s="2228"/>
      <c r="E37" s="2205"/>
      <c r="F37" s="2208"/>
      <c r="G37" s="2205"/>
      <c r="H37" s="2208"/>
      <c r="I37" s="2218" t="str">
        <f>IF(I25=0,"-",IF(I36&gt;=W50,5,I36*X44+Y44))</f>
        <v>-</v>
      </c>
      <c r="J37" s="2208"/>
      <c r="K37" s="2205"/>
      <c r="L37" s="2208"/>
      <c r="M37" s="2218" t="e">
        <f>IF(M25=0,"-",IF(M36&gt;=AA50,5,M36*AB44+AC44))</f>
        <v>#VALUE!</v>
      </c>
      <c r="N37" s="2230"/>
      <c r="O37" s="2205"/>
      <c r="P37" s="2208"/>
      <c r="Q37" s="2206"/>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204"/>
      <c r="C38" s="2205"/>
      <c r="D38" s="2208"/>
      <c r="E38" s="2205"/>
      <c r="F38" s="2208"/>
      <c r="G38" s="2205"/>
      <c r="H38" s="2208"/>
      <c r="I38" s="2205"/>
      <c r="J38" s="2208"/>
      <c r="K38" s="2205"/>
      <c r="L38" s="2208"/>
      <c r="M38" s="2205"/>
      <c r="N38" s="2208"/>
      <c r="O38" s="2205"/>
      <c r="P38" s="2208"/>
      <c r="Q38" s="2206"/>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04"/>
      <c r="C39" s="2205"/>
      <c r="D39" s="92" t="s">
        <v>1333</v>
      </c>
      <c r="E39" s="2205"/>
      <c r="F39" s="2205"/>
      <c r="G39" s="2205"/>
      <c r="H39" s="2205"/>
      <c r="I39" s="2231"/>
      <c r="J39" s="2205" t="s">
        <v>1334</v>
      </c>
      <c r="K39" s="2205"/>
      <c r="L39" s="2205"/>
      <c r="M39" s="2231"/>
      <c r="N39" s="2231"/>
      <c r="O39" s="2205" t="s">
        <v>1334</v>
      </c>
      <c r="P39" s="2205"/>
      <c r="Q39" s="2206"/>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04"/>
      <c r="C40" s="2205"/>
      <c r="D40" s="92"/>
      <c r="E40" s="2205" t="s">
        <v>1828</v>
      </c>
      <c r="F40" s="2205"/>
      <c r="G40" s="2205"/>
      <c r="H40" s="2205"/>
      <c r="I40" s="2232"/>
      <c r="J40" s="2205"/>
      <c r="K40" s="2205"/>
      <c r="L40" s="2205"/>
      <c r="M40" s="2232"/>
      <c r="N40" s="2233">
        <f>N52</f>
        <v>0</v>
      </c>
      <c r="O40" s="2205" t="s">
        <v>1335</v>
      </c>
      <c r="P40" s="2205"/>
      <c r="Q40" s="2206"/>
      <c r="S40">
        <v>4</v>
      </c>
      <c r="V40" s="1">
        <v>5</v>
      </c>
      <c r="W40" s="1">
        <v>0.7</v>
      </c>
      <c r="Z40" s="1">
        <v>5</v>
      </c>
      <c r="AA40" s="1">
        <v>0.9</v>
      </c>
    </row>
    <row r="41" spans="2:29">
      <c r="B41" s="2204"/>
      <c r="C41" s="2205"/>
      <c r="D41" s="92" t="s">
        <v>1336</v>
      </c>
      <c r="E41" s="2205"/>
      <c r="F41" s="2205"/>
      <c r="G41" s="2205"/>
      <c r="H41" s="2205"/>
      <c r="I41" s="2234"/>
      <c r="J41" s="2205"/>
      <c r="K41" s="2205"/>
      <c r="L41" s="2205"/>
      <c r="M41" s="2234"/>
      <c r="N41" s="2234"/>
      <c r="O41" s="2205"/>
      <c r="P41" s="2205"/>
      <c r="Q41" s="2206"/>
      <c r="S41">
        <v>5</v>
      </c>
    </row>
    <row r="42" spans="2:29">
      <c r="B42" s="2204"/>
      <c r="C42" s="2205"/>
      <c r="D42" s="92" t="s">
        <v>1337</v>
      </c>
      <c r="E42" s="2205"/>
      <c r="F42" s="2205"/>
      <c r="G42" s="2205"/>
      <c r="H42" s="2205"/>
      <c r="I42" s="2234"/>
      <c r="J42" s="2205"/>
      <c r="K42" s="2205"/>
      <c r="L42" s="2205"/>
      <c r="M42" s="2234"/>
      <c r="N42" s="2234"/>
      <c r="O42" s="2205"/>
      <c r="P42" s="2205"/>
      <c r="Q42" s="2206"/>
      <c r="U42" t="s">
        <v>827</v>
      </c>
      <c r="V42">
        <f>IF($M$25&lt;=W40,V40,IF($M$25&lt;=W39,V39,IF($M$25&lt;=W38,V38,IF($M$25&lt;=W37,V37,V36))))</f>
        <v>1</v>
      </c>
      <c r="X42">
        <f>VLOOKUP($V$42,V36:Y40,3)</f>
        <v>-19.999999999999982</v>
      </c>
      <c r="Y42">
        <f>VLOOKUP($V$42,V36:Y40,4)</f>
        <v>22.999999999999982</v>
      </c>
    </row>
    <row r="43" spans="2:29" ht="14.25" thickBot="1">
      <c r="B43" s="2204"/>
      <c r="C43" s="2205"/>
      <c r="D43" s="92" t="s">
        <v>1338</v>
      </c>
      <c r="E43" s="2205"/>
      <c r="F43" s="2205"/>
      <c r="G43" s="2205"/>
      <c r="H43" s="2205"/>
      <c r="I43" s="2235"/>
      <c r="J43" s="2205" t="s">
        <v>1334</v>
      </c>
      <c r="K43" s="2205"/>
      <c r="L43" s="2205"/>
      <c r="M43" s="2235"/>
      <c r="N43" s="2235"/>
      <c r="O43" s="2205" t="s">
        <v>1334</v>
      </c>
      <c r="P43" s="2205"/>
      <c r="Q43" s="2206"/>
    </row>
    <row r="44" spans="2:29">
      <c r="B44" s="2204"/>
      <c r="C44" s="2205"/>
      <c r="D44" s="2205"/>
      <c r="E44" s="2236"/>
      <c r="F44" s="2205"/>
      <c r="G44" s="2205"/>
      <c r="H44" s="1439" t="s">
        <v>1339</v>
      </c>
      <c r="I44" s="2237" t="str">
        <f>IF(I41=0,"-",ROUND(I41/I39,5))</f>
        <v>-</v>
      </c>
      <c r="J44" s="2205"/>
      <c r="K44" s="2205"/>
      <c r="L44" s="2205"/>
      <c r="M44" s="2237" t="str">
        <f>IF(M41=0,"-",ROUND(M41/M39,5))</f>
        <v>-</v>
      </c>
      <c r="N44" s="2205"/>
      <c r="O44" s="2205"/>
      <c r="P44" s="2205"/>
      <c r="Q44" s="2206"/>
      <c r="V44">
        <f>IF($I$36&gt;=W50,V50,IF($I$36&gt;=W49,V49,IF($I$36&gt;=W48,V48,IF($I$36&gt;=W47,V47,V46))))</f>
        <v>5</v>
      </c>
      <c r="X44">
        <f>VLOOKUP($V$44,V46:Y50,3)</f>
        <v>0</v>
      </c>
      <c r="Y44">
        <f>VLOOKUP($V$44,V46:Y50,4)</f>
        <v>0</v>
      </c>
      <c r="Z44" t="e">
        <f>IF($M$36&gt;=AA50,Z50,IF($M$36&gt;=AA49,Z49,IF($M$36&gt;=AA48,Z48,IF($M$36&gt;=AA47,Z47,Z46))))</f>
        <v>#VALUE!</v>
      </c>
      <c r="AB44">
        <f>VLOOKUP($Z$19,Z46:AC50,3)</f>
        <v>0</v>
      </c>
      <c r="AC44">
        <f>VLOOKUP($Z$19,Z46:AC50,4)</f>
        <v>0</v>
      </c>
    </row>
    <row r="45" spans="2:29">
      <c r="B45" s="2204"/>
      <c r="C45" s="2205"/>
      <c r="D45" s="2205"/>
      <c r="E45" s="2236"/>
      <c r="F45" s="2205"/>
      <c r="G45" s="2205"/>
      <c r="H45" s="1439" t="s">
        <v>1340</v>
      </c>
      <c r="I45" s="2237" t="str">
        <f>IF(I42=0,"-",ROUND(I42/I39,5))</f>
        <v>-</v>
      </c>
      <c r="J45" s="2205"/>
      <c r="K45" s="2205"/>
      <c r="L45" s="2205"/>
      <c r="M45" s="2237" t="str">
        <f>IF(M42=0,"-",ROUND(M42/M39,5))</f>
        <v>-</v>
      </c>
      <c r="N45" s="2205"/>
      <c r="O45" s="2205"/>
      <c r="P45" s="2205"/>
      <c r="Q45" s="2206"/>
      <c r="T45" t="s">
        <v>1341</v>
      </c>
      <c r="V45" s="1" t="s">
        <v>1299</v>
      </c>
      <c r="W45" s="1" t="s">
        <v>817</v>
      </c>
      <c r="X45" t="s">
        <v>1123</v>
      </c>
      <c r="Y45" t="s">
        <v>1124</v>
      </c>
      <c r="Z45" s="1" t="s">
        <v>1299</v>
      </c>
      <c r="AA45" s="1" t="s">
        <v>1232</v>
      </c>
      <c r="AB45" t="s">
        <v>1123</v>
      </c>
      <c r="AC45" t="s">
        <v>1124</v>
      </c>
    </row>
    <row r="46" spans="2:29">
      <c r="B46" s="2204"/>
      <c r="C46" s="2205"/>
      <c r="D46" s="2205"/>
      <c r="E46" s="2205" t="s">
        <v>1829</v>
      </c>
      <c r="F46" s="2205"/>
      <c r="G46" s="2205"/>
      <c r="H46" s="2205"/>
      <c r="I46" s="2205"/>
      <c r="J46" s="2205"/>
      <c r="K46" s="2205"/>
      <c r="L46" s="2205"/>
      <c r="M46" s="2205"/>
      <c r="N46" s="2205"/>
      <c r="O46" s="2208"/>
      <c r="P46" s="2205"/>
      <c r="Q46" s="2206"/>
      <c r="V46" s="1">
        <v>1</v>
      </c>
      <c r="W46" s="1">
        <v>-5</v>
      </c>
      <c r="X46">
        <f>(V47-V46)/(W47-W46)</f>
        <v>0.2</v>
      </c>
      <c r="Y46">
        <f>V47-X46*W47</f>
        <v>2</v>
      </c>
      <c r="Z46" s="1">
        <v>1</v>
      </c>
      <c r="AA46" s="1">
        <v>-5</v>
      </c>
      <c r="AB46">
        <f>(Z47-Z46)/(AA47-AA46)</f>
        <v>0.2</v>
      </c>
      <c r="AC46">
        <f>Z47-AB46*AA47</f>
        <v>2</v>
      </c>
    </row>
    <row r="47" spans="2:29">
      <c r="B47" s="2204"/>
      <c r="C47" s="2205"/>
      <c r="D47" s="2205"/>
      <c r="E47" s="2205" t="s">
        <v>1342</v>
      </c>
      <c r="F47" s="2208"/>
      <c r="G47" s="2208"/>
      <c r="H47" s="2208"/>
      <c r="I47" s="2208"/>
      <c r="J47" s="2208"/>
      <c r="K47" s="2208"/>
      <c r="L47" s="2208"/>
      <c r="M47" s="2208"/>
      <c r="N47" s="2208"/>
      <c r="O47" s="2208"/>
      <c r="P47" s="2205"/>
      <c r="Q47" s="2206"/>
      <c r="V47" s="1">
        <v>2</v>
      </c>
      <c r="W47" s="1">
        <v>0</v>
      </c>
      <c r="X47">
        <f>(V48-V47)/(W48-W47)</f>
        <v>0.2</v>
      </c>
      <c r="Y47">
        <f>V48-X47*W48</f>
        <v>2</v>
      </c>
      <c r="Z47" s="1">
        <v>2</v>
      </c>
      <c r="AA47" s="1">
        <v>0</v>
      </c>
      <c r="AB47">
        <f>(Z48-Z47)/(AA48-AA47)</f>
        <v>0.2</v>
      </c>
      <c r="AC47">
        <f>Z48-AB47*AA48</f>
        <v>2</v>
      </c>
    </row>
    <row r="48" spans="2:29">
      <c r="B48" s="2204"/>
      <c r="C48" s="2205"/>
      <c r="D48" s="2205"/>
      <c r="E48" s="2205"/>
      <c r="F48" s="2205"/>
      <c r="G48" s="2205"/>
      <c r="H48" s="2205"/>
      <c r="I48" s="2205"/>
      <c r="J48" s="2205"/>
      <c r="K48" s="2205"/>
      <c r="L48" s="2205"/>
      <c r="M48" s="2208"/>
      <c r="N48" s="2208"/>
      <c r="O48" s="2208"/>
      <c r="P48" s="2205"/>
      <c r="Q48" s="2206"/>
      <c r="V48" s="1">
        <v>3</v>
      </c>
      <c r="W48" s="1">
        <v>5</v>
      </c>
      <c r="X48">
        <f>(V49-V48)/(W49-W48)</f>
        <v>0.1</v>
      </c>
      <c r="Y48">
        <f>V49-X48*W49</f>
        <v>2.5</v>
      </c>
      <c r="Z48" s="1">
        <v>3</v>
      </c>
      <c r="AA48" s="1">
        <v>5</v>
      </c>
      <c r="AB48">
        <f>(Z49-Z48)/(AA49-AA48)</f>
        <v>0.1</v>
      </c>
      <c r="AC48">
        <f>Z49-AB48*AA49</f>
        <v>2.5</v>
      </c>
    </row>
    <row r="49" spans="2:29">
      <c r="B49" s="2204"/>
      <c r="C49" s="2205"/>
      <c r="D49" s="2205"/>
      <c r="E49" s="2208"/>
      <c r="F49" s="2208"/>
      <c r="G49" s="2208"/>
      <c r="H49" s="2208"/>
      <c r="I49" s="2208"/>
      <c r="J49" s="2208"/>
      <c r="K49" s="2208"/>
      <c r="L49" s="2208"/>
      <c r="M49" s="2208"/>
      <c r="N49" s="2208"/>
      <c r="O49" s="2208"/>
      <c r="P49" s="2205"/>
      <c r="Q49" s="2206"/>
      <c r="V49" s="1">
        <v>4</v>
      </c>
      <c r="W49" s="1">
        <v>15</v>
      </c>
      <c r="X49">
        <f>(V50-V49)/(W50-W49)</f>
        <v>0.05</v>
      </c>
      <c r="Y49">
        <f>V50-X49*W50</f>
        <v>3.25</v>
      </c>
      <c r="Z49" s="1">
        <v>4</v>
      </c>
      <c r="AA49" s="1">
        <v>15</v>
      </c>
      <c r="AB49">
        <f>(Z50-Z49)/(AA50-AA49)</f>
        <v>0.05</v>
      </c>
      <c r="AC49">
        <f>Z50-AB49*AA50</f>
        <v>3.25</v>
      </c>
    </row>
    <row r="50" spans="2:29">
      <c r="B50" s="2204"/>
      <c r="C50" s="2205"/>
      <c r="D50" s="2205" t="s">
        <v>1343</v>
      </c>
      <c r="E50" s="2208" t="s">
        <v>1344</v>
      </c>
      <c r="F50" s="2208"/>
      <c r="G50" s="2208"/>
      <c r="H50" s="2208"/>
      <c r="I50" s="2208"/>
      <c r="J50" s="2208"/>
      <c r="K50" s="2208"/>
      <c r="L50" s="2208"/>
      <c r="M50" s="2208"/>
      <c r="N50" s="2208"/>
      <c r="O50" s="2208"/>
      <c r="P50" s="2205"/>
      <c r="Q50" s="2206"/>
      <c r="V50" s="1">
        <v>5</v>
      </c>
      <c r="W50" s="1">
        <v>35</v>
      </c>
      <c r="Z50" s="1">
        <v>5</v>
      </c>
      <c r="AA50" s="1">
        <v>35</v>
      </c>
    </row>
    <row r="51" spans="2:29" ht="14.25" thickBot="1">
      <c r="B51" s="2204"/>
      <c r="C51" s="2205"/>
      <c r="D51" s="2205"/>
      <c r="E51" s="2208"/>
      <c r="F51" s="2208"/>
      <c r="G51" s="2208"/>
      <c r="H51" s="2238" t="s">
        <v>1345</v>
      </c>
      <c r="I51" s="2208" t="s">
        <v>1346</v>
      </c>
      <c r="J51" s="2208" t="s">
        <v>1347</v>
      </c>
      <c r="K51" s="2208" t="s">
        <v>1348</v>
      </c>
      <c r="L51" s="2208" t="s">
        <v>1349</v>
      </c>
      <c r="M51" s="2208" t="s">
        <v>1350</v>
      </c>
      <c r="N51" s="2208" t="s">
        <v>1351</v>
      </c>
      <c r="O51" s="2208"/>
      <c r="P51" s="2205"/>
      <c r="Q51" s="2206"/>
    </row>
    <row r="52" spans="2:29" ht="14.25" thickBot="1">
      <c r="B52" s="2204"/>
      <c r="C52" s="2205"/>
      <c r="D52" s="2205"/>
      <c r="E52" s="2208"/>
      <c r="F52" s="2208"/>
      <c r="G52" s="1980" t="s">
        <v>1352</v>
      </c>
      <c r="H52" s="2239"/>
      <c r="I52" s="1971">
        <f>H52*$N$29</f>
        <v>0</v>
      </c>
      <c r="J52" s="1971">
        <v>0</v>
      </c>
      <c r="K52" s="2231"/>
      <c r="L52" s="1971">
        <v>12181</v>
      </c>
      <c r="M52" s="2240">
        <f>I52*J52+K52*L52</f>
        <v>0</v>
      </c>
      <c r="N52" s="2241">
        <f>SUM(M52:M56)/1000</f>
        <v>0</v>
      </c>
      <c r="O52" s="2205" t="s">
        <v>1334</v>
      </c>
      <c r="P52" s="2205"/>
      <c r="Q52" s="2206"/>
    </row>
    <row r="53" spans="2:29">
      <c r="B53" s="2204"/>
      <c r="C53" s="2205"/>
      <c r="D53" s="2205"/>
      <c r="E53" s="2208"/>
      <c r="F53" s="2208"/>
      <c r="G53" s="1980" t="s">
        <v>1830</v>
      </c>
      <c r="H53" s="2242"/>
      <c r="I53" s="1971">
        <f t="shared" ref="I53:I56" si="0">H53*$N$29</f>
        <v>0</v>
      </c>
      <c r="J53" s="1971">
        <v>87</v>
      </c>
      <c r="K53" s="2234"/>
      <c r="L53" s="1971">
        <v>9571</v>
      </c>
      <c r="M53" s="1971">
        <f>I53*J53+K53*L53</f>
        <v>0</v>
      </c>
      <c r="N53" s="2208"/>
      <c r="O53" s="2208"/>
      <c r="P53" s="2205"/>
      <c r="Q53" s="2206"/>
    </row>
    <row r="54" spans="2:29">
      <c r="B54" s="2204"/>
      <c r="C54" s="2205"/>
      <c r="D54" s="2205"/>
      <c r="E54" s="2208"/>
      <c r="F54" s="2208"/>
      <c r="G54" s="1980" t="s">
        <v>1831</v>
      </c>
      <c r="H54" s="2242"/>
      <c r="I54" s="1971">
        <f t="shared" si="0"/>
        <v>0</v>
      </c>
      <c r="J54" s="1971">
        <v>167</v>
      </c>
      <c r="K54" s="2234"/>
      <c r="L54" s="1971">
        <v>4771</v>
      </c>
      <c r="M54" s="1971">
        <f>I54*J54+K54*L54</f>
        <v>0</v>
      </c>
      <c r="N54" s="2208"/>
      <c r="O54" s="2208"/>
      <c r="P54" s="2205"/>
      <c r="Q54" s="2206"/>
    </row>
    <row r="55" spans="2:29">
      <c r="B55" s="2204"/>
      <c r="C55" s="2205"/>
      <c r="D55" s="2205"/>
      <c r="E55" s="2208"/>
      <c r="F55" s="2208"/>
      <c r="G55" s="1980" t="s">
        <v>1832</v>
      </c>
      <c r="H55" s="2242"/>
      <c r="I55" s="1971">
        <f t="shared" si="0"/>
        <v>0</v>
      </c>
      <c r="J55" s="1971">
        <v>47</v>
      </c>
      <c r="K55" s="2234"/>
      <c r="L55" s="1971">
        <v>15571</v>
      </c>
      <c r="M55" s="1971">
        <f>I55*J55+K55*L55</f>
        <v>0</v>
      </c>
      <c r="N55" s="2208"/>
      <c r="O55" s="2208"/>
      <c r="P55" s="2205"/>
      <c r="Q55" s="2206"/>
    </row>
    <row r="56" spans="2:29" ht="14.25" thickBot="1">
      <c r="B56" s="2204"/>
      <c r="C56" s="2205"/>
      <c r="D56" s="2205"/>
      <c r="E56" s="2208"/>
      <c r="F56" s="2208"/>
      <c r="G56" s="1980" t="s">
        <v>1353</v>
      </c>
      <c r="H56" s="2243"/>
      <c r="I56" s="1971">
        <f t="shared" si="0"/>
        <v>0</v>
      </c>
      <c r="J56" s="1971">
        <v>0</v>
      </c>
      <c r="K56" s="2235"/>
      <c r="L56" s="1971">
        <v>21211</v>
      </c>
      <c r="M56" s="1971">
        <f>I56*J56+K56*L56</f>
        <v>0</v>
      </c>
      <c r="N56" s="2208"/>
      <c r="O56" s="2208"/>
      <c r="P56" s="2205"/>
      <c r="Q56" s="2206"/>
    </row>
    <row r="57" spans="2:29">
      <c r="B57" s="2204"/>
      <c r="C57" s="2205"/>
      <c r="D57" s="2205"/>
      <c r="E57" s="2205"/>
      <c r="F57" s="2205"/>
      <c r="G57" s="2205" t="s">
        <v>537</v>
      </c>
      <c r="H57" s="2244">
        <f>SUM(H52:H56)</f>
        <v>0</v>
      </c>
      <c r="I57" s="2205"/>
      <c r="J57" s="2208"/>
      <c r="K57" s="2205"/>
      <c r="L57" s="2205"/>
      <c r="M57" s="2205"/>
      <c r="N57" s="2205"/>
      <c r="O57" s="2205"/>
      <c r="P57" s="2205"/>
      <c r="Q57" s="2206"/>
    </row>
    <row r="58" spans="2:29">
      <c r="B58" s="2204"/>
      <c r="C58" s="2205"/>
      <c r="D58" s="2205"/>
      <c r="E58" s="2205"/>
      <c r="F58" s="2205"/>
      <c r="G58" s="2205"/>
      <c r="H58" s="2205"/>
      <c r="I58" s="2205"/>
      <c r="J58" s="2208"/>
      <c r="K58" s="2205"/>
      <c r="L58" s="2205"/>
      <c r="M58" s="2205"/>
      <c r="N58" s="2205"/>
      <c r="O58" s="2205"/>
      <c r="P58" s="2205"/>
      <c r="Q58" s="2206"/>
    </row>
    <row r="59" spans="2:29">
      <c r="B59" s="2204"/>
      <c r="C59" s="2205"/>
      <c r="D59" s="2205"/>
      <c r="E59" s="2205"/>
      <c r="F59" s="2205"/>
      <c r="G59" s="2205"/>
      <c r="H59" s="2205"/>
      <c r="I59" s="2205"/>
      <c r="J59" s="2208"/>
      <c r="K59" s="2205"/>
      <c r="L59" s="2205"/>
      <c r="M59" s="2205"/>
      <c r="N59" s="2205"/>
      <c r="O59" s="2205"/>
      <c r="P59" s="2205"/>
      <c r="Q59" s="2206"/>
      <c r="T59" s="2168" t="s">
        <v>1354</v>
      </c>
    </row>
    <row r="60" spans="2:29" ht="14.25" thickBot="1">
      <c r="B60" s="2204"/>
      <c r="C60" s="2205"/>
      <c r="D60" s="2236" t="s">
        <v>1804</v>
      </c>
      <c r="E60" s="2205"/>
      <c r="F60" s="2205"/>
      <c r="G60" s="2205"/>
      <c r="H60" s="2205"/>
      <c r="I60" s="2205"/>
      <c r="J60" s="2208"/>
      <c r="K60" s="2205"/>
      <c r="L60" s="2205"/>
      <c r="M60" s="2205"/>
      <c r="N60" s="2205"/>
      <c r="O60" s="2205"/>
      <c r="P60" s="2205"/>
      <c r="Q60" s="2206"/>
      <c r="T60">
        <v>1</v>
      </c>
    </row>
    <row r="61" spans="2:29" ht="13.5" customHeight="1" thickBot="1">
      <c r="B61" s="2204"/>
      <c r="C61" s="2205"/>
      <c r="D61" s="2205"/>
      <c r="E61" s="3027" t="s">
        <v>1833</v>
      </c>
      <c r="F61" s="3027"/>
      <c r="G61" s="3027"/>
      <c r="H61" s="3027"/>
      <c r="I61" s="3027"/>
      <c r="J61" s="3027"/>
      <c r="K61" s="3027"/>
      <c r="L61" s="2205"/>
      <c r="M61" s="2205" t="s">
        <v>1355</v>
      </c>
      <c r="N61" s="3028" t="s">
        <v>1354</v>
      </c>
      <c r="O61" s="3029"/>
      <c r="P61" s="3030"/>
      <c r="Q61" s="2206"/>
      <c r="T61">
        <v>4</v>
      </c>
    </row>
    <row r="62" spans="2:29">
      <c r="B62" s="2204"/>
      <c r="C62" s="2205"/>
      <c r="D62" s="2205"/>
      <c r="E62" s="3027"/>
      <c r="F62" s="3027"/>
      <c r="G62" s="3027"/>
      <c r="H62" s="3027"/>
      <c r="I62" s="3027"/>
      <c r="J62" s="3027"/>
      <c r="K62" s="3027"/>
      <c r="L62" s="2205"/>
      <c r="M62" s="2205"/>
      <c r="N62" s="2205"/>
      <c r="O62" s="2205"/>
      <c r="P62" s="2205"/>
      <c r="Q62" s="2206"/>
    </row>
    <row r="63" spans="2:29">
      <c r="B63" s="2204"/>
      <c r="C63" s="2205"/>
      <c r="D63" s="2205"/>
      <c r="E63" s="3027"/>
      <c r="F63" s="3027"/>
      <c r="G63" s="3027"/>
      <c r="H63" s="3027"/>
      <c r="I63" s="3027"/>
      <c r="J63" s="3027"/>
      <c r="K63" s="3027"/>
      <c r="L63" s="2205"/>
      <c r="M63" s="2205"/>
      <c r="N63" s="2205"/>
      <c r="O63" s="2205"/>
      <c r="P63" s="2205"/>
      <c r="Q63" s="2206"/>
    </row>
    <row r="64" spans="2:29" ht="7.5" customHeight="1" thickBot="1">
      <c r="B64" s="2204"/>
      <c r="C64" s="2205"/>
      <c r="D64" s="2205"/>
      <c r="E64" s="2205"/>
      <c r="F64" s="2205"/>
      <c r="G64" s="2205"/>
      <c r="H64" s="2205"/>
      <c r="I64" s="2205"/>
      <c r="J64" s="2208"/>
      <c r="K64" s="2205"/>
      <c r="L64" s="2205"/>
      <c r="M64" s="2205"/>
      <c r="N64" s="2205"/>
      <c r="O64" s="2205"/>
      <c r="P64" s="2205"/>
      <c r="Q64" s="2206"/>
    </row>
    <row r="65" spans="2:21" ht="14.25" thickBot="1">
      <c r="B65" s="2204"/>
      <c r="C65" s="2205"/>
      <c r="D65" s="2205"/>
      <c r="E65" s="2205" t="s">
        <v>1356</v>
      </c>
      <c r="F65" s="2213" t="s">
        <v>1357</v>
      </c>
      <c r="G65" s="2205"/>
      <c r="H65" s="2205"/>
      <c r="I65" s="2205"/>
      <c r="J65" s="2208" t="s">
        <v>1358</v>
      </c>
      <c r="K65" s="2213" t="s">
        <v>1357</v>
      </c>
      <c r="L65" s="2205"/>
      <c r="M65" s="2205"/>
      <c r="N65" s="2205"/>
      <c r="O65" s="2205"/>
      <c r="P65" s="2205"/>
      <c r="Q65" s="2206"/>
      <c r="T65" t="s">
        <v>1245</v>
      </c>
      <c r="U65" t="s">
        <v>1246</v>
      </c>
    </row>
    <row r="66" spans="2:21">
      <c r="B66" s="2204"/>
      <c r="C66" s="2205"/>
      <c r="D66" s="2205"/>
      <c r="E66" s="2205"/>
      <c r="F66" s="2205" t="s">
        <v>1359</v>
      </c>
      <c r="G66" s="2205"/>
      <c r="H66" s="2205"/>
      <c r="I66" s="2205"/>
      <c r="J66" s="2208"/>
      <c r="K66" s="2205" t="s">
        <v>1360</v>
      </c>
      <c r="L66" s="2205"/>
      <c r="M66" s="2205"/>
      <c r="N66" s="2205"/>
      <c r="O66" s="2205"/>
      <c r="P66" s="2205"/>
      <c r="Q66" s="2206"/>
      <c r="T66" t="s">
        <v>1256</v>
      </c>
      <c r="U66" t="s">
        <v>1252</v>
      </c>
    </row>
    <row r="67" spans="2:21">
      <c r="B67" s="2204"/>
      <c r="C67" s="2205"/>
      <c r="D67" s="2205"/>
      <c r="E67" s="2205"/>
      <c r="F67" s="2205" t="s">
        <v>1361</v>
      </c>
      <c r="G67" s="2205"/>
      <c r="H67" s="2205"/>
      <c r="I67" s="2205"/>
      <c r="J67" s="2208"/>
      <c r="K67" s="2205" t="s">
        <v>1362</v>
      </c>
      <c r="L67" s="2205"/>
      <c r="M67" s="2205"/>
      <c r="N67" s="2205"/>
      <c r="O67" s="2205"/>
      <c r="P67" s="2205"/>
      <c r="Q67" s="2206"/>
      <c r="T67" t="s">
        <v>1263</v>
      </c>
      <c r="U67" t="s">
        <v>1363</v>
      </c>
    </row>
    <row r="68" spans="2:21">
      <c r="B68" s="2204"/>
      <c r="C68" s="2205"/>
      <c r="D68" s="2205"/>
      <c r="E68" s="2205"/>
      <c r="F68" s="2205" t="s">
        <v>1364</v>
      </c>
      <c r="G68" s="2205"/>
      <c r="H68" s="2205"/>
      <c r="I68" s="2205"/>
      <c r="J68" s="2208"/>
      <c r="K68" s="2205" t="s">
        <v>1365</v>
      </c>
      <c r="L68" s="2205"/>
      <c r="M68" s="2205"/>
      <c r="N68" s="2205"/>
      <c r="O68" s="2205"/>
      <c r="P68" s="2205"/>
      <c r="Q68" s="2206"/>
      <c r="T68" t="s">
        <v>1363</v>
      </c>
    </row>
    <row r="69" spans="2:21" ht="14.25" thickBot="1">
      <c r="B69" s="2245"/>
      <c r="C69" s="2246"/>
      <c r="D69" s="2246"/>
      <c r="E69" s="2246"/>
      <c r="F69" s="2246" t="s">
        <v>1365</v>
      </c>
      <c r="G69" s="2246"/>
      <c r="H69" s="2246"/>
      <c r="I69" s="2246"/>
      <c r="J69" s="2247"/>
      <c r="K69" s="2246"/>
      <c r="L69" s="2246"/>
      <c r="M69" s="2246"/>
      <c r="N69" s="2246"/>
      <c r="O69" s="2246"/>
      <c r="P69" s="2246"/>
      <c r="Q69" s="2248"/>
    </row>
    <row r="70" spans="2:21" ht="14.25" thickBot="1">
      <c r="B70" s="509"/>
      <c r="C70" s="509"/>
      <c r="D70" s="509"/>
      <c r="E70" s="509"/>
      <c r="F70" s="509"/>
      <c r="G70" s="509"/>
      <c r="H70" s="509"/>
      <c r="I70" s="509"/>
      <c r="J70" s="509"/>
      <c r="K70" s="509"/>
      <c r="L70" s="509"/>
      <c r="M70" s="509"/>
      <c r="N70" s="509"/>
      <c r="O70" s="509"/>
      <c r="P70" s="509"/>
      <c r="Q70" s="509"/>
    </row>
    <row r="71" spans="2:21" ht="27" customHeight="1">
      <c r="B71" s="2249"/>
      <c r="C71" s="2250" t="s">
        <v>1366</v>
      </c>
      <c r="D71" s="2251"/>
      <c r="E71" s="2251"/>
      <c r="F71" s="2251"/>
      <c r="G71" s="2251"/>
      <c r="H71" s="2251"/>
      <c r="I71" s="2251"/>
      <c r="J71" s="2251"/>
      <c r="K71" s="2251"/>
      <c r="L71" s="2251"/>
      <c r="M71" s="2251"/>
      <c r="N71" s="2252"/>
      <c r="O71" s="2253"/>
      <c r="P71" s="2253"/>
      <c r="Q71" s="2254"/>
    </row>
    <row r="72" spans="2:21">
      <c r="B72" s="2255"/>
      <c r="C72" s="1446"/>
      <c r="D72" s="1446" t="s">
        <v>1810</v>
      </c>
      <c r="E72" s="2205"/>
      <c r="F72" s="2205"/>
      <c r="G72" s="2208"/>
      <c r="H72" s="2205"/>
      <c r="I72" s="2205"/>
      <c r="J72" s="2205"/>
      <c r="K72" s="2205"/>
      <c r="L72" s="2205"/>
      <c r="M72" s="2205"/>
      <c r="N72" s="2205" t="s">
        <v>111</v>
      </c>
      <c r="O72" s="2205"/>
      <c r="P72" s="2205"/>
      <c r="Q72" s="2256" t="s">
        <v>180</v>
      </c>
    </row>
    <row r="73" spans="2:21">
      <c r="B73" s="2255"/>
      <c r="C73" s="1446"/>
      <c r="D73" s="1446"/>
      <c r="E73" s="2205"/>
      <c r="F73" s="2212" t="s">
        <v>1367</v>
      </c>
      <c r="G73" s="2205"/>
      <c r="H73" s="2205"/>
      <c r="I73" s="2205"/>
      <c r="J73" s="2205" t="s">
        <v>1368</v>
      </c>
      <c r="K73" s="2205"/>
      <c r="L73" s="2257" t="s">
        <v>1369</v>
      </c>
      <c r="M73" s="2205"/>
      <c r="N73" s="1443" t="s">
        <v>1334</v>
      </c>
      <c r="O73" s="1452"/>
      <c r="P73" s="1452"/>
      <c r="Q73" s="1445" t="s">
        <v>1334</v>
      </c>
    </row>
    <row r="74" spans="2:21">
      <c r="B74" s="2255"/>
      <c r="C74" s="1446"/>
      <c r="D74" s="1446"/>
      <c r="E74" s="2208" t="s">
        <v>1370</v>
      </c>
      <c r="F74" s="2258" t="str">
        <f>IF(E24=S27,I45,I26)</f>
        <v>-</v>
      </c>
      <c r="G74" s="147"/>
      <c r="H74" s="2205"/>
      <c r="I74" s="2205"/>
      <c r="J74" s="2259">
        <f>(H98*N98+H100*N100+N101*H101)/1000</f>
        <v>0</v>
      </c>
      <c r="K74" s="2260" t="s">
        <v>1334</v>
      </c>
      <c r="L74" s="2261" t="e">
        <f>N104</f>
        <v>#DIV/0!</v>
      </c>
      <c r="M74" s="2260"/>
      <c r="N74" s="2262" t="e">
        <f>(J94*F74-J74)*L74</f>
        <v>#VALUE!</v>
      </c>
      <c r="O74" s="1452"/>
      <c r="P74" s="1986"/>
      <c r="Q74" s="2263">
        <f>J94</f>
        <v>0</v>
      </c>
      <c r="T74" s="2264" t="e">
        <f>T94/Q74</f>
        <v>#DIV/0!</v>
      </c>
    </row>
    <row r="75" spans="2:21">
      <c r="B75" s="2204"/>
      <c r="C75" s="2205"/>
      <c r="D75" s="2205"/>
      <c r="E75" s="2205"/>
      <c r="F75" s="2205"/>
      <c r="G75" s="2205"/>
      <c r="H75" s="2205"/>
      <c r="I75" s="2205"/>
      <c r="J75" s="2205"/>
      <c r="K75" s="2205"/>
      <c r="L75" s="2205"/>
      <c r="M75" s="2205"/>
      <c r="N75" s="2205"/>
      <c r="O75" s="2205"/>
      <c r="P75" s="2205"/>
      <c r="Q75" s="2206"/>
    </row>
    <row r="76" spans="2:21">
      <c r="B76" s="2204"/>
      <c r="C76" s="2205"/>
      <c r="D76" s="2205"/>
      <c r="E76" s="2205"/>
      <c r="F76" s="2205"/>
      <c r="G76" s="2257"/>
      <c r="H76" s="2257" t="s">
        <v>1371</v>
      </c>
      <c r="I76" s="2205"/>
      <c r="J76" s="2257" t="s">
        <v>1372</v>
      </c>
      <c r="K76" s="2257"/>
      <c r="L76" s="2257" t="s">
        <v>1373</v>
      </c>
      <c r="M76" s="2205"/>
      <c r="N76" s="2205"/>
      <c r="O76" s="2205"/>
      <c r="P76" s="2205"/>
      <c r="Q76" s="2206"/>
    </row>
    <row r="77" spans="2:21">
      <c r="B77" s="2204"/>
      <c r="C77" s="2205"/>
      <c r="D77" s="2205"/>
      <c r="E77" s="2205"/>
      <c r="F77" s="2205"/>
      <c r="G77" s="2212"/>
      <c r="H77" s="2212" t="s">
        <v>1308</v>
      </c>
      <c r="I77" s="2205"/>
      <c r="J77" s="2257" t="s">
        <v>1374</v>
      </c>
      <c r="K77" s="2257"/>
      <c r="L77" s="2257" t="s">
        <v>234</v>
      </c>
      <c r="M77" s="2205"/>
      <c r="N77" s="2205"/>
      <c r="O77" s="2205"/>
      <c r="P77" s="2205"/>
      <c r="Q77" s="2206"/>
      <c r="S77" t="s">
        <v>1375</v>
      </c>
    </row>
    <row r="78" spans="2:21">
      <c r="B78" s="2204"/>
      <c r="C78" s="2205"/>
      <c r="D78" s="2205"/>
      <c r="E78" s="2265" t="s">
        <v>199</v>
      </c>
      <c r="F78" s="2266" t="s">
        <v>519</v>
      </c>
      <c r="G78" s="2267"/>
      <c r="H78" s="517">
        <f>メイン!P71</f>
        <v>0</v>
      </c>
      <c r="I78" s="1454"/>
      <c r="J78" s="517">
        <f>CO2データ!V151</f>
        <v>0</v>
      </c>
      <c r="K78" s="1454"/>
      <c r="L78" s="2268" t="e">
        <f>CO2データ!R151</f>
        <v>#VALUE!</v>
      </c>
      <c r="M78" s="2205"/>
      <c r="N78" s="2205"/>
      <c r="O78" s="2205"/>
      <c r="P78" s="2205"/>
      <c r="Q78" s="2206"/>
      <c r="S78" s="1983">
        <f>CO2データ!N151</f>
        <v>0.9</v>
      </c>
    </row>
    <row r="79" spans="2:21">
      <c r="B79" s="2204"/>
      <c r="C79" s="2205"/>
      <c r="D79" s="2205"/>
      <c r="E79" s="2269"/>
      <c r="F79" s="2266" t="s">
        <v>1218</v>
      </c>
      <c r="G79" s="2267"/>
      <c r="H79" s="517">
        <f>メイン!P72</f>
        <v>0</v>
      </c>
      <c r="I79" s="1454"/>
      <c r="J79" s="517">
        <f>CO2データ!V152</f>
        <v>0</v>
      </c>
      <c r="K79" s="1454"/>
      <c r="L79" s="2268" t="e">
        <f>CO2データ!R152</f>
        <v>#VALUE!</v>
      </c>
      <c r="M79" s="2205"/>
      <c r="N79" s="2205"/>
      <c r="O79" s="2205"/>
      <c r="P79" s="2205"/>
      <c r="Q79" s="2206"/>
      <c r="S79" s="1983">
        <f>CO2データ!N152</f>
        <v>0.83</v>
      </c>
    </row>
    <row r="80" spans="2:21">
      <c r="B80" s="2204"/>
      <c r="C80" s="2205"/>
      <c r="D80" s="2205"/>
      <c r="E80" s="2270" t="s">
        <v>1219</v>
      </c>
      <c r="F80" s="2266" t="s">
        <v>1220</v>
      </c>
      <c r="G80" s="2267"/>
      <c r="H80" s="517">
        <f>メイン!P73</f>
        <v>0</v>
      </c>
      <c r="I80" s="1454"/>
      <c r="J80" s="517">
        <f>CO2データ!V153</f>
        <v>0</v>
      </c>
      <c r="K80" s="1454"/>
      <c r="L80" s="2268" t="e">
        <f>CO2データ!R153</f>
        <v>#VALUE!</v>
      </c>
      <c r="M80" s="2205"/>
      <c r="N80" s="2205"/>
      <c r="O80" s="2205"/>
      <c r="P80" s="2205"/>
      <c r="Q80" s="2206"/>
      <c r="S80" s="1983">
        <f>CO2データ!N153</f>
        <v>0.71</v>
      </c>
    </row>
    <row r="81" spans="2:27">
      <c r="B81" s="2204"/>
      <c r="C81" s="2205"/>
      <c r="D81" s="2205"/>
      <c r="E81" s="2270"/>
      <c r="F81" s="2271" t="s">
        <v>1221</v>
      </c>
      <c r="G81" s="2272" t="s">
        <v>1075</v>
      </c>
      <c r="H81" s="517">
        <f>メイン!P74</f>
        <v>0</v>
      </c>
      <c r="I81" s="1454"/>
      <c r="J81" s="517">
        <f>CO2データ!V154</f>
        <v>0</v>
      </c>
      <c r="K81" s="1454"/>
      <c r="L81" s="2268" t="e">
        <f>CO2データ!R154</f>
        <v>#VALUE!</v>
      </c>
      <c r="M81" s="2205"/>
      <c r="N81" s="2205"/>
      <c r="O81" s="2205"/>
      <c r="P81" s="2205"/>
      <c r="Q81" s="2206"/>
      <c r="S81" s="1983">
        <f>CO2データ!N154</f>
        <v>0.62299911901772109</v>
      </c>
    </row>
    <row r="82" spans="2:27">
      <c r="B82" s="2204"/>
      <c r="C82" s="2205"/>
      <c r="D82" s="2205"/>
      <c r="E82" s="2270"/>
      <c r="F82" s="2273"/>
      <c r="G82" s="2272" t="s">
        <v>568</v>
      </c>
      <c r="H82" s="517">
        <f>メイン!P75</f>
        <v>0</v>
      </c>
      <c r="I82" s="1454"/>
      <c r="J82" s="517">
        <f>CO2データ!V155</f>
        <v>0</v>
      </c>
      <c r="K82" s="1454"/>
      <c r="L82" s="2268" t="e">
        <f>CO2データ!R155</f>
        <v>#VALUE!</v>
      </c>
      <c r="M82" s="2205"/>
      <c r="N82" s="2205"/>
      <c r="O82" s="2205"/>
      <c r="P82" s="2205"/>
      <c r="Q82" s="2206"/>
      <c r="S82" s="1983">
        <f>CO2データ!N155</f>
        <v>0.75998792472086629</v>
      </c>
    </row>
    <row r="83" spans="2:27">
      <c r="B83" s="2204"/>
      <c r="C83" s="2205"/>
      <c r="D83" s="2205"/>
      <c r="E83" s="2270"/>
      <c r="F83" s="2266" t="s">
        <v>1222</v>
      </c>
      <c r="G83" s="2267"/>
      <c r="H83" s="517">
        <f>メイン!P76</f>
        <v>0</v>
      </c>
      <c r="I83" s="1454"/>
      <c r="J83" s="517">
        <f>CO2データ!V156</f>
        <v>0</v>
      </c>
      <c r="K83" s="1454"/>
      <c r="L83" s="2268" t="e">
        <f>CO2データ!R156</f>
        <v>#VALUE!</v>
      </c>
      <c r="M83" s="2205"/>
      <c r="N83" s="2205"/>
      <c r="O83" s="2205"/>
      <c r="P83" s="2205"/>
      <c r="Q83" s="2206"/>
      <c r="S83" s="1983">
        <f>CO2データ!N156</f>
        <v>0.74</v>
      </c>
    </row>
    <row r="84" spans="2:27">
      <c r="B84" s="2204"/>
      <c r="C84" s="2205"/>
      <c r="D84" s="2205"/>
      <c r="E84" s="2269"/>
      <c r="F84" s="2266" t="s">
        <v>1223</v>
      </c>
      <c r="G84" s="2267"/>
      <c r="H84" s="517">
        <f>メイン!P77</f>
        <v>0</v>
      </c>
      <c r="I84" s="1454"/>
      <c r="J84" s="517">
        <f>CO2データ!V157</f>
        <v>0</v>
      </c>
      <c r="K84" s="1454"/>
      <c r="L84" s="2268" t="e">
        <f>CO2データ!R157</f>
        <v>#VALUE!</v>
      </c>
      <c r="M84" s="2205"/>
      <c r="N84" s="2205"/>
      <c r="O84" s="2205"/>
      <c r="P84" s="2205"/>
      <c r="Q84" s="2206"/>
      <c r="S84" s="1983">
        <f>CO2データ!N157</f>
        <v>0.79</v>
      </c>
    </row>
    <row r="85" spans="2:27">
      <c r="B85" s="2204"/>
      <c r="C85" s="2205"/>
      <c r="D85" s="2205"/>
      <c r="E85" s="2265" t="s">
        <v>1224</v>
      </c>
      <c r="F85" s="2266" t="s">
        <v>909</v>
      </c>
      <c r="G85" s="2267"/>
      <c r="H85" s="517">
        <f>メイン!P78</f>
        <v>0</v>
      </c>
      <c r="I85" s="1454"/>
      <c r="J85" s="517">
        <f>CO2データ!V158</f>
        <v>0</v>
      </c>
      <c r="K85" s="1454"/>
      <c r="L85" s="2268" t="e">
        <f>CO2データ!R158</f>
        <v>#VALUE!</v>
      </c>
      <c r="M85" s="2205"/>
      <c r="N85" s="2205"/>
      <c r="O85" s="2205"/>
      <c r="P85" s="2205"/>
      <c r="Q85" s="2206"/>
      <c r="S85" s="1983">
        <f>CO2データ!N158</f>
        <v>0.93</v>
      </c>
    </row>
    <row r="86" spans="2:27">
      <c r="B86" s="2204"/>
      <c r="C86" s="2205"/>
      <c r="D86" s="2205"/>
      <c r="E86" s="2269"/>
      <c r="F86" s="2266" t="s">
        <v>1225</v>
      </c>
      <c r="G86" s="2267"/>
      <c r="H86" s="517">
        <f>メイン!P79</f>
        <v>0</v>
      </c>
      <c r="I86" s="1454"/>
      <c r="J86" s="517">
        <f>CO2データ!V159</f>
        <v>0</v>
      </c>
      <c r="K86" s="1454"/>
      <c r="L86" s="2268" t="e">
        <f>CO2データ!R159</f>
        <v>#VALUE!</v>
      </c>
      <c r="M86" s="2205"/>
      <c r="N86" s="2205"/>
      <c r="O86" s="2205"/>
      <c r="P86" s="2205"/>
      <c r="Q86" s="2206"/>
      <c r="S86" s="1983">
        <f>CO2データ!N159</f>
        <v>0.92</v>
      </c>
    </row>
    <row r="87" spans="2:27">
      <c r="B87" s="2204"/>
      <c r="C87" s="2205"/>
      <c r="D87" s="2205"/>
      <c r="E87" s="2266" t="s">
        <v>525</v>
      </c>
      <c r="F87" s="2274"/>
      <c r="G87" s="2267"/>
      <c r="H87" s="517">
        <f>メイン!P80</f>
        <v>0</v>
      </c>
      <c r="I87" s="1454"/>
      <c r="J87" s="517">
        <f>CO2データ!V160</f>
        <v>0</v>
      </c>
      <c r="K87" s="1454"/>
      <c r="L87" s="2268" t="e">
        <f>CO2データ!R160</f>
        <v>#VALUE!</v>
      </c>
      <c r="M87" s="2205"/>
      <c r="N87" s="2205"/>
      <c r="O87" s="2205"/>
      <c r="P87" s="2205"/>
      <c r="Q87" s="2206"/>
      <c r="S87" s="1983">
        <f>CO2データ!N160</f>
        <v>0.5</v>
      </c>
    </row>
    <row r="88" spans="2:27">
      <c r="B88" s="2204"/>
      <c r="C88" s="2205"/>
      <c r="D88" s="2205"/>
      <c r="E88" s="2265" t="s">
        <v>1226</v>
      </c>
      <c r="F88" s="2266" t="s">
        <v>1227</v>
      </c>
      <c r="G88" s="2267"/>
      <c r="H88" s="517">
        <f>メイン!P81</f>
        <v>0</v>
      </c>
      <c r="I88" s="1454"/>
      <c r="J88" s="517">
        <f>CO2データ!V161</f>
        <v>0</v>
      </c>
      <c r="K88" s="1454"/>
      <c r="L88" s="2268" t="e">
        <f>CO2データ!R161</f>
        <v>#VALUE!</v>
      </c>
      <c r="M88" s="2205"/>
      <c r="N88" s="2205"/>
      <c r="O88" s="2205"/>
      <c r="P88" s="2205"/>
      <c r="Q88" s="2206"/>
      <c r="S88" s="1983">
        <f>CO2データ!N161</f>
        <v>0.76</v>
      </c>
    </row>
    <row r="89" spans="2:27">
      <c r="B89" s="2204"/>
      <c r="C89" s="2205"/>
      <c r="D89" s="2205"/>
      <c r="E89" s="2270"/>
      <c r="F89" s="2266" t="s">
        <v>1228</v>
      </c>
      <c r="G89" s="2267"/>
      <c r="H89" s="517">
        <f>メイン!P82</f>
        <v>0</v>
      </c>
      <c r="I89" s="1454"/>
      <c r="J89" s="517">
        <f>CO2データ!V162</f>
        <v>0</v>
      </c>
      <c r="K89" s="1454"/>
      <c r="L89" s="2268" t="e">
        <f>CO2データ!R162</f>
        <v>#VALUE!</v>
      </c>
      <c r="M89" s="2205"/>
      <c r="N89" s="2205"/>
      <c r="O89" s="2205"/>
      <c r="P89" s="2205"/>
      <c r="Q89" s="2206"/>
      <c r="S89" s="1983">
        <f>CO2データ!N162</f>
        <v>0.81</v>
      </c>
    </row>
    <row r="90" spans="2:27">
      <c r="B90" s="2204"/>
      <c r="C90" s="2205"/>
      <c r="D90" s="2205"/>
      <c r="E90" s="2270"/>
      <c r="F90" s="2271" t="s">
        <v>1229</v>
      </c>
      <c r="G90" s="2275"/>
      <c r="H90" s="517">
        <f>メイン!P83</f>
        <v>0</v>
      </c>
      <c r="I90" s="1454"/>
      <c r="J90" s="517">
        <f>CO2データ!V163</f>
        <v>0</v>
      </c>
      <c r="K90" s="1454"/>
      <c r="L90" s="2268" t="e">
        <f>CO2データ!R163</f>
        <v>#VALUE!</v>
      </c>
      <c r="M90" s="2205"/>
      <c r="N90" s="2205"/>
      <c r="O90" s="2205"/>
      <c r="P90" s="2205"/>
      <c r="Q90" s="2206"/>
      <c r="S90" s="1983">
        <f>CO2データ!N163</f>
        <v>0.92</v>
      </c>
    </row>
    <row r="91" spans="2:27">
      <c r="B91" s="2204"/>
      <c r="C91" s="2205"/>
      <c r="D91" s="2205"/>
      <c r="E91" s="2266" t="s">
        <v>535</v>
      </c>
      <c r="F91" s="2274"/>
      <c r="G91" s="2267"/>
      <c r="H91" s="517">
        <f>メイン!P84</f>
        <v>0</v>
      </c>
      <c r="I91" s="1454"/>
      <c r="J91" s="517">
        <f>CO2データ!V164</f>
        <v>0</v>
      </c>
      <c r="K91" s="1454"/>
      <c r="L91" s="2268" t="e">
        <f>CO2データ!R164</f>
        <v>#VALUE!</v>
      </c>
      <c r="M91" s="2205"/>
      <c r="N91" s="2205"/>
      <c r="O91" s="2205"/>
      <c r="P91" s="2205"/>
      <c r="Q91" s="2206"/>
      <c r="S91" s="1983">
        <f>CO2データ!N164</f>
        <v>1</v>
      </c>
    </row>
    <row r="92" spans="2:27">
      <c r="B92" s="2204"/>
      <c r="C92" s="2205"/>
      <c r="D92" s="2205"/>
      <c r="E92" s="2266" t="s">
        <v>529</v>
      </c>
      <c r="F92" s="2274"/>
      <c r="G92" s="2267"/>
      <c r="H92" s="517">
        <f>メイン!P85</f>
        <v>0</v>
      </c>
      <c r="I92" s="1454"/>
      <c r="J92" s="517">
        <f>CO2データ!V165</f>
        <v>0</v>
      </c>
      <c r="K92" s="1454"/>
      <c r="L92" s="2268" t="e">
        <f>CO2データ!R165</f>
        <v>#VALUE!</v>
      </c>
      <c r="M92" s="2205"/>
      <c r="N92" s="2205"/>
      <c r="O92" s="2205"/>
      <c r="P92" s="2205"/>
      <c r="Q92" s="2206"/>
      <c r="S92" s="1983">
        <f>CO2データ!N165</f>
        <v>0.65</v>
      </c>
    </row>
    <row r="93" spans="2:27" ht="14.25" thickBot="1">
      <c r="B93" s="2204"/>
      <c r="C93" s="2205"/>
      <c r="D93" s="2205"/>
      <c r="E93" s="2266" t="s">
        <v>1230</v>
      </c>
      <c r="F93" s="2274"/>
      <c r="G93" s="2267"/>
      <c r="H93" s="517">
        <f>メイン!P86</f>
        <v>0</v>
      </c>
      <c r="I93" s="1454"/>
      <c r="J93" s="517">
        <f>CO2データ!V166</f>
        <v>0</v>
      </c>
      <c r="K93" s="1454"/>
      <c r="L93" s="2268" t="e">
        <f>CO2データ!R166</f>
        <v>#VALUE!</v>
      </c>
      <c r="M93" s="2205"/>
      <c r="N93" s="2205"/>
      <c r="O93" s="2205"/>
      <c r="P93" s="2205"/>
      <c r="Q93" s="2206"/>
      <c r="S93" s="1983">
        <f>CO2データ!N166</f>
        <v>0.77</v>
      </c>
    </row>
    <row r="94" spans="2:27" ht="14.25" thickBot="1">
      <c r="B94" s="2204"/>
      <c r="C94" s="2205"/>
      <c r="D94" s="2205"/>
      <c r="E94" s="2276" t="s">
        <v>1376</v>
      </c>
      <c r="F94" s="2276" t="s">
        <v>537</v>
      </c>
      <c r="G94" s="2276"/>
      <c r="H94" s="2277">
        <f>SUM(H78:H93)</f>
        <v>0</v>
      </c>
      <c r="I94" s="1454"/>
      <c r="J94" s="2277">
        <f>SUMPRODUCT(H78:H93,J78:J93)/1000</f>
        <v>0</v>
      </c>
      <c r="K94" s="1454" t="s">
        <v>1377</v>
      </c>
      <c r="L94" s="2278" t="e">
        <f>SUMPRODUCT(H78:H93,L78:L93)/H94</f>
        <v>#VALUE!</v>
      </c>
      <c r="M94" s="2205"/>
      <c r="N94" s="2205"/>
      <c r="O94" s="2205"/>
      <c r="P94" s="2205"/>
      <c r="Q94" s="2206"/>
      <c r="S94" s="1983"/>
      <c r="T94" s="2279">
        <f>SUMPRODUCT(H78:H93,J78:J93,S78:S93)/1000</f>
        <v>0</v>
      </c>
    </row>
    <row r="95" spans="2:27">
      <c r="B95" s="2204"/>
      <c r="C95" s="2205"/>
      <c r="D95" s="2205"/>
      <c r="E95" s="1454"/>
      <c r="F95" s="1454"/>
      <c r="G95" s="1454"/>
      <c r="H95" s="1454"/>
      <c r="I95" s="1454"/>
      <c r="J95" s="1454"/>
      <c r="K95" s="1454"/>
      <c r="L95" s="1454"/>
      <c r="M95" s="2205"/>
      <c r="N95" s="2205"/>
      <c r="O95" s="2205"/>
      <c r="P95" s="2205"/>
      <c r="Q95" s="2206"/>
    </row>
    <row r="96" spans="2:27">
      <c r="B96" s="2204"/>
      <c r="C96" s="2205"/>
      <c r="D96" s="2205"/>
      <c r="E96" s="1455" t="s">
        <v>1378</v>
      </c>
      <c r="F96" s="147"/>
      <c r="G96" s="2205"/>
      <c r="H96" s="2257" t="s">
        <v>1371</v>
      </c>
      <c r="I96" s="2205"/>
      <c r="J96" s="2205"/>
      <c r="K96" s="2205"/>
      <c r="L96" s="2205"/>
      <c r="M96" s="2205"/>
      <c r="N96" s="2205"/>
      <c r="O96" s="2205"/>
      <c r="P96" s="2205"/>
      <c r="Q96" s="2206"/>
      <c r="V96" s="1"/>
      <c r="W96" s="1"/>
      <c r="Z96" s="1"/>
      <c r="AA96" s="1"/>
    </row>
    <row r="97" spans="2:27" ht="14.25" hidden="1" thickBot="1">
      <c r="B97" s="2204"/>
      <c r="C97" s="2205"/>
      <c r="D97" s="2205"/>
      <c r="E97" s="1455"/>
      <c r="F97" s="147"/>
      <c r="G97" s="2205"/>
      <c r="H97" s="2205"/>
      <c r="I97" s="2205"/>
      <c r="J97" s="2205"/>
      <c r="K97" s="2205"/>
      <c r="L97" s="2205"/>
      <c r="M97" s="2205"/>
      <c r="N97" s="2205"/>
      <c r="O97" s="2205"/>
      <c r="P97" s="2205"/>
      <c r="Q97" s="2206"/>
      <c r="S97" t="s">
        <v>1379</v>
      </c>
      <c r="T97" s="2280">
        <v>1</v>
      </c>
      <c r="V97" s="1981"/>
      <c r="W97" s="1981"/>
      <c r="Z97" s="1981"/>
      <c r="AA97" s="1981"/>
    </row>
    <row r="98" spans="2:27" ht="14.25" hidden="1" thickBot="1">
      <c r="B98" s="2204"/>
      <c r="C98" s="2205"/>
      <c r="D98" s="2205"/>
      <c r="E98" s="1455"/>
      <c r="F98" s="1455" t="s">
        <v>1380</v>
      </c>
      <c r="G98" s="147"/>
      <c r="H98" s="1971">
        <f>IF(T97=1,0,H94-H81-H82)</f>
        <v>0</v>
      </c>
      <c r="I98" s="2205"/>
      <c r="J98" s="2205"/>
      <c r="K98" s="2205"/>
      <c r="L98" s="2205"/>
      <c r="M98" s="2205"/>
      <c r="N98" s="2281"/>
      <c r="O98" s="2205" t="s">
        <v>1381</v>
      </c>
      <c r="P98" s="2205"/>
      <c r="Q98" s="2206"/>
      <c r="S98" s="1983"/>
      <c r="V98" s="1981"/>
      <c r="W98" s="1981"/>
      <c r="Z98" s="1981"/>
      <c r="AA98" s="1981"/>
    </row>
    <row r="99" spans="2:27">
      <c r="B99" s="2282"/>
      <c r="C99" s="1446"/>
      <c r="D99" s="1446"/>
      <c r="E99" s="1455"/>
      <c r="F99" s="1455" t="s">
        <v>1382</v>
      </c>
      <c r="G99" s="147"/>
      <c r="H99" s="2212" t="s">
        <v>1308</v>
      </c>
      <c r="I99" s="2212"/>
      <c r="J99" s="1449" t="s">
        <v>185</v>
      </c>
      <c r="K99" s="1449" t="s">
        <v>186</v>
      </c>
      <c r="L99" s="1449" t="s">
        <v>187</v>
      </c>
      <c r="M99" s="1450" t="s">
        <v>188</v>
      </c>
      <c r="N99" s="1450" t="s">
        <v>1127</v>
      </c>
      <c r="O99" s="2283"/>
      <c r="P99" s="1986"/>
      <c r="Q99" s="2284"/>
    </row>
    <row r="100" spans="2:27" ht="14.25" thickBot="1">
      <c r="B100" s="2282"/>
      <c r="C100" s="1446"/>
      <c r="D100" s="1446"/>
      <c r="E100" s="1455"/>
      <c r="F100" s="1455"/>
      <c r="G100" s="2212" t="s">
        <v>1383</v>
      </c>
      <c r="H100" s="2285">
        <f>H81+H82+M14</f>
        <v>0</v>
      </c>
      <c r="I100" s="2212"/>
      <c r="J100" s="2286">
        <v>0</v>
      </c>
      <c r="K100" s="2286">
        <v>1</v>
      </c>
      <c r="L100" s="2373">
        <v>15</v>
      </c>
      <c r="M100" s="2287">
        <f>スコア入力!N120</f>
        <v>3</v>
      </c>
      <c r="N100" s="2288">
        <f>IF(M100&gt;=5,$L100,IF(M100&gt;=4,$K100,$J100))</f>
        <v>0</v>
      </c>
      <c r="O100" s="2205"/>
      <c r="P100" s="1986"/>
      <c r="Q100" s="2284"/>
    </row>
    <row r="101" spans="2:27" ht="14.25" thickBot="1">
      <c r="B101" s="2282"/>
      <c r="C101" s="1446"/>
      <c r="D101" s="1446"/>
      <c r="E101" s="1455"/>
      <c r="F101" s="1455"/>
      <c r="G101" s="147" t="s">
        <v>1384</v>
      </c>
      <c r="H101" s="1971">
        <f>IF(T97=1,H94-H81-H82,0)</f>
        <v>0</v>
      </c>
      <c r="I101" s="2212"/>
      <c r="J101" s="2286">
        <v>0</v>
      </c>
      <c r="K101" s="2286">
        <v>1</v>
      </c>
      <c r="L101" s="2374">
        <v>15</v>
      </c>
      <c r="M101" s="2287">
        <f>スコア入力!N121</f>
        <v>3</v>
      </c>
      <c r="N101" s="2288">
        <f>IF(M101&gt;=5,$L101,IF(M101&gt;=4,$K101,$J101))</f>
        <v>0</v>
      </c>
      <c r="O101" s="2205" t="s">
        <v>839</v>
      </c>
      <c r="P101" s="1986"/>
      <c r="Q101" s="2284"/>
    </row>
    <row r="102" spans="2:27">
      <c r="B102" s="2282"/>
      <c r="C102" s="1446"/>
      <c r="D102" s="1446"/>
      <c r="E102" s="2289"/>
      <c r="F102" s="2289"/>
      <c r="G102" s="2290"/>
      <c r="H102" s="147"/>
      <c r="I102" s="147"/>
      <c r="J102" s="147"/>
      <c r="K102" s="147"/>
      <c r="L102" s="147"/>
      <c r="M102" s="147"/>
      <c r="N102" s="147"/>
      <c r="O102" s="2283"/>
      <c r="P102" s="1986"/>
      <c r="Q102" s="2284"/>
    </row>
    <row r="103" spans="2:27">
      <c r="B103" s="2255"/>
      <c r="C103" s="1446"/>
      <c r="D103" s="1446"/>
      <c r="E103" s="1455" t="s">
        <v>1385</v>
      </c>
      <c r="F103" s="2289"/>
      <c r="G103" s="2205"/>
      <c r="H103" s="2291"/>
      <c r="I103" s="2205"/>
      <c r="J103" s="1449" t="s">
        <v>185</v>
      </c>
      <c r="K103" s="1449" t="s">
        <v>186</v>
      </c>
      <c r="L103" s="1449" t="s">
        <v>187</v>
      </c>
      <c r="M103" s="1450" t="s">
        <v>188</v>
      </c>
      <c r="N103" s="1450" t="s">
        <v>1386</v>
      </c>
      <c r="O103" s="1452"/>
      <c r="P103" s="1986"/>
      <c r="Q103" s="2284"/>
    </row>
    <row r="104" spans="2:27">
      <c r="B104" s="2255"/>
      <c r="C104" s="1446"/>
      <c r="D104" s="1446"/>
      <c r="E104" s="1455"/>
      <c r="F104" s="1455" t="s">
        <v>1387</v>
      </c>
      <c r="G104" s="2205"/>
      <c r="H104" s="2205"/>
      <c r="I104" s="2205"/>
      <c r="J104" s="2292">
        <v>1</v>
      </c>
      <c r="K104" s="2293">
        <v>0.97499999999999998</v>
      </c>
      <c r="L104" s="2292">
        <v>0.95</v>
      </c>
      <c r="M104" s="2287" t="e">
        <f>スコア表示!L134</f>
        <v>#DIV/0!</v>
      </c>
      <c r="N104" s="2294" t="e">
        <f>IF(M104&gt;=5,$L104,IF(M104&gt;=4,$K104,$J104))</f>
        <v>#DIV/0!</v>
      </c>
      <c r="O104" s="1452"/>
      <c r="P104" s="1986"/>
      <c r="Q104" s="2284"/>
    </row>
    <row r="105" spans="2:27">
      <c r="B105" s="2255"/>
      <c r="C105" s="1446"/>
      <c r="D105" s="2205"/>
      <c r="E105" s="2205"/>
      <c r="F105" s="2205"/>
      <c r="G105" s="2205"/>
      <c r="H105" s="2205"/>
      <c r="I105" s="2205"/>
      <c r="J105" s="2205"/>
      <c r="K105" s="2205"/>
      <c r="L105" s="2205"/>
      <c r="M105" s="2205"/>
      <c r="N105" s="1443"/>
      <c r="O105" s="1452"/>
      <c r="P105" s="1452"/>
      <c r="Q105" s="1445"/>
    </row>
    <row r="106" spans="2:27">
      <c r="B106" s="2255"/>
      <c r="C106" s="1446"/>
      <c r="D106" s="2205"/>
      <c r="E106" s="2208" t="s">
        <v>1388</v>
      </c>
      <c r="F106" s="2205"/>
      <c r="G106" s="2295"/>
      <c r="H106" s="2205"/>
      <c r="I106" s="2205"/>
      <c r="J106" s="2205"/>
      <c r="K106" s="2205"/>
      <c r="L106" s="2205"/>
      <c r="M106" s="2205"/>
      <c r="N106" s="2205" t="s">
        <v>111</v>
      </c>
      <c r="O106" s="2205"/>
      <c r="P106" s="2205"/>
      <c r="Q106" s="2256" t="s">
        <v>180</v>
      </c>
    </row>
    <row r="107" spans="2:27">
      <c r="B107" s="2255"/>
      <c r="C107" s="1446"/>
      <c r="D107" s="2205"/>
      <c r="E107" s="2205"/>
      <c r="F107" s="2205"/>
      <c r="G107" s="2295"/>
      <c r="H107" s="2205"/>
      <c r="I107" s="2205"/>
      <c r="J107" s="2205"/>
      <c r="K107" s="2205"/>
      <c r="L107" s="2205"/>
      <c r="M107" s="2205"/>
      <c r="N107" s="1443" t="s">
        <v>1334</v>
      </c>
      <c r="O107" s="1452"/>
      <c r="P107" s="1452"/>
      <c r="Q107" s="1445" t="s">
        <v>1334</v>
      </c>
    </row>
    <row r="108" spans="2:27">
      <c r="B108" s="2255"/>
      <c r="C108" s="1446"/>
      <c r="D108" s="2205"/>
      <c r="E108" s="1454"/>
      <c r="F108" s="2205" t="s">
        <v>1231</v>
      </c>
      <c r="G108" s="2295"/>
      <c r="H108" s="2205"/>
      <c r="I108" s="2205"/>
      <c r="J108" s="2212" t="s">
        <v>1389</v>
      </c>
      <c r="K108" s="2212" t="s">
        <v>111</v>
      </c>
      <c r="L108" s="2212" t="s">
        <v>180</v>
      </c>
      <c r="M108" s="2212"/>
      <c r="N108" s="2262">
        <f>IF(N29=0,0,IF(N61=T59,IF(N42=0,"-",N42),J110*K110/1000))</f>
        <v>0</v>
      </c>
      <c r="O108" s="2205"/>
      <c r="P108" s="2205"/>
      <c r="Q108" s="2263">
        <f>IF(N29=0,0,IF(N61=T59,(N39-N40)*1.1+N40,J110*L110/1000))</f>
        <v>0</v>
      </c>
      <c r="S108" s="1983"/>
    </row>
    <row r="109" spans="2:27">
      <c r="B109" s="2255"/>
      <c r="C109" s="1446"/>
      <c r="D109" s="2205"/>
      <c r="E109" s="1454"/>
      <c r="F109" s="2205"/>
      <c r="G109" s="2295"/>
      <c r="H109" s="2205"/>
      <c r="I109" s="2205"/>
      <c r="J109" s="2212" t="s">
        <v>1308</v>
      </c>
      <c r="K109" s="2296" t="s">
        <v>839</v>
      </c>
      <c r="L109" s="2296" t="s">
        <v>839</v>
      </c>
      <c r="M109" s="2212"/>
      <c r="N109" s="2297"/>
      <c r="O109" s="2205"/>
      <c r="P109" s="2205"/>
      <c r="Q109" s="2298"/>
    </row>
    <row r="110" spans="2:27">
      <c r="B110" s="2255"/>
      <c r="C110" s="1446"/>
      <c r="D110" s="2205"/>
      <c r="E110" s="1454"/>
      <c r="F110" s="2205"/>
      <c r="G110" s="147" t="s">
        <v>1390</v>
      </c>
      <c r="H110" s="2205"/>
      <c r="I110" s="2212"/>
      <c r="J110" s="2262">
        <f>N29</f>
        <v>0</v>
      </c>
      <c r="K110" s="2262">
        <f>CO2データ!P196</f>
        <v>1343</v>
      </c>
      <c r="L110" s="2262">
        <f>CO2データ!P197</f>
        <v>1163</v>
      </c>
      <c r="M110" s="2212"/>
      <c r="N110" s="1443"/>
      <c r="O110" s="1452"/>
      <c r="P110" s="1452"/>
      <c r="Q110" s="1445"/>
    </row>
    <row r="111" spans="2:27" ht="6.75" customHeight="1">
      <c r="B111" s="2255"/>
      <c r="C111" s="1446"/>
      <c r="D111" s="2205"/>
      <c r="E111" s="1454"/>
      <c r="F111" s="2205"/>
      <c r="G111" s="147"/>
      <c r="H111" s="2205"/>
      <c r="I111" s="2212"/>
      <c r="J111" s="2297"/>
      <c r="K111" s="2297"/>
      <c r="L111" s="2297"/>
      <c r="M111" s="2212"/>
      <c r="N111" s="1443"/>
      <c r="O111" s="1452"/>
      <c r="P111" s="1452"/>
      <c r="Q111" s="1445"/>
    </row>
    <row r="112" spans="2:27">
      <c r="B112" s="2255"/>
      <c r="C112" s="1446"/>
      <c r="D112" s="2205"/>
      <c r="E112" s="2205"/>
      <c r="F112" s="2205" t="s">
        <v>827</v>
      </c>
      <c r="G112" s="2295"/>
      <c r="H112" s="2205"/>
      <c r="I112" s="2205"/>
      <c r="J112" s="2205"/>
      <c r="K112" s="2205"/>
      <c r="L112" s="2257"/>
      <c r="M112" s="2205"/>
      <c r="N112" s="2262">
        <f>IF(M29=0,0,IF(M42=0,"-",M42))</f>
        <v>0</v>
      </c>
      <c r="O112" s="1452"/>
      <c r="P112" s="1986"/>
      <c r="Q112" s="2263">
        <f>IF(M29=0,0,M39)</f>
        <v>0</v>
      </c>
      <c r="S112" s="1983"/>
    </row>
    <row r="113" spans="2:17" ht="14.25" thickBot="1">
      <c r="B113" s="2245"/>
      <c r="C113" s="2246"/>
      <c r="D113" s="2246"/>
      <c r="E113" s="2246"/>
      <c r="F113" s="2246"/>
      <c r="G113" s="2246"/>
      <c r="H113" s="2246"/>
      <c r="I113" s="2246"/>
      <c r="J113" s="2246"/>
      <c r="K113" s="2246"/>
      <c r="L113" s="2246"/>
      <c r="M113" s="2246"/>
      <c r="N113" s="2246"/>
      <c r="O113" s="2246"/>
      <c r="P113" s="2246"/>
      <c r="Q113" s="2248"/>
    </row>
    <row r="114" spans="2:17">
      <c r="H114" s="1984"/>
    </row>
    <row r="115" spans="2:17"/>
    <row r="116" spans="2:17"/>
    <row r="117" spans="2:17"/>
    <row r="118" spans="2:17"/>
  </sheetData>
  <sheetProtection password="CC47" sheet="1" objects="1" scenarios="1"/>
  <mergeCells count="5">
    <mergeCell ref="E6:G6"/>
    <mergeCell ref="E24:G24"/>
    <mergeCell ref="E61:K63"/>
    <mergeCell ref="N61:P61"/>
    <mergeCell ref="N2:P2"/>
  </mergeCells>
  <phoneticPr fontId="20"/>
  <conditionalFormatting sqref="N98">
    <cfRule type="expression" dxfId="51" priority="4" stopIfTrue="1">
      <formula>$J$52&gt;0</formula>
    </cfRule>
  </conditionalFormatting>
  <conditionalFormatting sqref="I39:I42">
    <cfRule type="expression" dxfId="50" priority="5" stopIfTrue="1">
      <formula>OR($I$29=0,$E$24=$S$28)</formula>
    </cfRule>
  </conditionalFormatting>
  <conditionalFormatting sqref="I25:I26">
    <cfRule type="expression" dxfId="49" priority="3" stopIfTrue="1">
      <formula>$E$24=$S$27</formula>
    </cfRule>
  </conditionalFormatting>
  <conditionalFormatting sqref="M39:M43">
    <cfRule type="expression" dxfId="48" priority="2">
      <formula>$M$14=0</formula>
    </cfRule>
  </conditionalFormatting>
  <conditionalFormatting sqref="N39:N43">
    <cfRule type="expression" dxfId="47" priority="1">
      <formula>$M$14=0</formula>
    </cfRule>
  </conditionalFormatting>
  <dataValidations count="8">
    <dataValidation allowBlank="1" showInputMessage="1" sqref="N98"/>
    <dataValidation type="list" allowBlank="1" showInputMessage="1" sqref="N61">
      <formula1>$T$59:$T$61</formula1>
    </dataValidation>
    <dataValidation type="list" allowBlank="1" showInputMessage="1" showErrorMessage="1" sqref="F65">
      <formula1>$T$65:$T$68</formula1>
    </dataValidation>
    <dataValidation type="list" allowBlank="1" showInputMessage="1" showErrorMessage="1" sqref="K65">
      <formula1>$U$65:$U$67</formula1>
    </dataValidation>
    <dataValidation type="list" allowBlank="1" showInputMessage="1" showErrorMessage="1" sqref="N37">
      <formula1>$S$37:$S$41</formula1>
    </dataValidation>
    <dataValidation type="list" allowBlank="1" showInputMessage="1" showErrorMessage="1" sqref="E24:G24">
      <formula1>$S$27:$S$28</formula1>
    </dataValidation>
    <dataValidation type="list" allowBlank="1" showInputMessage="1" showErrorMessage="1" sqref="M6">
      <formula1>$T$5:$T$9</formula1>
    </dataValidation>
    <dataValidation type="list" allowBlank="1" showInputMessage="1" showErrorMessage="1" sqref="E6">
      <formula1>$S$3:$S$4</formula1>
    </dataValidation>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11.xml><?xml version="1.0" encoding="utf-8"?>
<worksheet xmlns="http://schemas.openxmlformats.org/spreadsheetml/2006/main" xmlns:r="http://schemas.openxmlformats.org/officeDocument/2006/relationships">
  <sheetPr codeName="Sheet14">
    <pageSetUpPr fitToPage="1"/>
  </sheetPr>
  <dimension ref="A1:AC119"/>
  <sheetViews>
    <sheetView showGridLines="0" zoomScaleNormal="100" zoomScaleSheetLayoutView="100" workbookViewId="0">
      <selection activeCell="K25" sqref="K25"/>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6.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196"/>
      <c r="C2" s="2197" t="s">
        <v>1289</v>
      </c>
      <c r="D2" s="2198"/>
      <c r="E2" s="2198"/>
      <c r="F2" s="2199"/>
      <c r="G2" s="2199"/>
      <c r="H2" s="2200"/>
      <c r="I2" s="2198"/>
      <c r="J2" s="2201"/>
      <c r="K2" s="2201"/>
      <c r="L2" s="2201"/>
      <c r="M2" s="2202" t="s">
        <v>798</v>
      </c>
      <c r="N2" s="3031">
        <f>メイン!H11</f>
        <v>0</v>
      </c>
      <c r="O2" s="3031"/>
      <c r="P2" s="3031"/>
      <c r="Q2" s="2203"/>
    </row>
    <row r="3" spans="2:29">
      <c r="B3" s="2204"/>
      <c r="C3" s="2205"/>
      <c r="D3" s="2205"/>
      <c r="E3" s="2205"/>
      <c r="F3" s="2205"/>
      <c r="G3" s="2205"/>
      <c r="H3" s="2205"/>
      <c r="I3" s="2205"/>
      <c r="J3" s="2205"/>
      <c r="K3" s="2205"/>
      <c r="L3" s="2205"/>
      <c r="M3" s="2205"/>
      <c r="N3" s="2205"/>
      <c r="O3" s="2205"/>
      <c r="P3" s="2205"/>
      <c r="Q3" s="2206"/>
      <c r="S3" t="s">
        <v>1290</v>
      </c>
      <c r="U3" s="2207" t="s">
        <v>1677</v>
      </c>
      <c r="V3" s="2168">
        <f>IF($I$6&lt;=W9,V10,IF($I$6&lt;=W8,V9,IF($I$6&lt;=W7,V8,IF($I$6&lt;=W6,V7,1))))</f>
        <v>5</v>
      </c>
      <c r="X3">
        <f>VLOOKUP($V$3,V6:Y10,3)</f>
        <v>-10.000000000000002</v>
      </c>
      <c r="Y3">
        <f>VLOOKUP($V$3,V6:Y10,4)</f>
        <v>13.000000000000002</v>
      </c>
      <c r="Z3" s="2168">
        <f>IF($I$6&lt;=AA9,Z10,IF($I$6&lt;=AA8,Z9,IF($I$6&lt;=AA7,Z8,IF($I$6&lt;=AA6,Z7,1))))</f>
        <v>5</v>
      </c>
      <c r="AB3">
        <f>VLOOKUP($Z$3,Z6:AC10,3)</f>
        <v>-12.499999999999989</v>
      </c>
      <c r="AC3">
        <f>VLOOKUP($Z$3,Z6:AC10,4)</f>
        <v>15.624999999999991</v>
      </c>
    </row>
    <row r="4" spans="2:29">
      <c r="B4" s="2204"/>
      <c r="C4" s="2205"/>
      <c r="D4" s="2205"/>
      <c r="E4" s="2205"/>
      <c r="F4" s="2205"/>
      <c r="G4" s="2205"/>
      <c r="H4" s="2205"/>
      <c r="I4" s="2208" t="s">
        <v>1292</v>
      </c>
      <c r="J4" s="2205"/>
      <c r="K4" s="2205"/>
      <c r="L4" s="2205"/>
      <c r="M4" s="2208" t="s">
        <v>1293</v>
      </c>
      <c r="N4" s="2205"/>
      <c r="O4" s="2205"/>
      <c r="P4" s="2205"/>
      <c r="Q4" s="2206"/>
      <c r="S4" t="s">
        <v>1294</v>
      </c>
      <c r="U4" s="2207" t="s">
        <v>1678</v>
      </c>
      <c r="V4" s="2168">
        <f>IF($I$6&lt;=W16,V16,IF($I$6&lt;=W15,V15,IF($I$6&lt;=W14,V14,1)))</f>
        <v>4</v>
      </c>
      <c r="Z4" s="2168">
        <f>IF($I$6&lt;=AA16,Z16,IF($I$6&lt;=AA15,Z15,IF($I$6&lt;=AA14,Z14,IF($I$6&lt;=AA13,Z13,1))))</f>
        <v>4</v>
      </c>
    </row>
    <row r="5" spans="2:29" ht="14.25" thickBot="1">
      <c r="B5" s="2204"/>
      <c r="C5" s="2209" t="s">
        <v>1679</v>
      </c>
      <c r="D5" s="2208" t="s">
        <v>1297</v>
      </c>
      <c r="E5" s="2205"/>
      <c r="F5" s="2205"/>
      <c r="G5" s="2205"/>
      <c r="H5" s="2205"/>
      <c r="I5" s="2205"/>
      <c r="J5" s="2205"/>
      <c r="K5" s="2205"/>
      <c r="L5" s="2205"/>
      <c r="M5" s="2205"/>
      <c r="N5" s="2205"/>
      <c r="O5" s="2205"/>
      <c r="P5" s="2205"/>
      <c r="Q5" s="2206"/>
      <c r="T5" t="s">
        <v>823</v>
      </c>
      <c r="U5" t="s">
        <v>1680</v>
      </c>
      <c r="V5" s="1" t="s">
        <v>1681</v>
      </c>
      <c r="W5" s="1" t="s">
        <v>1300</v>
      </c>
      <c r="X5" t="s">
        <v>1123</v>
      </c>
      <c r="Y5" t="s">
        <v>1124</v>
      </c>
      <c r="Z5" s="1" t="s">
        <v>1681</v>
      </c>
      <c r="AA5" s="1" t="s">
        <v>1799</v>
      </c>
      <c r="AB5" t="s">
        <v>1123</v>
      </c>
      <c r="AC5" t="s">
        <v>1124</v>
      </c>
    </row>
    <row r="6" spans="2:29" ht="14.25" thickBot="1">
      <c r="B6" s="2204"/>
      <c r="C6" s="2205"/>
      <c r="D6" s="2208"/>
      <c r="E6" s="3024" t="s">
        <v>1290</v>
      </c>
      <c r="F6" s="3025"/>
      <c r="G6" s="3026"/>
      <c r="H6" s="2210" t="str">
        <f>IF(E6=S3,U3,U4)</f>
        <v>BPI=</v>
      </c>
      <c r="I6" s="2211"/>
      <c r="J6" s="2205"/>
      <c r="K6" s="2205"/>
      <c r="L6" s="2212" t="s">
        <v>1301</v>
      </c>
      <c r="M6" s="2213" t="s">
        <v>823</v>
      </c>
      <c r="N6" s="2205"/>
      <c r="O6" s="2205"/>
      <c r="P6" s="2205"/>
      <c r="Q6" s="2206"/>
      <c r="T6" t="s">
        <v>229</v>
      </c>
      <c r="V6" s="1">
        <v>1</v>
      </c>
      <c r="W6" s="1">
        <v>1.03</v>
      </c>
      <c r="X6" s="2168">
        <v>0</v>
      </c>
      <c r="Y6" s="2168">
        <v>1</v>
      </c>
      <c r="Z6" s="1">
        <v>1</v>
      </c>
      <c r="AA6" s="1">
        <v>1.03</v>
      </c>
      <c r="AB6" s="2168">
        <v>0</v>
      </c>
      <c r="AC6" s="2168">
        <v>1</v>
      </c>
    </row>
    <row r="7" spans="2:29" ht="5.25" customHeight="1">
      <c r="B7" s="2204"/>
      <c r="C7" s="2205"/>
      <c r="D7" s="2205"/>
      <c r="E7" s="2205"/>
      <c r="F7" s="2205"/>
      <c r="G7" s="2205"/>
      <c r="H7" s="2205"/>
      <c r="I7" s="2205"/>
      <c r="J7" s="2205"/>
      <c r="K7" s="2205"/>
      <c r="L7" s="2205"/>
      <c r="M7" s="2205"/>
      <c r="N7" s="2205"/>
      <c r="O7" s="2205"/>
      <c r="P7" s="2205"/>
      <c r="Q7" s="2206"/>
      <c r="T7" t="s">
        <v>230</v>
      </c>
      <c r="V7" s="1">
        <v>2</v>
      </c>
      <c r="W7" s="1">
        <v>1</v>
      </c>
      <c r="X7">
        <f>(V7-V6)/(W7-W6)</f>
        <v>-33.333333333333307</v>
      </c>
      <c r="Y7">
        <f>V7-X7*W7</f>
        <v>35.333333333333307</v>
      </c>
      <c r="Z7" s="1">
        <v>2</v>
      </c>
      <c r="AA7" s="1">
        <v>1</v>
      </c>
      <c r="AB7">
        <f>(Z7-Z6)/(AA7-AA6)</f>
        <v>-33.333333333333307</v>
      </c>
      <c r="AC7">
        <f>Z7-AB7*AA7</f>
        <v>35.333333333333307</v>
      </c>
    </row>
    <row r="8" spans="2:29">
      <c r="B8" s="2204"/>
      <c r="C8" s="2205"/>
      <c r="D8" s="2205"/>
      <c r="E8" s="2205"/>
      <c r="F8" s="2205"/>
      <c r="G8" s="2205"/>
      <c r="H8" s="2205"/>
      <c r="I8" s="2214" t="str">
        <f>W5</f>
        <v>1～7地域</v>
      </c>
      <c r="J8" s="2214" t="str">
        <f>AA5</f>
        <v>８地域</v>
      </c>
      <c r="K8" s="2205"/>
      <c r="L8" s="2205"/>
      <c r="M8" s="2205"/>
      <c r="N8" s="2205"/>
      <c r="O8" s="2205"/>
      <c r="P8" s="2205"/>
      <c r="Q8" s="2206"/>
      <c r="T8" t="s">
        <v>231</v>
      </c>
      <c r="V8" s="1">
        <v>3</v>
      </c>
      <c r="W8" s="1">
        <v>0.97</v>
      </c>
      <c r="X8">
        <f>(V8-V7)/(W8-W7)</f>
        <v>-33.333333333333307</v>
      </c>
      <c r="Y8">
        <f>V8-X8*W8</f>
        <v>35.333333333333307</v>
      </c>
      <c r="Z8" s="1">
        <v>3</v>
      </c>
      <c r="AA8" s="1">
        <v>0.97</v>
      </c>
      <c r="AB8">
        <f>(Z8-Z7)/(AA8-AA7)</f>
        <v>-33.333333333333307</v>
      </c>
      <c r="AC8">
        <f>Z8-AB8*AA8</f>
        <v>35.333333333333307</v>
      </c>
    </row>
    <row r="9" spans="2:29">
      <c r="B9" s="2204"/>
      <c r="C9" s="2205"/>
      <c r="D9" s="2205"/>
      <c r="E9" s="2205"/>
      <c r="F9" s="2205" t="s">
        <v>1681</v>
      </c>
      <c r="G9" s="2205"/>
      <c r="H9" s="2212" t="s">
        <v>1302</v>
      </c>
      <c r="I9" s="2215">
        <f>IF(I6&lt;=0.8,5,I6*X3+Y3)</f>
        <v>5</v>
      </c>
      <c r="J9" s="2215">
        <f>IF(I6&lt;=0.85,5,I6*AB3+AC3)</f>
        <v>5</v>
      </c>
      <c r="K9" s="2205"/>
      <c r="L9" s="2205"/>
      <c r="M9" s="2205"/>
      <c r="N9" s="2205"/>
      <c r="O9" s="2205"/>
      <c r="P9" s="2205"/>
      <c r="Q9" s="2206"/>
      <c r="T9" t="s">
        <v>232</v>
      </c>
      <c r="V9" s="1">
        <v>4</v>
      </c>
      <c r="W9" s="1">
        <v>0.9</v>
      </c>
      <c r="X9">
        <f>(V9-V8)/(W9-W8)</f>
        <v>-14.285714285714295</v>
      </c>
      <c r="Y9">
        <f>V9-X9*W9</f>
        <v>16.857142857142868</v>
      </c>
      <c r="Z9" s="1">
        <v>4</v>
      </c>
      <c r="AA9" s="1">
        <v>0.93</v>
      </c>
      <c r="AB9">
        <f>(Z9-Z8)/(AA9-AA8)</f>
        <v>-25.000000000000046</v>
      </c>
      <c r="AC9">
        <f>Z9-AB9*AA9</f>
        <v>27.250000000000043</v>
      </c>
    </row>
    <row r="10" spans="2:29">
      <c r="B10" s="2204"/>
      <c r="C10" s="2205"/>
      <c r="D10" s="2205"/>
      <c r="E10" s="2205"/>
      <c r="F10" s="2205"/>
      <c r="G10" s="2205"/>
      <c r="H10" s="2212" t="s">
        <v>1303</v>
      </c>
      <c r="I10" s="2215">
        <f>V4</f>
        <v>4</v>
      </c>
      <c r="J10" s="2215">
        <f>Z4</f>
        <v>4</v>
      </c>
      <c r="K10" s="2205"/>
      <c r="L10" s="2205"/>
      <c r="M10" s="2205"/>
      <c r="N10" s="2205"/>
      <c r="O10" s="2205"/>
      <c r="P10" s="2205"/>
      <c r="Q10" s="2206"/>
      <c r="T10" t="s">
        <v>822</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04"/>
      <c r="C11" s="2205"/>
      <c r="D11" s="2205"/>
      <c r="E11" s="2205"/>
      <c r="F11" s="2205"/>
      <c r="G11" s="2205"/>
      <c r="H11" s="2212"/>
      <c r="I11" s="2216"/>
      <c r="J11" s="2216"/>
      <c r="K11" s="2205"/>
      <c r="L11" s="2205"/>
      <c r="M11" s="2217"/>
      <c r="N11" s="2205"/>
      <c r="O11" s="2205"/>
      <c r="P11" s="2205"/>
      <c r="Q11" s="2206"/>
    </row>
    <row r="12" spans="2:29" ht="14.25" thickBot="1">
      <c r="B12" s="2204"/>
      <c r="C12" s="2205"/>
      <c r="D12" s="2205"/>
      <c r="E12" s="2208"/>
      <c r="F12" s="2205" t="s">
        <v>1304</v>
      </c>
      <c r="G12" s="2214" t="str">
        <f>メイン!H13</f>
        <v>６地域</v>
      </c>
      <c r="H12" s="2205"/>
      <c r="I12" s="2218">
        <f>IF(I6="",0,IF(E6=S3,IF(G12=AA5,J9,I9),IF(G12=AA5,J10,I10)))</f>
        <v>0</v>
      </c>
      <c r="J12" s="2205"/>
      <c r="K12" s="2205"/>
      <c r="L12" s="2205"/>
      <c r="M12" s="2218">
        <f>IF(M6="",$T10,IF(M6=T9,5,IF(M6=T8,3,IF(M6=T7,2,1))))</f>
        <v>1</v>
      </c>
      <c r="N12" s="2205"/>
      <c r="O12" s="2205"/>
      <c r="P12" s="2205"/>
      <c r="Q12" s="2206"/>
      <c r="U12" t="s">
        <v>1682</v>
      </c>
      <c r="V12" s="1" t="s">
        <v>1681</v>
      </c>
      <c r="W12" s="1" t="s">
        <v>1300</v>
      </c>
      <c r="Z12" s="1" t="s">
        <v>1681</v>
      </c>
      <c r="AA12" s="1" t="s">
        <v>1799</v>
      </c>
    </row>
    <row r="13" spans="2:29" ht="6.75" customHeight="1">
      <c r="B13" s="2204"/>
      <c r="C13" s="2205"/>
      <c r="D13" s="2205"/>
      <c r="E13" s="2208"/>
      <c r="F13" s="2205"/>
      <c r="G13" s="2205"/>
      <c r="H13" s="2205"/>
      <c r="I13" s="2205"/>
      <c r="J13" s="2205"/>
      <c r="K13" s="2205"/>
      <c r="L13" s="2205"/>
      <c r="M13" s="2205"/>
      <c r="N13" s="2205"/>
      <c r="O13" s="2205"/>
      <c r="P13" s="2205"/>
      <c r="Q13" s="2206"/>
      <c r="V13" s="1">
        <v>1</v>
      </c>
      <c r="W13" s="1"/>
      <c r="Z13" s="1">
        <v>1</v>
      </c>
      <c r="AA13" s="1"/>
    </row>
    <row r="14" spans="2:29">
      <c r="B14" s="2204"/>
      <c r="C14" s="2205"/>
      <c r="D14" s="2205"/>
      <c r="E14" s="2208"/>
      <c r="F14" s="2205"/>
      <c r="G14" s="2205"/>
      <c r="H14" s="2212" t="s">
        <v>1306</v>
      </c>
      <c r="I14" s="1971">
        <f>H94-H91</f>
        <v>0</v>
      </c>
      <c r="J14" s="2205" t="s">
        <v>1307</v>
      </c>
      <c r="K14" s="2205"/>
      <c r="L14" s="2205"/>
      <c r="M14" s="1971">
        <f>M29+N29</f>
        <v>0</v>
      </c>
      <c r="N14" s="2205" t="s">
        <v>1683</v>
      </c>
      <c r="O14" s="2205"/>
      <c r="P14" s="2205"/>
      <c r="Q14" s="2206"/>
      <c r="V14" s="1">
        <v>2</v>
      </c>
      <c r="W14" s="1">
        <v>1</v>
      </c>
      <c r="Z14" s="1">
        <v>2</v>
      </c>
      <c r="AA14" s="1">
        <v>1</v>
      </c>
    </row>
    <row r="15" spans="2:29">
      <c r="B15" s="2204"/>
      <c r="C15" s="2205"/>
      <c r="D15" s="2205"/>
      <c r="E15" s="2208"/>
      <c r="F15" s="2205"/>
      <c r="G15" s="2205"/>
      <c r="H15" s="2212" t="s">
        <v>1309</v>
      </c>
      <c r="I15" s="2219">
        <f>IF(I14+M14=0,0,I14/(I14+M14))</f>
        <v>0</v>
      </c>
      <c r="J15" s="2205"/>
      <c r="K15" s="2205"/>
      <c r="L15" s="2212"/>
      <c r="M15" s="2219">
        <f>IF(I14+M14=0,0,M14/(I14+M14))</f>
        <v>0</v>
      </c>
      <c r="N15" s="2205"/>
      <c r="O15" s="2205"/>
      <c r="P15" s="2205"/>
      <c r="Q15" s="2206"/>
      <c r="V15" s="1">
        <v>3</v>
      </c>
      <c r="W15" s="1">
        <v>0.97</v>
      </c>
      <c r="Z15" s="1">
        <v>3</v>
      </c>
      <c r="AA15" s="1">
        <v>0.97</v>
      </c>
    </row>
    <row r="16" spans="2:29" ht="4.5" customHeight="1" thickBot="1">
      <c r="B16" s="2204"/>
      <c r="C16" s="2205"/>
      <c r="D16" s="2205"/>
      <c r="E16" s="2208"/>
      <c r="F16" s="2205"/>
      <c r="G16" s="2205"/>
      <c r="H16" s="2205"/>
      <c r="I16" s="2205"/>
      <c r="J16" s="2205"/>
      <c r="K16" s="2205"/>
      <c r="L16" s="2205"/>
      <c r="M16" s="2205"/>
      <c r="N16" s="2205"/>
      <c r="O16" s="2205"/>
      <c r="P16" s="2205"/>
      <c r="Q16" s="2206"/>
      <c r="V16" s="1">
        <v>4</v>
      </c>
      <c r="W16" s="1">
        <v>0.9</v>
      </c>
      <c r="Z16" s="1">
        <v>4</v>
      </c>
      <c r="AA16" s="1">
        <v>0.93</v>
      </c>
    </row>
    <row r="17" spans="2:29" ht="14.25" thickBot="1">
      <c r="B17" s="2204"/>
      <c r="C17" s="2205"/>
      <c r="D17" s="2205"/>
      <c r="E17" s="2208" t="s">
        <v>1310</v>
      </c>
      <c r="F17" s="2205"/>
      <c r="G17" s="2205"/>
      <c r="H17" s="2212" t="s">
        <v>818</v>
      </c>
      <c r="I17" s="2220">
        <f>I12*I15+M12*M15</f>
        <v>0</v>
      </c>
      <c r="J17" s="2205"/>
      <c r="K17" s="2205"/>
      <c r="L17" s="2205"/>
      <c r="M17" s="2205"/>
      <c r="N17" s="2205"/>
      <c r="O17" s="2205"/>
      <c r="P17" s="2205"/>
      <c r="Q17" s="2206"/>
      <c r="V17" s="1">
        <v>5</v>
      </c>
      <c r="W17" s="1"/>
      <c r="Z17" s="1">
        <v>5</v>
      </c>
      <c r="AA17" s="1"/>
    </row>
    <row r="18" spans="2:29">
      <c r="B18" s="2204"/>
      <c r="C18" s="2205"/>
      <c r="D18" s="2205"/>
      <c r="E18" s="2205"/>
      <c r="F18" s="2205"/>
      <c r="G18" s="2205"/>
      <c r="H18" s="2205"/>
      <c r="I18" s="2205"/>
      <c r="J18" s="2205"/>
      <c r="K18" s="2205"/>
      <c r="L18" s="2205"/>
      <c r="M18" s="2205"/>
      <c r="N18" s="2205"/>
      <c r="O18" s="2205"/>
      <c r="P18" s="2205"/>
      <c r="Q18" s="2206"/>
    </row>
    <row r="19" spans="2:29" hidden="1">
      <c r="B19" s="2204"/>
      <c r="C19" s="2205"/>
      <c r="D19" s="2221"/>
      <c r="E19" s="2208" t="s">
        <v>1311</v>
      </c>
      <c r="F19" s="2205"/>
      <c r="G19" s="2205"/>
      <c r="H19" s="2205"/>
      <c r="I19" s="2214">
        <f>IF(G12=W20,W25,V25)</f>
        <v>195</v>
      </c>
      <c r="J19" s="2205" t="s">
        <v>1684</v>
      </c>
      <c r="K19" s="2205"/>
      <c r="L19" s="2205"/>
      <c r="M19" s="2205"/>
      <c r="N19" s="2205"/>
      <c r="O19" s="2205"/>
      <c r="P19" s="2205"/>
      <c r="Q19" s="2206"/>
      <c r="T19" t="s">
        <v>1313</v>
      </c>
      <c r="V19" s="2222">
        <f>(1-I6)*100</f>
        <v>100</v>
      </c>
      <c r="Z19">
        <f>IF($I$19&gt;=AA25,Z25,IF($I$19&gt;=AA24,Z24,IF($I$19&gt;=AA23,Z23,IF($I$19&gt;=AA22,Z22,Z21))))</f>
        <v>5</v>
      </c>
      <c r="AB19">
        <f>VLOOKUP($Z$19,Z21:AC25,3)</f>
        <v>0</v>
      </c>
      <c r="AC19">
        <f>VLOOKUP($Z$19,Z21:AC25,4)</f>
        <v>0</v>
      </c>
    </row>
    <row r="20" spans="2:29" ht="6" hidden="1" customHeight="1" thickBot="1">
      <c r="B20" s="2204"/>
      <c r="C20" s="2205"/>
      <c r="D20" s="2221"/>
      <c r="E20" s="2205"/>
      <c r="F20" s="2205"/>
      <c r="G20" s="2205"/>
      <c r="H20" s="2205"/>
      <c r="I20" s="2205"/>
      <c r="J20" s="2205"/>
      <c r="K20" s="2205"/>
      <c r="L20" s="2205"/>
      <c r="M20" s="2205"/>
      <c r="N20" s="2205"/>
      <c r="O20" s="2205"/>
      <c r="P20" s="2205"/>
      <c r="Q20" s="2206"/>
      <c r="V20" s="1" t="s">
        <v>1300</v>
      </c>
      <c r="W20" s="1" t="s">
        <v>1286</v>
      </c>
      <c r="Z20" s="1" t="s">
        <v>1685</v>
      </c>
      <c r="AA20" s="1" t="s">
        <v>1314</v>
      </c>
      <c r="AB20" t="s">
        <v>1123</v>
      </c>
      <c r="AC20" t="s">
        <v>1124</v>
      </c>
    </row>
    <row r="21" spans="2:29" ht="14.25" hidden="1" thickBot="1">
      <c r="B21" s="2204"/>
      <c r="C21" s="2205"/>
      <c r="D21" s="2221"/>
      <c r="E21" s="2205"/>
      <c r="F21" s="2205"/>
      <c r="G21" s="2205"/>
      <c r="H21" s="2205"/>
      <c r="I21" s="2218">
        <f>IF(I19&gt;=35,5,I19*AB19+AC19)</f>
        <v>5</v>
      </c>
      <c r="J21" s="2205"/>
      <c r="K21" s="2205"/>
      <c r="L21" s="2205"/>
      <c r="M21" s="2205"/>
      <c r="N21" s="2205"/>
      <c r="O21" s="2205"/>
      <c r="P21" s="2205"/>
      <c r="Q21" s="2206"/>
      <c r="U21" s="1912" t="s">
        <v>1315</v>
      </c>
      <c r="V21" s="1">
        <f>2*V19</f>
        <v>200</v>
      </c>
      <c r="W21" s="2223">
        <f>2*V19</f>
        <v>200</v>
      </c>
      <c r="Z21" s="1">
        <v>1</v>
      </c>
      <c r="AA21" s="1">
        <v>-5</v>
      </c>
      <c r="AB21">
        <f>(Z22-Z21)/(AA22-AA21)</f>
        <v>0.2</v>
      </c>
      <c r="AC21">
        <f>Z22-AB21*AA22</f>
        <v>2</v>
      </c>
    </row>
    <row r="22" spans="2:29" ht="12" hidden="1" customHeight="1">
      <c r="B22" s="2204"/>
      <c r="C22" s="2205"/>
      <c r="D22" s="2205"/>
      <c r="E22" s="2205"/>
      <c r="F22" s="2205"/>
      <c r="G22" s="2205"/>
      <c r="H22" s="2205"/>
      <c r="I22" s="2205"/>
      <c r="J22" s="2205"/>
      <c r="K22" s="2205"/>
      <c r="L22" s="2205"/>
      <c r="M22" s="2205"/>
      <c r="N22" s="2205"/>
      <c r="O22" s="2205"/>
      <c r="P22" s="2205"/>
      <c r="Q22" s="2206"/>
      <c r="U22" s="1912" t="s">
        <v>1316</v>
      </c>
      <c r="V22" s="2223">
        <f>1.3*V19+1.7</f>
        <v>131.69999999999999</v>
      </c>
      <c r="W22" s="2194">
        <f>2*V19</f>
        <v>200</v>
      </c>
      <c r="Z22" s="1">
        <v>2</v>
      </c>
      <c r="AA22" s="1">
        <v>0</v>
      </c>
      <c r="AB22">
        <f>(Z23-Z22)/(AA23-AA22)</f>
        <v>0.2</v>
      </c>
      <c r="AC22">
        <f>Z23-AB22*AA23</f>
        <v>2</v>
      </c>
    </row>
    <row r="23" spans="2:29" ht="14.25" thickBot="1">
      <c r="B23" s="2204"/>
      <c r="C23" s="2209" t="s">
        <v>1686</v>
      </c>
      <c r="D23" s="2208" t="s">
        <v>1318</v>
      </c>
      <c r="E23" s="2205"/>
      <c r="F23" s="2205"/>
      <c r="G23" s="2205"/>
      <c r="H23" s="2205"/>
      <c r="I23" s="2205"/>
      <c r="J23" s="2205"/>
      <c r="K23" s="2205"/>
      <c r="L23" s="2205"/>
      <c r="M23" s="2205"/>
      <c r="N23" s="2205"/>
      <c r="O23" s="2205"/>
      <c r="P23" s="2205"/>
      <c r="Q23" s="2206"/>
      <c r="U23" s="1912" t="s">
        <v>1319</v>
      </c>
      <c r="V23" s="2194">
        <f>1.3*V19+1.7</f>
        <v>131.69999999999999</v>
      </c>
      <c r="W23" s="2223">
        <f>2.7*V19-5.2</f>
        <v>264.8</v>
      </c>
      <c r="Z23" s="1">
        <v>3</v>
      </c>
      <c r="AA23" s="1">
        <v>5</v>
      </c>
      <c r="AB23">
        <f>(Z24-Z23)/(AA24-AA23)</f>
        <v>0.1</v>
      </c>
      <c r="AC23">
        <f>Z24-AB23*AA24</f>
        <v>2.5</v>
      </c>
    </row>
    <row r="24" spans="2:29" ht="14.25" thickBot="1">
      <c r="B24" s="2204"/>
      <c r="C24" s="2209"/>
      <c r="D24" s="2208"/>
      <c r="E24" s="3024" t="s">
        <v>1327</v>
      </c>
      <c r="F24" s="3025"/>
      <c r="G24" s="3026"/>
      <c r="H24" s="2205"/>
      <c r="I24" s="2208" t="s">
        <v>1292</v>
      </c>
      <c r="J24" s="2205"/>
      <c r="K24" s="2205"/>
      <c r="L24" s="2205"/>
      <c r="M24" s="2208" t="s">
        <v>1232</v>
      </c>
      <c r="N24" s="2208" t="s">
        <v>1321</v>
      </c>
      <c r="O24" s="2205"/>
      <c r="P24" s="2205"/>
      <c r="Q24" s="2224"/>
      <c r="U24" s="1912" t="s">
        <v>1322</v>
      </c>
      <c r="V24" s="1">
        <f>2*V19-5</f>
        <v>195</v>
      </c>
      <c r="W24" s="2194">
        <f>2.7*V19-5.2</f>
        <v>264.8</v>
      </c>
      <c r="Z24" s="1">
        <v>4</v>
      </c>
      <c r="AA24" s="1">
        <v>15</v>
      </c>
      <c r="AB24">
        <f>(Z25-Z24)/(AA25-AA24)</f>
        <v>0.05</v>
      </c>
      <c r="AC24">
        <f>Z25-AB24*AA25</f>
        <v>3.25</v>
      </c>
    </row>
    <row r="25" spans="2:29" ht="14.25" thickBot="1">
      <c r="B25" s="2204"/>
      <c r="C25" s="2205"/>
      <c r="D25" s="2208"/>
      <c r="E25" s="2208"/>
      <c r="F25" s="2208"/>
      <c r="G25" s="2208"/>
      <c r="H25" s="2225" t="s">
        <v>1687</v>
      </c>
      <c r="I25" s="2211"/>
      <c r="J25" s="2205"/>
      <c r="K25" s="2205"/>
      <c r="L25" s="2225" t="s">
        <v>1324</v>
      </c>
      <c r="M25" s="2219">
        <f>M44</f>
        <v>0.8</v>
      </c>
      <c r="N25" s="2226">
        <f>IF(N39=0,0,(N41-N40)/(N39-N40))</f>
        <v>1</v>
      </c>
      <c r="O25" s="2205" t="s">
        <v>1325</v>
      </c>
      <c r="P25" s="2205"/>
      <c r="Q25" s="2206"/>
      <c r="V25">
        <f>IF($V$19&lt;2.5,V21,IF($V$19&lt;7.5,V22,IF($V$19&lt;10,V23,V24)))</f>
        <v>195</v>
      </c>
      <c r="W25">
        <f>IF($V$19&lt;2.5,W21,IF($V$19&lt;7.5,W22,IF($V$19&lt;10,W23,W24)))</f>
        <v>264.8</v>
      </c>
      <c r="Z25" s="1">
        <v>5</v>
      </c>
      <c r="AA25" s="1">
        <v>35</v>
      </c>
    </row>
    <row r="26" spans="2:29" ht="14.25" thickBot="1">
      <c r="B26" s="2204"/>
      <c r="C26" s="2205"/>
      <c r="D26" s="2208"/>
      <c r="E26" s="2205"/>
      <c r="F26" s="2208"/>
      <c r="G26" s="2205"/>
      <c r="H26" s="2225" t="s">
        <v>1326</v>
      </c>
      <c r="I26" s="2211"/>
      <c r="J26" s="2205"/>
      <c r="K26" s="2205"/>
      <c r="L26" s="2208"/>
      <c r="M26" s="2205"/>
      <c r="N26" s="2208"/>
      <c r="O26" s="2205"/>
      <c r="P26" s="2208"/>
      <c r="Q26" s="2206"/>
    </row>
    <row r="27" spans="2:29" ht="14.25" thickBot="1">
      <c r="B27" s="2204"/>
      <c r="C27" s="2205"/>
      <c r="D27" s="2208"/>
      <c r="E27" s="2208"/>
      <c r="F27" s="2205"/>
      <c r="G27" s="2205"/>
      <c r="H27" s="2205"/>
      <c r="I27" s="2218">
        <f>IF($I$25&lt;=W39,V39,IF($I$25&lt;=W38,V38,IF($I$25&lt;=W37,V37,V36)))</f>
        <v>4</v>
      </c>
      <c r="J27" s="2205"/>
      <c r="K27" s="2205"/>
      <c r="L27" s="2205"/>
      <c r="M27" s="2218">
        <f>IF(OR(M25=0,M25="-"),0,IF(M25&lt;=W40,5,IF(M25&gt;W36,1,M25*X42+Y42)))</f>
        <v>4.5</v>
      </c>
      <c r="N27" s="2218">
        <f>IF(N61=T59,IF(N25=0,0,IF(N25&lt;=AA40,5,IF(N25&gt;AA36,1,N25*AB27+AC27))),N61)</f>
        <v>4</v>
      </c>
      <c r="O27" s="2205"/>
      <c r="P27" s="2208"/>
      <c r="Q27" s="2206"/>
      <c r="S27" t="s">
        <v>1327</v>
      </c>
      <c r="V27" s="2227">
        <f>IF($I$44&lt;=W40,V40,IF($I$44&lt;=W39,V39,IF($I$44&lt;=W38,V38,IF($I$44&lt;=W37,V37,V36))))</f>
        <v>1</v>
      </c>
      <c r="X27">
        <f>VLOOKUP($V$27,V36:Y40,3)</f>
        <v>-19.999999999999982</v>
      </c>
      <c r="Y27">
        <f>VLOOKUP($V$27,V36:Y40,4)</f>
        <v>22.999999999999982</v>
      </c>
      <c r="Z27">
        <f>IF($N$25&lt;=AA40,Z40,IF($N$25&lt;=AA39,Z39,IF($N$25&lt;=AA38,Z38,IF($N$25&lt;=AA37,Z37))))</f>
        <v>4</v>
      </c>
      <c r="AB27">
        <f>VLOOKUP($Z$27,Z36:AC40,3)</f>
        <v>-10.000000000000002</v>
      </c>
      <c r="AC27">
        <f>VLOOKUP($Z$27,Z36:AC40,4)</f>
        <v>14.000000000000002</v>
      </c>
    </row>
    <row r="28" spans="2:29" ht="11.25" customHeight="1">
      <c r="B28" s="2204"/>
      <c r="C28" s="2205"/>
      <c r="D28" s="2208"/>
      <c r="E28" s="2208"/>
      <c r="F28" s="2208"/>
      <c r="G28" s="2205"/>
      <c r="H28" s="2208"/>
      <c r="I28" s="2205"/>
      <c r="J28" s="2205"/>
      <c r="K28" s="2205"/>
      <c r="L28" s="2208"/>
      <c r="M28" s="2205"/>
      <c r="N28" s="2208"/>
      <c r="O28" s="2205"/>
      <c r="P28" s="2208"/>
      <c r="Q28" s="2206"/>
      <c r="S28" t="s">
        <v>1320</v>
      </c>
    </row>
    <row r="29" spans="2:29">
      <c r="B29" s="2204"/>
      <c r="C29" s="2205"/>
      <c r="D29" s="2208"/>
      <c r="E29" s="2208"/>
      <c r="F29" s="2208"/>
      <c r="G29" s="2205"/>
      <c r="H29" s="2212" t="s">
        <v>1306</v>
      </c>
      <c r="I29" s="1971">
        <f>H94</f>
        <v>0</v>
      </c>
      <c r="J29" s="2205"/>
      <c r="K29" s="2205"/>
      <c r="L29" s="2205"/>
      <c r="M29" s="1971">
        <f>メイン!J65</f>
        <v>0</v>
      </c>
      <c r="N29" s="1971">
        <f>メイン!J64</f>
        <v>0</v>
      </c>
      <c r="O29" s="2205"/>
      <c r="P29" s="2208"/>
      <c r="Q29" s="2206"/>
    </row>
    <row r="30" spans="2:29" ht="9.75" customHeight="1" thickBot="1">
      <c r="B30" s="2204"/>
      <c r="C30" s="2205"/>
      <c r="D30" s="2208"/>
      <c r="E30" s="2205"/>
      <c r="F30" s="2208"/>
      <c r="G30" s="2205"/>
      <c r="H30" s="2208"/>
      <c r="I30" s="2205"/>
      <c r="J30" s="2205"/>
      <c r="K30" s="2205"/>
      <c r="L30" s="2208"/>
      <c r="M30" s="2205"/>
      <c r="N30" s="2208"/>
      <c r="O30" s="2205"/>
      <c r="P30" s="2208"/>
      <c r="Q30" s="2206"/>
    </row>
    <row r="31" spans="2:29" ht="14.25" thickBot="1">
      <c r="B31" s="2204"/>
      <c r="C31" s="2205"/>
      <c r="D31" s="2208"/>
      <c r="E31" s="2205" t="s">
        <v>1688</v>
      </c>
      <c r="F31" s="2208"/>
      <c r="G31" s="2205"/>
      <c r="H31" s="2208"/>
      <c r="I31" s="2218">
        <f>IF(AND(I25=0,I44="-"),0,IF(E24=S28,I27,IF(I44&lt;=W40,5,IF(I44&gt;W36,1,I44*X27+Y27))))</f>
        <v>0</v>
      </c>
      <c r="J31" s="2205"/>
      <c r="K31" s="2205"/>
      <c r="L31" s="2208"/>
      <c r="M31" s="2218">
        <f>IF(M29+N29=0,0,M27*M29/M14+N27*N29/M14)</f>
        <v>0</v>
      </c>
      <c r="N31" s="2208"/>
      <c r="O31" s="2205"/>
      <c r="P31" s="2208"/>
      <c r="Q31" s="2206"/>
    </row>
    <row r="32" spans="2:29" ht="14.25" thickBot="1">
      <c r="B32" s="2204"/>
      <c r="C32" s="2205"/>
      <c r="D32" s="2208"/>
      <c r="E32" s="2205" t="s">
        <v>1689</v>
      </c>
      <c r="F32" s="2208"/>
      <c r="G32" s="2205"/>
      <c r="H32" s="2205" t="s">
        <v>1330</v>
      </c>
      <c r="I32" s="2218">
        <f>IF(I31&lt;2,1,I31-1)</f>
        <v>1</v>
      </c>
      <c r="J32" s="2205"/>
      <c r="K32" s="2205"/>
      <c r="L32" s="2208"/>
      <c r="M32" s="2217"/>
      <c r="N32" s="2208"/>
      <c r="O32" s="2205"/>
      <c r="P32" s="2208"/>
      <c r="Q32" s="2206"/>
    </row>
    <row r="33" spans="2:29" ht="14.25" thickBot="1">
      <c r="B33" s="2204"/>
      <c r="C33" s="2205"/>
      <c r="D33" s="2208"/>
      <c r="E33" s="2205"/>
      <c r="F33" s="2208"/>
      <c r="G33" s="2205"/>
      <c r="H33" s="2205" t="s">
        <v>1331</v>
      </c>
      <c r="I33" s="2218">
        <f>IF(境界値!I14&gt;=0.8,計画書_対象外!I31,IF(0.5*ROUNDDOWN(I32/0.5,0)+境界値!I51&lt;1,1,0.5*ROUNDDOWN(I32/0.5,0)+境界値!I51))</f>
        <v>1</v>
      </c>
      <c r="J33" s="2208"/>
      <c r="K33" s="2205"/>
      <c r="L33" s="2208"/>
      <c r="M33" s="2205"/>
      <c r="N33" s="2208"/>
      <c r="O33" s="2205"/>
      <c r="P33" s="2208"/>
      <c r="Q33" s="2206"/>
    </row>
    <row r="34" spans="2:29" ht="14.25" thickBot="1">
      <c r="B34" s="2204"/>
      <c r="C34" s="2205"/>
      <c r="D34" s="2208"/>
      <c r="E34" s="2208" t="s">
        <v>1328</v>
      </c>
      <c r="F34" s="2208"/>
      <c r="G34" s="2205"/>
      <c r="H34" s="2208"/>
      <c r="I34" s="2220" t="e">
        <f>I33*I29/($I$29+$M$29+$N$29)+M31*(M29+N29)/($I$29+$M$29+$N$29)</f>
        <v>#DIV/0!</v>
      </c>
      <c r="J34" s="2208"/>
      <c r="K34" s="2205"/>
      <c r="L34" s="2208"/>
      <c r="M34" s="2205"/>
      <c r="N34" s="2208"/>
      <c r="O34" s="2205"/>
      <c r="P34" s="2208"/>
      <c r="Q34" s="2206"/>
    </row>
    <row r="35" spans="2:29">
      <c r="B35" s="2204"/>
      <c r="C35" s="2205"/>
      <c r="D35" s="2208"/>
      <c r="E35" s="2208"/>
      <c r="F35" s="2208"/>
      <c r="G35" s="2208"/>
      <c r="H35" s="2208"/>
      <c r="I35" s="2208"/>
      <c r="J35" s="2208"/>
      <c r="K35" s="2208"/>
      <c r="L35" s="2208"/>
      <c r="M35" s="2208"/>
      <c r="N35" s="2208"/>
      <c r="O35" s="2208"/>
      <c r="P35" s="2208"/>
      <c r="Q35" s="2206"/>
      <c r="V35" s="1" t="s">
        <v>1681</v>
      </c>
      <c r="W35" s="1" t="s">
        <v>817</v>
      </c>
      <c r="X35" t="s">
        <v>1123</v>
      </c>
      <c r="Y35" t="s">
        <v>1124</v>
      </c>
      <c r="Z35" s="1" t="s">
        <v>1681</v>
      </c>
      <c r="AA35" s="1" t="s">
        <v>1231</v>
      </c>
      <c r="AB35" t="s">
        <v>1123</v>
      </c>
      <c r="AC35" t="s">
        <v>1124</v>
      </c>
    </row>
    <row r="36" spans="2:29" ht="14.25" hidden="1" thickBot="1">
      <c r="B36" s="2204"/>
      <c r="C36" s="2205"/>
      <c r="D36" s="2228"/>
      <c r="E36" s="2208" t="s">
        <v>1332</v>
      </c>
      <c r="F36" s="2208"/>
      <c r="G36" s="2208"/>
      <c r="H36" s="2208"/>
      <c r="I36" s="2229">
        <f>-100*I25+105</f>
        <v>105</v>
      </c>
      <c r="J36" s="2208" t="s">
        <v>1690</v>
      </c>
      <c r="K36" s="2205"/>
      <c r="L36" s="2208"/>
      <c r="M36" s="2229">
        <f>-100*M25+105</f>
        <v>25</v>
      </c>
      <c r="N36" s="2208" t="s">
        <v>1690</v>
      </c>
      <c r="O36" s="2205"/>
      <c r="P36" s="2208"/>
      <c r="Q36" s="2206"/>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hidden="1" thickBot="1">
      <c r="B37" s="2204"/>
      <c r="C37" s="2205"/>
      <c r="D37" s="2228"/>
      <c r="E37" s="2205"/>
      <c r="F37" s="2208"/>
      <c r="G37" s="2205"/>
      <c r="H37" s="2208"/>
      <c r="I37" s="2218" t="str">
        <f>IF(I25=0,"-",IF(I36&gt;=W50,5,I36*X44+Y44))</f>
        <v>-</v>
      </c>
      <c r="J37" s="2208"/>
      <c r="K37" s="2205"/>
      <c r="L37" s="2208"/>
      <c r="M37" s="2218">
        <f>IF(M25=0,"-",IF(M36&gt;=AA50,5,M36*AB44+AC44))</f>
        <v>0</v>
      </c>
      <c r="N37" s="2230"/>
      <c r="O37" s="2205"/>
      <c r="P37" s="2208"/>
      <c r="Q37" s="2206"/>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204"/>
      <c r="C38" s="2205"/>
      <c r="D38" s="2208"/>
      <c r="E38" s="2205"/>
      <c r="F38" s="2208"/>
      <c r="G38" s="2205"/>
      <c r="H38" s="2208"/>
      <c r="I38" s="2205"/>
      <c r="J38" s="2208"/>
      <c r="K38" s="2205"/>
      <c r="L38" s="2208"/>
      <c r="M38" s="2205"/>
      <c r="N38" s="2208"/>
      <c r="O38" s="2205"/>
      <c r="P38" s="2208"/>
      <c r="Q38" s="2206"/>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04"/>
      <c r="C39" s="2205"/>
      <c r="D39" s="92" t="s">
        <v>1333</v>
      </c>
      <c r="E39" s="2205"/>
      <c r="F39" s="2205"/>
      <c r="G39" s="2205"/>
      <c r="H39" s="2205"/>
      <c r="I39" s="2231"/>
      <c r="J39" s="2205" t="s">
        <v>1334</v>
      </c>
      <c r="K39" s="2205"/>
      <c r="L39" s="2205"/>
      <c r="M39" s="2231">
        <v>1500</v>
      </c>
      <c r="N39" s="2231">
        <v>1200</v>
      </c>
      <c r="O39" s="2205" t="s">
        <v>1334</v>
      </c>
      <c r="P39" s="2205"/>
      <c r="Q39" s="2206"/>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04"/>
      <c r="C40" s="2205"/>
      <c r="D40" s="92"/>
      <c r="E40" s="2205" t="s">
        <v>1828</v>
      </c>
      <c r="F40" s="2205"/>
      <c r="G40" s="2205"/>
      <c r="H40" s="2205"/>
      <c r="I40" s="2232"/>
      <c r="J40" s="2205"/>
      <c r="K40" s="2205"/>
      <c r="L40" s="2205"/>
      <c r="M40" s="2232"/>
      <c r="N40" s="2233">
        <f>N52</f>
        <v>0</v>
      </c>
      <c r="O40" s="2205" t="s">
        <v>1335</v>
      </c>
      <c r="P40" s="2205"/>
      <c r="Q40" s="2206"/>
      <c r="S40">
        <v>4</v>
      </c>
      <c r="V40" s="1">
        <v>5</v>
      </c>
      <c r="W40" s="1">
        <v>0.7</v>
      </c>
      <c r="Z40" s="1">
        <v>5</v>
      </c>
      <c r="AA40" s="1">
        <v>0.9</v>
      </c>
    </row>
    <row r="41" spans="2:29">
      <c r="B41" s="2204"/>
      <c r="C41" s="2205"/>
      <c r="D41" s="92" t="s">
        <v>1336</v>
      </c>
      <c r="E41" s="2205"/>
      <c r="F41" s="2205"/>
      <c r="G41" s="2205"/>
      <c r="H41" s="2205"/>
      <c r="I41" s="2234"/>
      <c r="J41" s="2205"/>
      <c r="K41" s="2205"/>
      <c r="L41" s="2205"/>
      <c r="M41" s="2234">
        <v>1200</v>
      </c>
      <c r="N41" s="2234">
        <v>1200</v>
      </c>
      <c r="O41" s="2205"/>
      <c r="P41" s="2205"/>
      <c r="Q41" s="2206"/>
      <c r="S41">
        <v>5</v>
      </c>
    </row>
    <row r="42" spans="2:29">
      <c r="B42" s="2204"/>
      <c r="C42" s="2205"/>
      <c r="D42" s="92" t="s">
        <v>1337</v>
      </c>
      <c r="E42" s="2205"/>
      <c r="F42" s="2205"/>
      <c r="G42" s="2205"/>
      <c r="H42" s="2205"/>
      <c r="I42" s="2234"/>
      <c r="J42" s="2205"/>
      <c r="K42" s="2205"/>
      <c r="L42" s="2205"/>
      <c r="M42" s="2234">
        <v>1500</v>
      </c>
      <c r="N42" s="2234">
        <v>1200</v>
      </c>
      <c r="O42" s="2205"/>
      <c r="P42" s="2205"/>
      <c r="Q42" s="2206"/>
      <c r="U42" t="s">
        <v>827</v>
      </c>
      <c r="V42">
        <f>IF($M$25&lt;=W40,V40,IF($M$25&lt;=W39,V39,IF($M$25&lt;=W38,V38,IF($M$25&lt;=W37,V37,V36))))</f>
        <v>4</v>
      </c>
      <c r="X42">
        <f>VLOOKUP($V$42,V36:Y40,3)</f>
        <v>-4.9999999999999982</v>
      </c>
      <c r="Y42">
        <f>VLOOKUP($V$42,V36:Y40,4)</f>
        <v>8.4999999999999982</v>
      </c>
    </row>
    <row r="43" spans="2:29" ht="14.25" thickBot="1">
      <c r="B43" s="2204"/>
      <c r="C43" s="2205"/>
      <c r="D43" s="92" t="s">
        <v>1338</v>
      </c>
      <c r="E43" s="2205"/>
      <c r="F43" s="2205"/>
      <c r="G43" s="2205"/>
      <c r="H43" s="2205"/>
      <c r="I43" s="2235"/>
      <c r="J43" s="2205" t="s">
        <v>1334</v>
      </c>
      <c r="K43" s="2205"/>
      <c r="L43" s="2205"/>
      <c r="M43" s="2235"/>
      <c r="N43" s="2235"/>
      <c r="O43" s="2205" t="s">
        <v>1334</v>
      </c>
      <c r="P43" s="2205"/>
      <c r="Q43" s="2206"/>
    </row>
    <row r="44" spans="2:29">
      <c r="B44" s="2204"/>
      <c r="C44" s="2205"/>
      <c r="D44" s="2205"/>
      <c r="E44" s="2236"/>
      <c r="F44" s="2205"/>
      <c r="G44" s="2205"/>
      <c r="H44" s="1439" t="s">
        <v>1691</v>
      </c>
      <c r="I44" s="2237" t="str">
        <f>IF(I41=0,"-",ROUND(I41/I39,5))</f>
        <v>-</v>
      </c>
      <c r="J44" s="2205"/>
      <c r="K44" s="2205"/>
      <c r="L44" s="2205"/>
      <c r="M44" s="2237">
        <f>IF(M41=0,"-",ROUND(M41/M39,5))</f>
        <v>0.8</v>
      </c>
      <c r="N44" s="2205"/>
      <c r="O44" s="2205"/>
      <c r="P44" s="2205"/>
      <c r="Q44" s="2206"/>
      <c r="V44">
        <f>IF($I$36&gt;=W50,V50,IF($I$36&gt;=W49,V49,IF($I$36&gt;=W48,V48,IF($I$36&gt;=W47,V47,V46))))</f>
        <v>5</v>
      </c>
      <c r="X44">
        <f>VLOOKUP($V$44,V46:Y50,3)</f>
        <v>0</v>
      </c>
      <c r="Y44">
        <f>VLOOKUP($V$44,V46:Y50,4)</f>
        <v>0</v>
      </c>
      <c r="Z44">
        <f>IF($M$36&gt;=AA50,Z50,IF($M$36&gt;=AA49,Z49,IF($M$36&gt;=AA48,Z48,IF($M$36&gt;=AA47,Z47,Z46))))</f>
        <v>4</v>
      </c>
      <c r="AB44">
        <f>VLOOKUP($Z$19,Z46:AC50,3)</f>
        <v>0</v>
      </c>
      <c r="AC44">
        <f>VLOOKUP($Z$19,Z46:AC50,4)</f>
        <v>0</v>
      </c>
    </row>
    <row r="45" spans="2:29">
      <c r="B45" s="2204"/>
      <c r="C45" s="2205"/>
      <c r="D45" s="2205"/>
      <c r="E45" s="2236"/>
      <c r="F45" s="2205"/>
      <c r="G45" s="2205"/>
      <c r="H45" s="1439" t="s">
        <v>1692</v>
      </c>
      <c r="I45" s="2237" t="str">
        <f>IF(I42=0,"-",ROUND(I42/I39,5))</f>
        <v>-</v>
      </c>
      <c r="J45" s="2205"/>
      <c r="K45" s="2205"/>
      <c r="L45" s="2205"/>
      <c r="M45" s="2237">
        <f>IF(M42=0,"-",ROUND(M42/M39,5))</f>
        <v>1</v>
      </c>
      <c r="N45" s="2205"/>
      <c r="O45" s="2205"/>
      <c r="P45" s="2205"/>
      <c r="Q45" s="2206"/>
      <c r="T45" t="s">
        <v>1693</v>
      </c>
      <c r="V45" s="1" t="s">
        <v>1681</v>
      </c>
      <c r="W45" s="1" t="s">
        <v>817</v>
      </c>
      <c r="X45" t="s">
        <v>1123</v>
      </c>
      <c r="Y45" t="s">
        <v>1124</v>
      </c>
      <c r="Z45" s="1" t="s">
        <v>1681</v>
      </c>
      <c r="AA45" s="1" t="s">
        <v>1232</v>
      </c>
      <c r="AB45" t="s">
        <v>1123</v>
      </c>
      <c r="AC45" t="s">
        <v>1124</v>
      </c>
    </row>
    <row r="46" spans="2:29">
      <c r="B46" s="2204"/>
      <c r="C46" s="2205"/>
      <c r="D46" s="2205"/>
      <c r="E46" s="2205" t="s">
        <v>1829</v>
      </c>
      <c r="F46" s="2205"/>
      <c r="G46" s="2205"/>
      <c r="H46" s="2205"/>
      <c r="I46" s="2205"/>
      <c r="J46" s="2205"/>
      <c r="K46" s="2205"/>
      <c r="L46" s="2205"/>
      <c r="M46" s="2205"/>
      <c r="N46" s="2205"/>
      <c r="O46" s="2208"/>
      <c r="P46" s="2205"/>
      <c r="Q46" s="2206"/>
      <c r="V46" s="1">
        <v>1</v>
      </c>
      <c r="W46" s="1">
        <v>-5</v>
      </c>
      <c r="X46">
        <f>(V47-V46)/(W47-W46)</f>
        <v>0.2</v>
      </c>
      <c r="Y46">
        <f>V47-X46*W47</f>
        <v>2</v>
      </c>
      <c r="Z46" s="1">
        <v>1</v>
      </c>
      <c r="AA46" s="1">
        <v>-5</v>
      </c>
      <c r="AB46">
        <f>(Z47-Z46)/(AA47-AA46)</f>
        <v>0.2</v>
      </c>
      <c r="AC46">
        <f>Z47-AB46*AA47</f>
        <v>2</v>
      </c>
    </row>
    <row r="47" spans="2:29">
      <c r="B47" s="2204"/>
      <c r="C47" s="2205"/>
      <c r="D47" s="2205"/>
      <c r="E47" s="2205" t="s">
        <v>1342</v>
      </c>
      <c r="F47" s="2208"/>
      <c r="G47" s="2208"/>
      <c r="H47" s="2208"/>
      <c r="I47" s="2208"/>
      <c r="J47" s="2208"/>
      <c r="K47" s="2208"/>
      <c r="L47" s="2208"/>
      <c r="M47" s="2208"/>
      <c r="N47" s="2208"/>
      <c r="O47" s="2208"/>
      <c r="P47" s="2205"/>
      <c r="Q47" s="2206"/>
      <c r="V47" s="1">
        <v>2</v>
      </c>
      <c r="W47" s="1">
        <v>0</v>
      </c>
      <c r="X47">
        <f>(V48-V47)/(W48-W47)</f>
        <v>0.2</v>
      </c>
      <c r="Y47">
        <f>V48-X47*W48</f>
        <v>2</v>
      </c>
      <c r="Z47" s="1">
        <v>2</v>
      </c>
      <c r="AA47" s="1">
        <v>0</v>
      </c>
      <c r="AB47">
        <f>(Z48-Z47)/(AA48-AA47)</f>
        <v>0.2</v>
      </c>
      <c r="AC47">
        <f>Z48-AB47*AA48</f>
        <v>2</v>
      </c>
    </row>
    <row r="48" spans="2:29">
      <c r="B48" s="2204"/>
      <c r="C48" s="2205"/>
      <c r="D48" s="2205"/>
      <c r="E48" s="2205"/>
      <c r="F48" s="2205"/>
      <c r="G48" s="2205"/>
      <c r="H48" s="2205"/>
      <c r="I48" s="2205"/>
      <c r="J48" s="2205"/>
      <c r="K48" s="2205"/>
      <c r="L48" s="2205"/>
      <c r="M48" s="2208"/>
      <c r="N48" s="2208"/>
      <c r="O48" s="2208"/>
      <c r="P48" s="2205"/>
      <c r="Q48" s="2206"/>
      <c r="V48" s="1">
        <v>3</v>
      </c>
      <c r="W48" s="1">
        <v>5</v>
      </c>
      <c r="X48">
        <f>(V49-V48)/(W49-W48)</f>
        <v>0.1</v>
      </c>
      <c r="Y48">
        <f>V49-X48*W49</f>
        <v>2.5</v>
      </c>
      <c r="Z48" s="1">
        <v>3</v>
      </c>
      <c r="AA48" s="1">
        <v>5</v>
      </c>
      <c r="AB48">
        <f>(Z49-Z48)/(AA49-AA48)</f>
        <v>0.1</v>
      </c>
      <c r="AC48">
        <f>Z49-AB48*AA49</f>
        <v>2.5</v>
      </c>
    </row>
    <row r="49" spans="2:29">
      <c r="B49" s="2204"/>
      <c r="C49" s="2205"/>
      <c r="D49" s="2205"/>
      <c r="E49" s="2208"/>
      <c r="F49" s="2208"/>
      <c r="G49" s="2208"/>
      <c r="H49" s="2208"/>
      <c r="I49" s="2208"/>
      <c r="J49" s="2208"/>
      <c r="K49" s="2208"/>
      <c r="L49" s="2208"/>
      <c r="M49" s="2208"/>
      <c r="N49" s="2208"/>
      <c r="O49" s="2208"/>
      <c r="P49" s="2205"/>
      <c r="Q49" s="2206"/>
      <c r="V49" s="1">
        <v>4</v>
      </c>
      <c r="W49" s="1">
        <v>15</v>
      </c>
      <c r="X49">
        <f>(V50-V49)/(W50-W49)</f>
        <v>0.05</v>
      </c>
      <c r="Y49">
        <f>V50-X49*W50</f>
        <v>3.25</v>
      </c>
      <c r="Z49" s="1">
        <v>4</v>
      </c>
      <c r="AA49" s="1">
        <v>15</v>
      </c>
      <c r="AB49">
        <f>(Z50-Z49)/(AA50-AA49)</f>
        <v>0.05</v>
      </c>
      <c r="AC49">
        <f>Z50-AB49*AA50</f>
        <v>3.25</v>
      </c>
    </row>
    <row r="50" spans="2:29">
      <c r="B50" s="2204"/>
      <c r="C50" s="2205"/>
      <c r="D50" s="2205" t="s">
        <v>1694</v>
      </c>
      <c r="E50" s="2208" t="s">
        <v>1344</v>
      </c>
      <c r="F50" s="2208"/>
      <c r="G50" s="2208"/>
      <c r="H50" s="2208"/>
      <c r="I50" s="2208"/>
      <c r="J50" s="2208"/>
      <c r="K50" s="2208"/>
      <c r="L50" s="2208"/>
      <c r="M50" s="2208"/>
      <c r="N50" s="2208"/>
      <c r="O50" s="2208"/>
      <c r="P50" s="2205"/>
      <c r="Q50" s="2206"/>
      <c r="V50" s="1">
        <v>5</v>
      </c>
      <c r="W50" s="1">
        <v>35</v>
      </c>
      <c r="Z50" s="1">
        <v>5</v>
      </c>
      <c r="AA50" s="1">
        <v>35</v>
      </c>
    </row>
    <row r="51" spans="2:29" ht="14.25" thickBot="1">
      <c r="B51" s="2204"/>
      <c r="C51" s="2205"/>
      <c r="D51" s="2205"/>
      <c r="E51" s="2208"/>
      <c r="F51" s="2208"/>
      <c r="G51" s="2208"/>
      <c r="H51" s="2238" t="s">
        <v>1345</v>
      </c>
      <c r="I51" s="2208" t="s">
        <v>1346</v>
      </c>
      <c r="J51" s="2208" t="s">
        <v>1695</v>
      </c>
      <c r="K51" s="2208" t="s">
        <v>1348</v>
      </c>
      <c r="L51" s="2208" t="s">
        <v>1696</v>
      </c>
      <c r="M51" s="2208" t="s">
        <v>1697</v>
      </c>
      <c r="N51" s="2208" t="s">
        <v>1351</v>
      </c>
      <c r="O51" s="2208"/>
      <c r="P51" s="2205"/>
      <c r="Q51" s="2206"/>
    </row>
    <row r="52" spans="2:29" ht="14.25" thickBot="1">
      <c r="B52" s="2204"/>
      <c r="C52" s="2205"/>
      <c r="D52" s="2205"/>
      <c r="E52" s="2208"/>
      <c r="F52" s="2208"/>
      <c r="G52" s="1980" t="s">
        <v>1352</v>
      </c>
      <c r="H52" s="2239"/>
      <c r="I52" s="1971">
        <f>H52*$N$29</f>
        <v>0</v>
      </c>
      <c r="J52" s="1971">
        <v>0</v>
      </c>
      <c r="K52" s="2231"/>
      <c r="L52" s="1971">
        <v>12181</v>
      </c>
      <c r="M52" s="2240">
        <f>I52*J52+K52*L52</f>
        <v>0</v>
      </c>
      <c r="N52" s="2241">
        <f>SUM(M52:M56)/1000</f>
        <v>0</v>
      </c>
      <c r="O52" s="2205" t="s">
        <v>1334</v>
      </c>
      <c r="P52" s="2205"/>
      <c r="Q52" s="2206"/>
    </row>
    <row r="53" spans="2:29">
      <c r="B53" s="2204"/>
      <c r="C53" s="2205"/>
      <c r="D53" s="2205"/>
      <c r="E53" s="2208"/>
      <c r="F53" s="2208"/>
      <c r="G53" s="1980" t="s">
        <v>1830</v>
      </c>
      <c r="H53" s="2242"/>
      <c r="I53" s="1971">
        <f t="shared" ref="I53:I56" si="0">H53*$N$29</f>
        <v>0</v>
      </c>
      <c r="J53" s="1971">
        <v>87</v>
      </c>
      <c r="K53" s="2234"/>
      <c r="L53" s="1971">
        <v>9571</v>
      </c>
      <c r="M53" s="1971">
        <f>I53*J53+K53*L53</f>
        <v>0</v>
      </c>
      <c r="N53" s="2208"/>
      <c r="O53" s="2208"/>
      <c r="P53" s="2205"/>
      <c r="Q53" s="2206"/>
    </row>
    <row r="54" spans="2:29">
      <c r="B54" s="2204"/>
      <c r="C54" s="2205"/>
      <c r="D54" s="2205"/>
      <c r="E54" s="2208"/>
      <c r="F54" s="2208"/>
      <c r="G54" s="1980" t="s">
        <v>1831</v>
      </c>
      <c r="H54" s="2242"/>
      <c r="I54" s="1971">
        <f t="shared" si="0"/>
        <v>0</v>
      </c>
      <c r="J54" s="1971">
        <v>167</v>
      </c>
      <c r="K54" s="2234"/>
      <c r="L54" s="1971">
        <v>4771</v>
      </c>
      <c r="M54" s="1971">
        <f>I54*J54+K54*L54</f>
        <v>0</v>
      </c>
      <c r="N54" s="2208"/>
      <c r="O54" s="2208"/>
      <c r="P54" s="2205"/>
      <c r="Q54" s="2206"/>
    </row>
    <row r="55" spans="2:29">
      <c r="B55" s="2204"/>
      <c r="C55" s="2205"/>
      <c r="D55" s="2205"/>
      <c r="E55" s="2208"/>
      <c r="F55" s="2208"/>
      <c r="G55" s="1980" t="s">
        <v>1832</v>
      </c>
      <c r="H55" s="2242"/>
      <c r="I55" s="1971">
        <f t="shared" si="0"/>
        <v>0</v>
      </c>
      <c r="J55" s="1971">
        <v>47</v>
      </c>
      <c r="K55" s="2234"/>
      <c r="L55" s="1971">
        <v>15571</v>
      </c>
      <c r="M55" s="1971">
        <f>I55*J55+K55*L55</f>
        <v>0</v>
      </c>
      <c r="N55" s="2208"/>
      <c r="O55" s="2208"/>
      <c r="P55" s="2205"/>
      <c r="Q55" s="2206"/>
    </row>
    <row r="56" spans="2:29" ht="14.25" thickBot="1">
      <c r="B56" s="2204"/>
      <c r="C56" s="2205"/>
      <c r="D56" s="2205"/>
      <c r="E56" s="2208"/>
      <c r="F56" s="2208"/>
      <c r="G56" s="1980" t="s">
        <v>1353</v>
      </c>
      <c r="H56" s="2243"/>
      <c r="I56" s="1971">
        <f t="shared" si="0"/>
        <v>0</v>
      </c>
      <c r="J56" s="1971">
        <v>0</v>
      </c>
      <c r="K56" s="2235"/>
      <c r="L56" s="1971">
        <v>21211</v>
      </c>
      <c r="M56" s="1971">
        <f>I56*J56+K56*L56</f>
        <v>0</v>
      </c>
      <c r="N56" s="2208"/>
      <c r="O56" s="2208"/>
      <c r="P56" s="2205"/>
      <c r="Q56" s="2206"/>
    </row>
    <row r="57" spans="2:29">
      <c r="B57" s="2204"/>
      <c r="C57" s="2205"/>
      <c r="D57" s="2205"/>
      <c r="E57" s="2205"/>
      <c r="F57" s="2205"/>
      <c r="G57" s="2205" t="s">
        <v>537</v>
      </c>
      <c r="H57" s="2244">
        <f>SUM(H52:H56)</f>
        <v>0</v>
      </c>
      <c r="I57" s="2205"/>
      <c r="J57" s="2208"/>
      <c r="K57" s="2205"/>
      <c r="L57" s="2205"/>
      <c r="M57" s="2205"/>
      <c r="N57" s="2205"/>
      <c r="O57" s="2205"/>
      <c r="P57" s="2205"/>
      <c r="Q57" s="2206"/>
    </row>
    <row r="58" spans="2:29">
      <c r="B58" s="2204"/>
      <c r="C58" s="2205"/>
      <c r="D58" s="2205"/>
      <c r="E58" s="2205"/>
      <c r="F58" s="2205"/>
      <c r="G58" s="2205"/>
      <c r="H58" s="2205"/>
      <c r="I58" s="2205"/>
      <c r="J58" s="2208"/>
      <c r="K58" s="2205"/>
      <c r="L58" s="2205"/>
      <c r="M58" s="2205"/>
      <c r="N58" s="2205"/>
      <c r="O58" s="2205"/>
      <c r="P58" s="2205"/>
      <c r="Q58" s="2206"/>
    </row>
    <row r="59" spans="2:29">
      <c r="B59" s="2204"/>
      <c r="C59" s="2205"/>
      <c r="D59" s="2205"/>
      <c r="E59" s="2205"/>
      <c r="F59" s="2205"/>
      <c r="G59" s="2205"/>
      <c r="H59" s="2205"/>
      <c r="I59" s="2205"/>
      <c r="J59" s="2208"/>
      <c r="K59" s="2205"/>
      <c r="L59" s="2205"/>
      <c r="M59" s="2205"/>
      <c r="N59" s="2205"/>
      <c r="O59" s="2205"/>
      <c r="P59" s="2205"/>
      <c r="Q59" s="2206"/>
      <c r="T59" s="2168" t="s">
        <v>1354</v>
      </c>
    </row>
    <row r="60" spans="2:29" ht="14.25" thickBot="1">
      <c r="B60" s="2204"/>
      <c r="C60" s="2205"/>
      <c r="D60" s="2236" t="s">
        <v>1804</v>
      </c>
      <c r="E60" s="2205"/>
      <c r="F60" s="2205"/>
      <c r="G60" s="2205"/>
      <c r="H60" s="2205"/>
      <c r="I60" s="2205"/>
      <c r="J60" s="2208"/>
      <c r="K60" s="2205"/>
      <c r="L60" s="2205"/>
      <c r="M60" s="2205"/>
      <c r="N60" s="2205"/>
      <c r="O60" s="2205"/>
      <c r="P60" s="2205"/>
      <c r="Q60" s="2206"/>
      <c r="T60">
        <v>1</v>
      </c>
    </row>
    <row r="61" spans="2:29" ht="13.5" customHeight="1" thickBot="1">
      <c r="B61" s="2204"/>
      <c r="C61" s="2205"/>
      <c r="D61" s="2205"/>
      <c r="E61" s="3027" t="s">
        <v>1833</v>
      </c>
      <c r="F61" s="3027"/>
      <c r="G61" s="3027"/>
      <c r="H61" s="3027"/>
      <c r="I61" s="3027"/>
      <c r="J61" s="3027"/>
      <c r="K61" s="3027"/>
      <c r="L61" s="2205"/>
      <c r="M61" s="2205" t="s">
        <v>1355</v>
      </c>
      <c r="N61" s="3028" t="s">
        <v>1354</v>
      </c>
      <c r="O61" s="3029"/>
      <c r="P61" s="3030"/>
      <c r="Q61" s="2206"/>
      <c r="T61">
        <v>4</v>
      </c>
    </row>
    <row r="62" spans="2:29">
      <c r="B62" s="2204"/>
      <c r="C62" s="2205"/>
      <c r="D62" s="2205"/>
      <c r="E62" s="3027"/>
      <c r="F62" s="3027"/>
      <c r="G62" s="3027"/>
      <c r="H62" s="3027"/>
      <c r="I62" s="3027"/>
      <c r="J62" s="3027"/>
      <c r="K62" s="3027"/>
      <c r="L62" s="2205"/>
      <c r="M62" s="2205"/>
      <c r="N62" s="2205"/>
      <c r="O62" s="2205"/>
      <c r="P62" s="2205"/>
      <c r="Q62" s="2206"/>
    </row>
    <row r="63" spans="2:29">
      <c r="B63" s="2204"/>
      <c r="C63" s="2205"/>
      <c r="D63" s="2205"/>
      <c r="E63" s="3027"/>
      <c r="F63" s="3027"/>
      <c r="G63" s="3027"/>
      <c r="H63" s="3027"/>
      <c r="I63" s="3027"/>
      <c r="J63" s="3027"/>
      <c r="K63" s="3027"/>
      <c r="L63" s="2205"/>
      <c r="M63" s="2205"/>
      <c r="N63" s="2205"/>
      <c r="O63" s="2205"/>
      <c r="P63" s="2205"/>
      <c r="Q63" s="2206"/>
    </row>
    <row r="64" spans="2:29" ht="7.5" customHeight="1" thickBot="1">
      <c r="B64" s="2204"/>
      <c r="C64" s="2205"/>
      <c r="D64" s="2205"/>
      <c r="E64" s="2205"/>
      <c r="F64" s="2205"/>
      <c r="G64" s="2205"/>
      <c r="H64" s="2205"/>
      <c r="I64" s="2205"/>
      <c r="J64" s="2208"/>
      <c r="K64" s="2205"/>
      <c r="L64" s="2205"/>
      <c r="M64" s="2205"/>
      <c r="N64" s="2205"/>
      <c r="O64" s="2205"/>
      <c r="P64" s="2205"/>
      <c r="Q64" s="2206"/>
    </row>
    <row r="65" spans="2:21" ht="14.25" thickBot="1">
      <c r="B65" s="2204"/>
      <c r="C65" s="2205"/>
      <c r="D65" s="2205"/>
      <c r="E65" s="2205" t="s">
        <v>1356</v>
      </c>
      <c r="F65" s="2213" t="s">
        <v>1357</v>
      </c>
      <c r="G65" s="2205"/>
      <c r="H65" s="2205"/>
      <c r="I65" s="2205"/>
      <c r="J65" s="2208" t="s">
        <v>1358</v>
      </c>
      <c r="K65" s="2213" t="s">
        <v>1357</v>
      </c>
      <c r="L65" s="2205"/>
      <c r="M65" s="2205"/>
      <c r="N65" s="2205"/>
      <c r="O65" s="2205"/>
      <c r="P65" s="2205"/>
      <c r="Q65" s="2206"/>
      <c r="T65" t="s">
        <v>1245</v>
      </c>
      <c r="U65" t="s">
        <v>1246</v>
      </c>
    </row>
    <row r="66" spans="2:21">
      <c r="B66" s="2204"/>
      <c r="C66" s="2205"/>
      <c r="D66" s="2205"/>
      <c r="E66" s="2205"/>
      <c r="F66" s="2205" t="s">
        <v>1359</v>
      </c>
      <c r="G66" s="2205"/>
      <c r="H66" s="2205"/>
      <c r="I66" s="2205"/>
      <c r="J66" s="2208"/>
      <c r="K66" s="2205" t="s">
        <v>1360</v>
      </c>
      <c r="L66" s="2205"/>
      <c r="M66" s="2205"/>
      <c r="N66" s="2205"/>
      <c r="O66" s="2205"/>
      <c r="P66" s="2205"/>
      <c r="Q66" s="2206"/>
      <c r="T66" t="s">
        <v>1256</v>
      </c>
      <c r="U66" t="s">
        <v>1252</v>
      </c>
    </row>
    <row r="67" spans="2:21">
      <c r="B67" s="2204"/>
      <c r="C67" s="2205"/>
      <c r="D67" s="2205"/>
      <c r="E67" s="2205"/>
      <c r="F67" s="2205" t="s">
        <v>1361</v>
      </c>
      <c r="G67" s="2205"/>
      <c r="H67" s="2205"/>
      <c r="I67" s="2205"/>
      <c r="J67" s="2208"/>
      <c r="K67" s="2205" t="s">
        <v>1362</v>
      </c>
      <c r="L67" s="2205"/>
      <c r="M67" s="2205"/>
      <c r="N67" s="2205"/>
      <c r="O67" s="2205"/>
      <c r="P67" s="2205"/>
      <c r="Q67" s="2206"/>
      <c r="T67" t="s">
        <v>1263</v>
      </c>
      <c r="U67" t="s">
        <v>1363</v>
      </c>
    </row>
    <row r="68" spans="2:21">
      <c r="B68" s="2204"/>
      <c r="C68" s="2205"/>
      <c r="D68" s="2205"/>
      <c r="E68" s="2205"/>
      <c r="F68" s="2205" t="s">
        <v>1364</v>
      </c>
      <c r="G68" s="2205"/>
      <c r="H68" s="2205"/>
      <c r="I68" s="2205"/>
      <c r="J68" s="2208"/>
      <c r="K68" s="2205" t="s">
        <v>1365</v>
      </c>
      <c r="L68" s="2205"/>
      <c r="M68" s="2205"/>
      <c r="N68" s="2205"/>
      <c r="O68" s="2205"/>
      <c r="P68" s="2205"/>
      <c r="Q68" s="2206"/>
      <c r="T68" t="s">
        <v>1363</v>
      </c>
    </row>
    <row r="69" spans="2:21" ht="14.25" thickBot="1">
      <c r="B69" s="2245"/>
      <c r="C69" s="2246"/>
      <c r="D69" s="2246"/>
      <c r="E69" s="2246"/>
      <c r="F69" s="2246" t="s">
        <v>1365</v>
      </c>
      <c r="G69" s="2246"/>
      <c r="H69" s="2246"/>
      <c r="I69" s="2246"/>
      <c r="J69" s="2247"/>
      <c r="K69" s="2246"/>
      <c r="L69" s="2246"/>
      <c r="M69" s="2246"/>
      <c r="N69" s="2246"/>
      <c r="O69" s="2246"/>
      <c r="P69" s="2246"/>
      <c r="Q69" s="2248"/>
    </row>
    <row r="70" spans="2:21" ht="14.25" thickBot="1">
      <c r="B70" s="509"/>
      <c r="C70" s="509"/>
      <c r="D70" s="509"/>
      <c r="E70" s="509"/>
      <c r="F70" s="509"/>
      <c r="G70" s="509"/>
      <c r="H70" s="509"/>
      <c r="I70" s="509"/>
      <c r="J70" s="509"/>
      <c r="K70" s="509"/>
      <c r="L70" s="509"/>
      <c r="M70" s="509"/>
      <c r="N70" s="509"/>
      <c r="O70" s="509"/>
      <c r="P70" s="509"/>
      <c r="Q70" s="509"/>
    </row>
    <row r="71" spans="2:21" ht="27" customHeight="1">
      <c r="B71" s="2249"/>
      <c r="C71" s="2250" t="s">
        <v>1366</v>
      </c>
      <c r="D71" s="2251"/>
      <c r="E71" s="2251"/>
      <c r="F71" s="2251"/>
      <c r="G71" s="2251"/>
      <c r="H71" s="2251"/>
      <c r="I71" s="2251"/>
      <c r="J71" s="2251"/>
      <c r="K71" s="2251"/>
      <c r="L71" s="2251"/>
      <c r="M71" s="2251"/>
      <c r="N71" s="2252"/>
      <c r="O71" s="2253"/>
      <c r="P71" s="2253"/>
      <c r="Q71" s="2254"/>
    </row>
    <row r="72" spans="2:21">
      <c r="B72" s="2255"/>
      <c r="C72" s="1446"/>
      <c r="D72" s="1446" t="s">
        <v>1810</v>
      </c>
      <c r="E72" s="2205"/>
      <c r="F72" s="2205"/>
      <c r="G72" s="2225"/>
      <c r="H72" s="2205"/>
      <c r="I72" s="2205"/>
      <c r="J72" s="2205"/>
      <c r="K72" s="2205"/>
      <c r="L72" s="2205"/>
      <c r="M72" s="2205"/>
      <c r="N72" s="2205" t="s">
        <v>111</v>
      </c>
      <c r="O72" s="2205"/>
      <c r="P72" s="2205"/>
      <c r="Q72" s="2256" t="s">
        <v>180</v>
      </c>
    </row>
    <row r="73" spans="2:21">
      <c r="B73" s="2255"/>
      <c r="C73" s="1446"/>
      <c r="D73" s="1446"/>
      <c r="E73" s="2205"/>
      <c r="F73" s="2212" t="s">
        <v>1367</v>
      </c>
      <c r="G73" s="2212" t="s">
        <v>1698</v>
      </c>
      <c r="H73" s="2212" t="s">
        <v>1699</v>
      </c>
      <c r="I73" s="2205"/>
      <c r="J73" s="2205" t="s">
        <v>1368</v>
      </c>
      <c r="K73" s="2205"/>
      <c r="L73" s="2257" t="s">
        <v>1369</v>
      </c>
      <c r="M73" s="2205"/>
      <c r="N73" s="1443" t="s">
        <v>1334</v>
      </c>
      <c r="O73" s="1452"/>
      <c r="P73" s="1452"/>
      <c r="Q73" s="1445" t="s">
        <v>1334</v>
      </c>
    </row>
    <row r="74" spans="2:21">
      <c r="B74" s="2255"/>
      <c r="C74" s="1446"/>
      <c r="D74" s="1446"/>
      <c r="E74" s="2208" t="s">
        <v>1370</v>
      </c>
      <c r="F74" s="2258" t="str">
        <f>IF(E24=S27,I45,I26)</f>
        <v>-</v>
      </c>
      <c r="G74" s="2350">
        <f>-(境界値!I51-1)*0.1</f>
        <v>0.1</v>
      </c>
      <c r="H74" s="2258" t="e">
        <f>IF(E24=S27,I45,I26)+G74</f>
        <v>#VALUE!</v>
      </c>
      <c r="I74" s="2205"/>
      <c r="J74" s="2259">
        <f>(H98*N98+H100*N100+N101*H101)/1000</f>
        <v>0</v>
      </c>
      <c r="K74" s="2260" t="s">
        <v>1334</v>
      </c>
      <c r="L74" s="2261" t="e">
        <f>N104</f>
        <v>#DIV/0!</v>
      </c>
      <c r="M74" s="2260"/>
      <c r="N74" s="2262">
        <f>境界値!J20+境界値!J8</f>
        <v>0</v>
      </c>
      <c r="O74" s="1452"/>
      <c r="P74" s="1986"/>
      <c r="Q74" s="2263" t="e">
        <f>(N74/H74+J74)/L74</f>
        <v>#VALUE!</v>
      </c>
      <c r="S74" t="s">
        <v>1802</v>
      </c>
      <c r="T74" s="2264" t="e">
        <f>T94/Q74</f>
        <v>#VALUE!</v>
      </c>
    </row>
    <row r="75" spans="2:21">
      <c r="B75" s="2255"/>
      <c r="C75" s="1446"/>
      <c r="D75" s="1446"/>
      <c r="E75" s="2208"/>
      <c r="F75" s="2388"/>
      <c r="G75" s="2389"/>
      <c r="H75" s="2388"/>
      <c r="I75" s="2205"/>
      <c r="J75" s="2283"/>
      <c r="K75" s="2260"/>
      <c r="L75" s="2390"/>
      <c r="M75" s="2260"/>
      <c r="N75" s="2297"/>
      <c r="O75" s="1452"/>
      <c r="P75" s="1986"/>
      <c r="Q75" s="2298"/>
      <c r="S75" t="s">
        <v>1803</v>
      </c>
      <c r="T75" s="2450">
        <f>CO2データ!N170</f>
        <v>0</v>
      </c>
    </row>
    <row r="76" spans="2:21">
      <c r="B76" s="2204"/>
      <c r="C76" s="2205"/>
      <c r="D76" s="2205"/>
      <c r="E76" s="2205"/>
      <c r="F76" s="2205"/>
      <c r="G76" s="2257"/>
      <c r="H76" s="2257" t="s">
        <v>1371</v>
      </c>
      <c r="I76" s="2205"/>
      <c r="J76" s="2257" t="s">
        <v>1372</v>
      </c>
      <c r="K76" s="2257"/>
      <c r="L76" s="2257" t="s">
        <v>1700</v>
      </c>
      <c r="M76" s="2205"/>
      <c r="N76" s="2205"/>
      <c r="O76" s="2205"/>
      <c r="P76" s="2205"/>
      <c r="Q76" s="2206"/>
    </row>
    <row r="77" spans="2:21">
      <c r="B77" s="2204"/>
      <c r="C77" s="2205"/>
      <c r="D77" s="2205"/>
      <c r="E77" s="2205"/>
      <c r="F77" s="2205"/>
      <c r="G77" s="2212"/>
      <c r="H77" s="2212" t="s">
        <v>1701</v>
      </c>
      <c r="I77" s="2205"/>
      <c r="J77" s="2257" t="s">
        <v>1374</v>
      </c>
      <c r="K77" s="2257"/>
      <c r="L77" s="2257" t="s">
        <v>234</v>
      </c>
      <c r="M77" s="2205"/>
      <c r="N77" s="2205"/>
      <c r="O77" s="2205"/>
      <c r="P77" s="2205"/>
      <c r="Q77" s="2206"/>
      <c r="S77" t="s">
        <v>1375</v>
      </c>
    </row>
    <row r="78" spans="2:21">
      <c r="B78" s="2204"/>
      <c r="C78" s="2205"/>
      <c r="D78" s="2205"/>
      <c r="E78" s="2265" t="s">
        <v>199</v>
      </c>
      <c r="F78" s="2266" t="s">
        <v>519</v>
      </c>
      <c r="G78" s="2267"/>
      <c r="H78" s="517">
        <f>メイン!W71</f>
        <v>0</v>
      </c>
      <c r="I78" s="1454"/>
      <c r="J78" s="517">
        <f>CO2データ!H151</f>
        <v>0</v>
      </c>
      <c r="K78" s="1454"/>
      <c r="L78" s="2268" t="e">
        <f>CO2データ!R151</f>
        <v>#VALUE!</v>
      </c>
      <c r="M78" s="2205"/>
      <c r="N78" s="2205"/>
      <c r="O78" s="2205"/>
      <c r="P78" s="2205"/>
      <c r="Q78" s="2206"/>
      <c r="S78" s="1983">
        <f>CO2データ!N151</f>
        <v>0.9</v>
      </c>
    </row>
    <row r="79" spans="2:21">
      <c r="B79" s="2204"/>
      <c r="C79" s="2205"/>
      <c r="D79" s="2205"/>
      <c r="E79" s="2269"/>
      <c r="F79" s="2266" t="s">
        <v>1218</v>
      </c>
      <c r="G79" s="2267"/>
      <c r="H79" s="517">
        <f>メイン!W72</f>
        <v>0</v>
      </c>
      <c r="I79" s="1454"/>
      <c r="J79" s="517">
        <f>CO2データ!H152</f>
        <v>0</v>
      </c>
      <c r="K79" s="1454"/>
      <c r="L79" s="2268" t="e">
        <f>CO2データ!R152</f>
        <v>#VALUE!</v>
      </c>
      <c r="M79" s="2205"/>
      <c r="N79" s="2205"/>
      <c r="O79" s="2205"/>
      <c r="P79" s="2205"/>
      <c r="Q79" s="2206"/>
      <c r="S79" s="1983">
        <f>CO2データ!N152</f>
        <v>0.83</v>
      </c>
    </row>
    <row r="80" spans="2:21">
      <c r="B80" s="2204"/>
      <c r="C80" s="2205"/>
      <c r="D80" s="2205"/>
      <c r="E80" s="2270" t="s">
        <v>1219</v>
      </c>
      <c r="F80" s="2266" t="s">
        <v>1220</v>
      </c>
      <c r="G80" s="2267"/>
      <c r="H80" s="517">
        <f>メイン!W73</f>
        <v>0</v>
      </c>
      <c r="I80" s="1454"/>
      <c r="J80" s="517">
        <f>CO2データ!H153</f>
        <v>0</v>
      </c>
      <c r="K80" s="1454"/>
      <c r="L80" s="2268" t="e">
        <f>CO2データ!R153</f>
        <v>#VALUE!</v>
      </c>
      <c r="M80" s="2205"/>
      <c r="N80" s="2205"/>
      <c r="O80" s="2205"/>
      <c r="P80" s="2205"/>
      <c r="Q80" s="2206"/>
      <c r="S80" s="1983">
        <f>CO2データ!N153</f>
        <v>0.71</v>
      </c>
    </row>
    <row r="81" spans="2:27">
      <c r="B81" s="2204"/>
      <c r="C81" s="2205"/>
      <c r="D81" s="2205"/>
      <c r="E81" s="2270"/>
      <c r="F81" s="2271" t="s">
        <v>1221</v>
      </c>
      <c r="G81" s="2272" t="s">
        <v>1075</v>
      </c>
      <c r="H81" s="517">
        <f>メイン!W74</f>
        <v>0</v>
      </c>
      <c r="I81" s="1454"/>
      <c r="J81" s="517">
        <f>CO2データ!H154</f>
        <v>0</v>
      </c>
      <c r="K81" s="1454"/>
      <c r="L81" s="2268" t="e">
        <f>CO2データ!R154</f>
        <v>#VALUE!</v>
      </c>
      <c r="M81" s="2205"/>
      <c r="N81" s="2205"/>
      <c r="O81" s="2205"/>
      <c r="P81" s="2205"/>
      <c r="Q81" s="2206"/>
      <c r="S81" s="1983">
        <f>CO2データ!N154</f>
        <v>0.62299911901772109</v>
      </c>
    </row>
    <row r="82" spans="2:27">
      <c r="B82" s="2204"/>
      <c r="C82" s="2205"/>
      <c r="D82" s="2205"/>
      <c r="E82" s="2270"/>
      <c r="F82" s="2273"/>
      <c r="G82" s="2272" t="s">
        <v>568</v>
      </c>
      <c r="H82" s="517">
        <f>メイン!W75</f>
        <v>0</v>
      </c>
      <c r="I82" s="1454"/>
      <c r="J82" s="517">
        <f>CO2データ!H155</f>
        <v>0</v>
      </c>
      <c r="K82" s="1454"/>
      <c r="L82" s="2268" t="e">
        <f>CO2データ!R155</f>
        <v>#VALUE!</v>
      </c>
      <c r="M82" s="2205"/>
      <c r="N82" s="2205"/>
      <c r="O82" s="2205"/>
      <c r="P82" s="2205"/>
      <c r="Q82" s="2206"/>
      <c r="S82" s="1983">
        <f>CO2データ!N155</f>
        <v>0.75998792472086629</v>
      </c>
    </row>
    <row r="83" spans="2:27">
      <c r="B83" s="2204"/>
      <c r="C83" s="2205"/>
      <c r="D83" s="2205"/>
      <c r="E83" s="2270"/>
      <c r="F83" s="2266" t="s">
        <v>1222</v>
      </c>
      <c r="G83" s="2267"/>
      <c r="H83" s="517">
        <f>メイン!W76</f>
        <v>0</v>
      </c>
      <c r="I83" s="1454"/>
      <c r="J83" s="517">
        <f>CO2データ!H156</f>
        <v>0</v>
      </c>
      <c r="K83" s="1454"/>
      <c r="L83" s="2268" t="e">
        <f>CO2データ!R156</f>
        <v>#VALUE!</v>
      </c>
      <c r="M83" s="2205"/>
      <c r="N83" s="2205"/>
      <c r="O83" s="2205"/>
      <c r="P83" s="2205"/>
      <c r="Q83" s="2206"/>
      <c r="S83" s="1983">
        <f>CO2データ!N156</f>
        <v>0.74</v>
      </c>
    </row>
    <row r="84" spans="2:27">
      <c r="B84" s="2204"/>
      <c r="C84" s="2205"/>
      <c r="D84" s="2205"/>
      <c r="E84" s="2269"/>
      <c r="F84" s="2266" t="s">
        <v>1223</v>
      </c>
      <c r="G84" s="2267"/>
      <c r="H84" s="517">
        <f>メイン!W77</f>
        <v>0</v>
      </c>
      <c r="I84" s="1454"/>
      <c r="J84" s="517">
        <f>CO2データ!H157</f>
        <v>0</v>
      </c>
      <c r="K84" s="1454"/>
      <c r="L84" s="2268" t="e">
        <f>CO2データ!R157</f>
        <v>#VALUE!</v>
      </c>
      <c r="M84" s="2205"/>
      <c r="N84" s="2205"/>
      <c r="O84" s="2205"/>
      <c r="P84" s="2205"/>
      <c r="Q84" s="2206"/>
      <c r="S84" s="1983">
        <f>CO2データ!N157</f>
        <v>0.79</v>
      </c>
    </row>
    <row r="85" spans="2:27">
      <c r="B85" s="2204"/>
      <c r="C85" s="2205"/>
      <c r="D85" s="2205"/>
      <c r="E85" s="2265" t="s">
        <v>1224</v>
      </c>
      <c r="F85" s="2266" t="s">
        <v>909</v>
      </c>
      <c r="G85" s="2267"/>
      <c r="H85" s="517">
        <f>メイン!W78</f>
        <v>0</v>
      </c>
      <c r="I85" s="1454"/>
      <c r="J85" s="517">
        <f>CO2データ!H158</f>
        <v>0</v>
      </c>
      <c r="K85" s="1454"/>
      <c r="L85" s="2268" t="e">
        <f>CO2データ!R158</f>
        <v>#VALUE!</v>
      </c>
      <c r="M85" s="2205"/>
      <c r="N85" s="2205"/>
      <c r="O85" s="2205"/>
      <c r="P85" s="2205"/>
      <c r="Q85" s="2206"/>
      <c r="S85" s="1983">
        <f>CO2データ!N158</f>
        <v>0.93</v>
      </c>
    </row>
    <row r="86" spans="2:27">
      <c r="B86" s="2204"/>
      <c r="C86" s="2205"/>
      <c r="D86" s="2205"/>
      <c r="E86" s="2269"/>
      <c r="F86" s="2266" t="s">
        <v>1225</v>
      </c>
      <c r="G86" s="2267"/>
      <c r="H86" s="517">
        <f>メイン!W79</f>
        <v>0</v>
      </c>
      <c r="I86" s="1454"/>
      <c r="J86" s="517">
        <f>CO2データ!H159</f>
        <v>0</v>
      </c>
      <c r="K86" s="1454"/>
      <c r="L86" s="2268" t="e">
        <f>CO2データ!R159</f>
        <v>#VALUE!</v>
      </c>
      <c r="M86" s="2205"/>
      <c r="N86" s="2205"/>
      <c r="O86" s="2205"/>
      <c r="P86" s="2205"/>
      <c r="Q86" s="2206"/>
      <c r="S86" s="1983">
        <f>CO2データ!N159</f>
        <v>0.92</v>
      </c>
    </row>
    <row r="87" spans="2:27">
      <c r="B87" s="2204"/>
      <c r="C87" s="2205"/>
      <c r="D87" s="2205"/>
      <c r="E87" s="2266" t="s">
        <v>525</v>
      </c>
      <c r="F87" s="2274"/>
      <c r="G87" s="2267"/>
      <c r="H87" s="517">
        <f>メイン!W80</f>
        <v>0</v>
      </c>
      <c r="I87" s="1454"/>
      <c r="J87" s="517">
        <f>CO2データ!H160</f>
        <v>0</v>
      </c>
      <c r="K87" s="1454"/>
      <c r="L87" s="2268" t="e">
        <f>CO2データ!R160</f>
        <v>#VALUE!</v>
      </c>
      <c r="M87" s="2205"/>
      <c r="N87" s="2205"/>
      <c r="O87" s="2205"/>
      <c r="P87" s="2205"/>
      <c r="Q87" s="2206"/>
      <c r="S87" s="1983">
        <f>CO2データ!N160</f>
        <v>0.5</v>
      </c>
    </row>
    <row r="88" spans="2:27">
      <c r="B88" s="2204"/>
      <c r="C88" s="2205"/>
      <c r="D88" s="2205"/>
      <c r="E88" s="2265" t="s">
        <v>1226</v>
      </c>
      <c r="F88" s="2266" t="s">
        <v>1227</v>
      </c>
      <c r="G88" s="2267"/>
      <c r="H88" s="517">
        <f>メイン!W81</f>
        <v>0</v>
      </c>
      <c r="I88" s="1454"/>
      <c r="J88" s="517">
        <f>CO2データ!H161</f>
        <v>0</v>
      </c>
      <c r="K88" s="1454"/>
      <c r="L88" s="2268" t="e">
        <f>CO2データ!R161</f>
        <v>#VALUE!</v>
      </c>
      <c r="M88" s="2205"/>
      <c r="N88" s="2205"/>
      <c r="O88" s="2205"/>
      <c r="P88" s="2205"/>
      <c r="Q88" s="2206"/>
      <c r="S88" s="1983">
        <f>CO2データ!N161</f>
        <v>0.76</v>
      </c>
    </row>
    <row r="89" spans="2:27">
      <c r="B89" s="2204"/>
      <c r="C89" s="2205"/>
      <c r="D89" s="2205"/>
      <c r="E89" s="2270"/>
      <c r="F89" s="2266" t="s">
        <v>1228</v>
      </c>
      <c r="G89" s="2267"/>
      <c r="H89" s="517">
        <f>メイン!W82</f>
        <v>0</v>
      </c>
      <c r="I89" s="1454"/>
      <c r="J89" s="517">
        <f>CO2データ!H162</f>
        <v>0</v>
      </c>
      <c r="K89" s="1454"/>
      <c r="L89" s="2268" t="e">
        <f>CO2データ!R162</f>
        <v>#VALUE!</v>
      </c>
      <c r="M89" s="2205"/>
      <c r="N89" s="2205"/>
      <c r="O89" s="2205"/>
      <c r="P89" s="2205"/>
      <c r="Q89" s="2206"/>
      <c r="S89" s="1983">
        <f>CO2データ!N162</f>
        <v>0.81</v>
      </c>
    </row>
    <row r="90" spans="2:27">
      <c r="B90" s="2204"/>
      <c r="C90" s="2205"/>
      <c r="D90" s="2205"/>
      <c r="E90" s="2270"/>
      <c r="F90" s="2271" t="s">
        <v>1229</v>
      </c>
      <c r="G90" s="2275"/>
      <c r="H90" s="517">
        <f>メイン!W83</f>
        <v>0</v>
      </c>
      <c r="I90" s="1454"/>
      <c r="J90" s="517">
        <f>CO2データ!H163</f>
        <v>0</v>
      </c>
      <c r="K90" s="1454"/>
      <c r="L90" s="2268" t="e">
        <f>CO2データ!R163</f>
        <v>#VALUE!</v>
      </c>
      <c r="M90" s="2205"/>
      <c r="N90" s="2205"/>
      <c r="O90" s="2205"/>
      <c r="P90" s="2205"/>
      <c r="Q90" s="2206"/>
      <c r="S90" s="1983">
        <f>CO2データ!N163</f>
        <v>0.92</v>
      </c>
    </row>
    <row r="91" spans="2:27">
      <c r="B91" s="2204"/>
      <c r="C91" s="2205"/>
      <c r="D91" s="2205"/>
      <c r="E91" s="2266" t="s">
        <v>535</v>
      </c>
      <c r="F91" s="2274"/>
      <c r="G91" s="2267"/>
      <c r="H91" s="517">
        <f>メイン!W84</f>
        <v>0</v>
      </c>
      <c r="I91" s="1454"/>
      <c r="J91" s="517">
        <f>CO2データ!H164</f>
        <v>0</v>
      </c>
      <c r="K91" s="1454"/>
      <c r="L91" s="2268" t="e">
        <f>CO2データ!R164</f>
        <v>#VALUE!</v>
      </c>
      <c r="M91" s="2205"/>
      <c r="N91" s="2205"/>
      <c r="O91" s="2205"/>
      <c r="P91" s="2205"/>
      <c r="Q91" s="2206"/>
      <c r="S91" s="1983">
        <f>CO2データ!N164</f>
        <v>1</v>
      </c>
    </row>
    <row r="92" spans="2:27">
      <c r="B92" s="2204"/>
      <c r="C92" s="2205"/>
      <c r="D92" s="2205"/>
      <c r="E92" s="2266" t="s">
        <v>529</v>
      </c>
      <c r="F92" s="2274"/>
      <c r="G92" s="2267"/>
      <c r="H92" s="517">
        <f>メイン!W85</f>
        <v>0</v>
      </c>
      <c r="I92" s="1454"/>
      <c r="J92" s="517">
        <f>CO2データ!H165</f>
        <v>0</v>
      </c>
      <c r="K92" s="1454"/>
      <c r="L92" s="2268" t="e">
        <f>CO2データ!R165</f>
        <v>#VALUE!</v>
      </c>
      <c r="M92" s="2205"/>
      <c r="N92" s="2205"/>
      <c r="O92" s="2205"/>
      <c r="P92" s="2205"/>
      <c r="Q92" s="2206"/>
      <c r="S92" s="1983">
        <f>CO2データ!N165</f>
        <v>0.65</v>
      </c>
    </row>
    <row r="93" spans="2:27" ht="14.25" thickBot="1">
      <c r="B93" s="2204"/>
      <c r="C93" s="2205"/>
      <c r="D93" s="2205"/>
      <c r="E93" s="2266" t="s">
        <v>1230</v>
      </c>
      <c r="F93" s="2274"/>
      <c r="G93" s="2267"/>
      <c r="H93" s="517">
        <f>メイン!W86</f>
        <v>0</v>
      </c>
      <c r="I93" s="1454"/>
      <c r="J93" s="517">
        <f>CO2データ!H166</f>
        <v>0</v>
      </c>
      <c r="K93" s="1454"/>
      <c r="L93" s="2268" t="e">
        <f>CO2データ!R166</f>
        <v>#VALUE!</v>
      </c>
      <c r="M93" s="2205"/>
      <c r="N93" s="2205"/>
      <c r="O93" s="2205"/>
      <c r="P93" s="2205"/>
      <c r="Q93" s="2206"/>
      <c r="S93" s="1983">
        <f>CO2データ!N166</f>
        <v>0.77</v>
      </c>
    </row>
    <row r="94" spans="2:27" ht="14.25" thickBot="1">
      <c r="B94" s="2204"/>
      <c r="C94" s="2205"/>
      <c r="D94" s="2205"/>
      <c r="E94" s="2276" t="s">
        <v>1376</v>
      </c>
      <c r="F94" s="2276" t="s">
        <v>537</v>
      </c>
      <c r="G94" s="2276"/>
      <c r="H94" s="2277">
        <f>SUM(H78:H93)</f>
        <v>0</v>
      </c>
      <c r="I94" s="1454"/>
      <c r="J94" s="2277">
        <f>SUMPRODUCT(H78:H93,J78:J93)/1000</f>
        <v>0</v>
      </c>
      <c r="K94" s="1454" t="s">
        <v>1377</v>
      </c>
      <c r="L94" s="2278" t="e">
        <f>SUMPRODUCT(H78:H93,L78:L93)/H94</f>
        <v>#VALUE!</v>
      </c>
      <c r="M94" s="2205"/>
      <c r="N94" s="2205"/>
      <c r="O94" s="2205"/>
      <c r="P94" s="2205"/>
      <c r="Q94" s="2206"/>
      <c r="S94" s="1983"/>
      <c r="T94" s="2279">
        <f>SUMPRODUCT(H78:H93,J78:J93,S78:S93)/1000</f>
        <v>0</v>
      </c>
    </row>
    <row r="95" spans="2:27">
      <c r="B95" s="2204"/>
      <c r="C95" s="2205"/>
      <c r="D95" s="2205"/>
      <c r="E95" s="1454"/>
      <c r="F95" s="1454"/>
      <c r="G95" s="1454"/>
      <c r="H95" s="1454"/>
      <c r="I95" s="1454"/>
      <c r="J95" s="1454"/>
      <c r="K95" s="1454"/>
      <c r="L95" s="1454"/>
      <c r="M95" s="2205"/>
      <c r="N95" s="2205"/>
      <c r="O95" s="2205"/>
      <c r="P95" s="2205"/>
      <c r="Q95" s="2206"/>
    </row>
    <row r="96" spans="2:27">
      <c r="B96" s="2204"/>
      <c r="C96" s="2205"/>
      <c r="D96" s="2205"/>
      <c r="E96" s="1455" t="s">
        <v>1378</v>
      </c>
      <c r="F96" s="147"/>
      <c r="G96" s="2205"/>
      <c r="H96" s="2257" t="s">
        <v>1371</v>
      </c>
      <c r="I96" s="2205"/>
      <c r="J96" s="2205"/>
      <c r="K96" s="2205"/>
      <c r="L96" s="2205"/>
      <c r="M96" s="2205"/>
      <c r="N96" s="2205"/>
      <c r="O96" s="2205"/>
      <c r="P96" s="2205"/>
      <c r="Q96" s="2206"/>
      <c r="V96" s="1"/>
      <c r="W96" s="1"/>
      <c r="Z96" s="1"/>
      <c r="AA96" s="1"/>
    </row>
    <row r="97" spans="2:27" ht="14.25" hidden="1" thickBot="1">
      <c r="B97" s="2204"/>
      <c r="C97" s="2205"/>
      <c r="D97" s="2205"/>
      <c r="E97" s="1455"/>
      <c r="F97" s="147"/>
      <c r="G97" s="2205"/>
      <c r="H97" s="2205"/>
      <c r="I97" s="2205"/>
      <c r="J97" s="2205"/>
      <c r="K97" s="2205"/>
      <c r="L97" s="2205"/>
      <c r="M97" s="2205"/>
      <c r="N97" s="2205"/>
      <c r="O97" s="2205"/>
      <c r="P97" s="2205"/>
      <c r="Q97" s="2206"/>
      <c r="S97" t="s">
        <v>1379</v>
      </c>
      <c r="T97" s="2280">
        <v>1</v>
      </c>
      <c r="V97" s="1981"/>
      <c r="W97" s="1981"/>
      <c r="Z97" s="1981"/>
      <c r="AA97" s="1981"/>
    </row>
    <row r="98" spans="2:27" ht="14.25" hidden="1" thickBot="1">
      <c r="B98" s="2204"/>
      <c r="C98" s="2205"/>
      <c r="D98" s="2205"/>
      <c r="E98" s="1455"/>
      <c r="F98" s="1455" t="s">
        <v>1380</v>
      </c>
      <c r="G98" s="147"/>
      <c r="H98" s="1971">
        <f>IF(T97=1,0,H94-H81-H82)</f>
        <v>0</v>
      </c>
      <c r="I98" s="2205"/>
      <c r="J98" s="2205"/>
      <c r="K98" s="2205"/>
      <c r="L98" s="2205"/>
      <c r="M98" s="2205"/>
      <c r="N98" s="2281"/>
      <c r="O98" s="2205" t="s">
        <v>1702</v>
      </c>
      <c r="P98" s="2205"/>
      <c r="Q98" s="2206"/>
      <c r="S98" s="1983"/>
      <c r="V98" s="1981"/>
      <c r="W98" s="1981"/>
      <c r="Z98" s="1981"/>
      <c r="AA98" s="1981"/>
    </row>
    <row r="99" spans="2:27">
      <c r="B99" s="2282"/>
      <c r="C99" s="1446"/>
      <c r="D99" s="1446"/>
      <c r="E99" s="1455"/>
      <c r="F99" s="1455" t="s">
        <v>1382</v>
      </c>
      <c r="G99" s="147"/>
      <c r="H99" s="2212" t="s">
        <v>1683</v>
      </c>
      <c r="I99" s="2212"/>
      <c r="J99" s="1449" t="s">
        <v>185</v>
      </c>
      <c r="K99" s="1449" t="s">
        <v>186</v>
      </c>
      <c r="L99" s="1449" t="s">
        <v>187</v>
      </c>
      <c r="M99" s="1450" t="s">
        <v>188</v>
      </c>
      <c r="N99" s="1450" t="s">
        <v>1127</v>
      </c>
      <c r="O99" s="2283"/>
      <c r="P99" s="1986"/>
      <c r="Q99" s="2284"/>
    </row>
    <row r="100" spans="2:27" ht="14.25" thickBot="1">
      <c r="B100" s="2282"/>
      <c r="C100" s="1446"/>
      <c r="D100" s="1446"/>
      <c r="E100" s="1455"/>
      <c r="F100" s="1455"/>
      <c r="G100" s="2212" t="s">
        <v>1383</v>
      </c>
      <c r="H100" s="2285">
        <f>H81+H82+M14</f>
        <v>0</v>
      </c>
      <c r="I100" s="2212"/>
      <c r="J100" s="2286">
        <v>0</v>
      </c>
      <c r="K100" s="2286">
        <v>1</v>
      </c>
      <c r="L100" s="2373">
        <v>15</v>
      </c>
      <c r="M100" s="2287">
        <f>スコア入力!P120</f>
        <v>3</v>
      </c>
      <c r="N100" s="2288">
        <f>IF(M100&gt;=5,$L100,IF(M100&gt;=4,$K100,$J100))</f>
        <v>0</v>
      </c>
      <c r="O100" s="2205"/>
      <c r="P100" s="1986"/>
      <c r="Q100" s="2284"/>
    </row>
    <row r="101" spans="2:27" ht="14.25" thickBot="1">
      <c r="B101" s="2282"/>
      <c r="C101" s="1446"/>
      <c r="D101" s="1446"/>
      <c r="E101" s="1455"/>
      <c r="F101" s="1455"/>
      <c r="G101" s="147" t="s">
        <v>1384</v>
      </c>
      <c r="H101" s="1971">
        <f>IF(T97=1,H94-H81-H82,0)</f>
        <v>0</v>
      </c>
      <c r="I101" s="2212"/>
      <c r="J101" s="2286">
        <v>0</v>
      </c>
      <c r="K101" s="2286">
        <v>1</v>
      </c>
      <c r="L101" s="2374">
        <v>15</v>
      </c>
      <c r="M101" s="2287">
        <f>スコア入力!P121</f>
        <v>3</v>
      </c>
      <c r="N101" s="2288">
        <f>IF(M101&gt;=5,$L101,IF(M101&gt;=4,$K101,$J101))</f>
        <v>0</v>
      </c>
      <c r="O101" s="2205" t="s">
        <v>839</v>
      </c>
      <c r="P101" s="1986"/>
      <c r="Q101" s="2284"/>
    </row>
    <row r="102" spans="2:27">
      <c r="B102" s="2282"/>
      <c r="C102" s="1446"/>
      <c r="D102" s="1446"/>
      <c r="E102" s="2289"/>
      <c r="F102" s="2289"/>
      <c r="G102" s="2290"/>
      <c r="H102" s="147"/>
      <c r="I102" s="147"/>
      <c r="J102" s="147"/>
      <c r="K102" s="147"/>
      <c r="L102" s="147"/>
      <c r="M102" s="147"/>
      <c r="N102" s="147"/>
      <c r="O102" s="2283"/>
      <c r="P102" s="1986"/>
      <c r="Q102" s="2284"/>
    </row>
    <row r="103" spans="2:27">
      <c r="B103" s="2255"/>
      <c r="C103" s="1446"/>
      <c r="D103" s="1446"/>
      <c r="E103" s="1455" t="s">
        <v>1385</v>
      </c>
      <c r="F103" s="2289"/>
      <c r="G103" s="2205"/>
      <c r="H103" s="2291"/>
      <c r="I103" s="2205"/>
      <c r="J103" s="1449" t="s">
        <v>185</v>
      </c>
      <c r="K103" s="1449" t="s">
        <v>186</v>
      </c>
      <c r="L103" s="1449" t="s">
        <v>187</v>
      </c>
      <c r="M103" s="1450" t="s">
        <v>188</v>
      </c>
      <c r="N103" s="1450" t="s">
        <v>1386</v>
      </c>
      <c r="O103" s="1452"/>
      <c r="P103" s="1986"/>
      <c r="Q103" s="2284"/>
    </row>
    <row r="104" spans="2:27">
      <c r="B104" s="2255"/>
      <c r="C104" s="1446"/>
      <c r="D104" s="1446"/>
      <c r="E104" s="1455"/>
      <c r="F104" s="1455" t="s">
        <v>1387</v>
      </c>
      <c r="G104" s="2205"/>
      <c r="H104" s="2205"/>
      <c r="I104" s="2205"/>
      <c r="J104" s="2292">
        <v>1</v>
      </c>
      <c r="K104" s="2293">
        <v>0.97499999999999998</v>
      </c>
      <c r="L104" s="2292">
        <v>0.95</v>
      </c>
      <c r="M104" s="2287" t="e">
        <f>スコア表示!M134</f>
        <v>#DIV/0!</v>
      </c>
      <c r="N104" s="2294" t="e">
        <f>IF(M104&gt;=5,$L104,IF(M104&gt;=4,$K104,$J104))</f>
        <v>#DIV/0!</v>
      </c>
      <c r="O104" s="1452"/>
      <c r="P104" s="1986"/>
      <c r="Q104" s="2284"/>
    </row>
    <row r="105" spans="2:27">
      <c r="B105" s="2255"/>
      <c r="C105" s="1446"/>
      <c r="D105" s="2205"/>
      <c r="E105" s="2205"/>
      <c r="F105" s="2205"/>
      <c r="G105" s="2205"/>
      <c r="H105" s="2205"/>
      <c r="I105" s="2205"/>
      <c r="J105" s="2205"/>
      <c r="K105" s="2205"/>
      <c r="L105" s="2205"/>
      <c r="M105" s="2205"/>
      <c r="N105" s="1443"/>
      <c r="O105" s="1452"/>
      <c r="P105" s="1452"/>
      <c r="Q105" s="1445"/>
    </row>
    <row r="106" spans="2:27">
      <c r="B106" s="2255"/>
      <c r="C106" s="1446"/>
      <c r="D106" s="2205"/>
      <c r="E106" s="2208" t="s">
        <v>1388</v>
      </c>
      <c r="F106" s="2205"/>
      <c r="G106" s="2295"/>
      <c r="H106" s="2205"/>
      <c r="I106" s="2205"/>
      <c r="J106" s="2205"/>
      <c r="K106" s="2205"/>
      <c r="L106" s="2205"/>
      <c r="M106" s="2205"/>
      <c r="N106" s="2205" t="s">
        <v>111</v>
      </c>
      <c r="O106" s="2205"/>
      <c r="P106" s="2205"/>
      <c r="Q106" s="2256" t="s">
        <v>180</v>
      </c>
    </row>
    <row r="107" spans="2:27">
      <c r="B107" s="2255"/>
      <c r="C107" s="1446"/>
      <c r="D107" s="2205"/>
      <c r="E107" s="2205"/>
      <c r="F107" s="2205"/>
      <c r="G107" s="2295"/>
      <c r="H107" s="2205"/>
      <c r="I107" s="2205"/>
      <c r="J107" s="2205"/>
      <c r="K107" s="2205"/>
      <c r="L107" s="2205"/>
      <c r="M107" s="2205"/>
      <c r="N107" s="1443" t="s">
        <v>1334</v>
      </c>
      <c r="O107" s="1452"/>
      <c r="P107" s="1452"/>
      <c r="Q107" s="1445" t="s">
        <v>1334</v>
      </c>
    </row>
    <row r="108" spans="2:27">
      <c r="B108" s="2255"/>
      <c r="C108" s="1446"/>
      <c r="D108" s="2205"/>
      <c r="E108" s="1454"/>
      <c r="F108" s="2205" t="s">
        <v>1231</v>
      </c>
      <c r="G108" s="2295"/>
      <c r="H108" s="2205"/>
      <c r="I108" s="2205"/>
      <c r="J108" s="2212" t="s">
        <v>1389</v>
      </c>
      <c r="K108" s="2212" t="s">
        <v>111</v>
      </c>
      <c r="L108" s="2212" t="s">
        <v>180</v>
      </c>
      <c r="M108" s="2212"/>
      <c r="N108" s="2262">
        <f>IF(N29=0,0,IF(N61=T59,IF(N42=0,"-",N42),J110*K110/1000))</f>
        <v>0</v>
      </c>
      <c r="O108" s="2205"/>
      <c r="P108" s="2205"/>
      <c r="Q108" s="2263">
        <f>IF(N29=0,0,IF(N61=T59,(N39-N40)*1.1+N40,J110*L110/1000))</f>
        <v>0</v>
      </c>
      <c r="S108" s="1983"/>
    </row>
    <row r="109" spans="2:27">
      <c r="B109" s="2255"/>
      <c r="C109" s="1446"/>
      <c r="D109" s="2205"/>
      <c r="E109" s="1454"/>
      <c r="F109" s="2205"/>
      <c r="G109" s="2295"/>
      <c r="H109" s="2205"/>
      <c r="I109" s="2205"/>
      <c r="J109" s="2212" t="s">
        <v>1683</v>
      </c>
      <c r="K109" s="2296" t="s">
        <v>839</v>
      </c>
      <c r="L109" s="2296" t="s">
        <v>839</v>
      </c>
      <c r="M109" s="2212"/>
      <c r="N109" s="2297"/>
      <c r="O109" s="2205"/>
      <c r="P109" s="2205"/>
      <c r="Q109" s="2298"/>
    </row>
    <row r="110" spans="2:27">
      <c r="B110" s="2255"/>
      <c r="C110" s="1446"/>
      <c r="D110" s="2205"/>
      <c r="E110" s="1454"/>
      <c r="F110" s="2205"/>
      <c r="G110" s="147" t="s">
        <v>1703</v>
      </c>
      <c r="H110" s="2205"/>
      <c r="I110" s="2212"/>
      <c r="J110" s="2262">
        <f>N29</f>
        <v>0</v>
      </c>
      <c r="K110" s="2262">
        <f>CO2データ!Y196</f>
        <v>1343</v>
      </c>
      <c r="L110" s="2262">
        <f>CO2データ!Y197</f>
        <v>1163</v>
      </c>
      <c r="M110" s="2212"/>
      <c r="N110" s="1443"/>
      <c r="O110" s="1452"/>
      <c r="P110" s="1452"/>
      <c r="Q110" s="1445"/>
    </row>
    <row r="111" spans="2:27" ht="6.75" customHeight="1">
      <c r="B111" s="2255"/>
      <c r="C111" s="1446"/>
      <c r="D111" s="2205"/>
      <c r="E111" s="1454"/>
      <c r="F111" s="2205"/>
      <c r="G111" s="147"/>
      <c r="H111" s="2205"/>
      <c r="I111" s="2212"/>
      <c r="J111" s="2297"/>
      <c r="K111" s="2297"/>
      <c r="L111" s="2297"/>
      <c r="M111" s="2212"/>
      <c r="N111" s="1443"/>
      <c r="O111" s="1452"/>
      <c r="P111" s="1452"/>
      <c r="Q111" s="1445"/>
    </row>
    <row r="112" spans="2:27">
      <c r="B112" s="2255"/>
      <c r="C112" s="1446"/>
      <c r="D112" s="2205"/>
      <c r="E112" s="2205"/>
      <c r="F112" s="2205" t="s">
        <v>827</v>
      </c>
      <c r="G112" s="2295"/>
      <c r="H112" s="2205"/>
      <c r="I112" s="2205"/>
      <c r="J112" s="2205"/>
      <c r="K112" s="2205"/>
      <c r="L112" s="2257"/>
      <c r="M112" s="2205"/>
      <c r="N112" s="2262">
        <f>IF(M29=0,0,IF(M42=0,"-",M42))</f>
        <v>0</v>
      </c>
      <c r="O112" s="1452"/>
      <c r="P112" s="1986"/>
      <c r="Q112" s="2263">
        <f>IF(M29=0,0,M39)</f>
        <v>0</v>
      </c>
      <c r="S112" s="1983"/>
    </row>
    <row r="113" spans="2:17" ht="14.25" thickBot="1">
      <c r="B113" s="2245"/>
      <c r="C113" s="2246"/>
      <c r="D113" s="2246"/>
      <c r="E113" s="2246"/>
      <c r="F113" s="2246"/>
      <c r="G113" s="2246"/>
      <c r="H113" s="2246"/>
      <c r="I113" s="2246"/>
      <c r="J113" s="2246"/>
      <c r="K113" s="2246"/>
      <c r="L113" s="2246"/>
      <c r="M113" s="2246"/>
      <c r="N113" s="2246"/>
      <c r="O113" s="2246"/>
      <c r="P113" s="2246"/>
      <c r="Q113" s="2248"/>
    </row>
    <row r="114" spans="2:17">
      <c r="H114" s="1984"/>
    </row>
    <row r="115" spans="2:17"/>
    <row r="116" spans="2:17"/>
    <row r="117" spans="2:17"/>
    <row r="118" spans="2:17"/>
    <row r="119" spans="2:17"/>
  </sheetData>
  <sheetProtection password="CC47" sheet="1" objects="1" scenarios="1"/>
  <mergeCells count="5">
    <mergeCell ref="E6:G6"/>
    <mergeCell ref="E24:G24"/>
    <mergeCell ref="E61:K63"/>
    <mergeCell ref="N61:P61"/>
    <mergeCell ref="N2:P2"/>
  </mergeCells>
  <phoneticPr fontId="20"/>
  <conditionalFormatting sqref="N98">
    <cfRule type="expression" dxfId="46" priority="4" stopIfTrue="1">
      <formula>$J$52&gt;0</formula>
    </cfRule>
  </conditionalFormatting>
  <conditionalFormatting sqref="I39:I42">
    <cfRule type="expression" dxfId="45" priority="5" stopIfTrue="1">
      <formula>OR($I$29=0,$E$24=$S$28)</formula>
    </cfRule>
  </conditionalFormatting>
  <conditionalFormatting sqref="I25:I26">
    <cfRule type="expression" dxfId="44" priority="3" stopIfTrue="1">
      <formula>$E$24=$S$27</formula>
    </cfRule>
  </conditionalFormatting>
  <conditionalFormatting sqref="M39:M43">
    <cfRule type="expression" dxfId="43" priority="2">
      <formula>$M$14=0</formula>
    </cfRule>
  </conditionalFormatting>
  <conditionalFormatting sqref="N39:N43">
    <cfRule type="expression" dxfId="42" priority="1">
      <formula>$M$14=0</formula>
    </cfRule>
  </conditionalFormatting>
  <dataValidations count="8">
    <dataValidation type="list" allowBlank="1" showInputMessage="1" showErrorMessage="1" sqref="E6">
      <formula1>$S$3:$S$4</formula1>
    </dataValidation>
    <dataValidation type="list" allowBlank="1" showInputMessage="1" showErrorMessage="1" sqref="M6">
      <formula1>$T$5:$T$9</formula1>
    </dataValidation>
    <dataValidation type="list" allowBlank="1" showInputMessage="1" showErrorMessage="1" sqref="E24:G24">
      <formula1>$S$27:$S$28</formula1>
    </dataValidation>
    <dataValidation type="list" allowBlank="1" showInputMessage="1" showErrorMessage="1" sqref="N37">
      <formula1>$S$37:$S$41</formula1>
    </dataValidation>
    <dataValidation type="list" allowBlank="1" showInputMessage="1" showErrorMessage="1" sqref="K65">
      <formula1>$U$65:$U$67</formula1>
    </dataValidation>
    <dataValidation type="list" allowBlank="1" showInputMessage="1" showErrorMessage="1" sqref="F65">
      <formula1>$T$65:$T$68</formula1>
    </dataValidation>
    <dataValidation type="list" allowBlank="1" showInputMessage="1" sqref="N61">
      <formula1>$T$59:$T$61</formula1>
    </dataValidation>
    <dataValidation allowBlank="1" showInputMessage="1" sqref="N98"/>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xl/worksheets/sheet12.xml><?xml version="1.0" encoding="utf-8"?>
<worksheet xmlns="http://schemas.openxmlformats.org/spreadsheetml/2006/main" xmlns:r="http://schemas.openxmlformats.org/officeDocument/2006/relationships">
  <sheetPr codeName="Sheet15">
    <pageSetUpPr fitToPage="1"/>
  </sheetPr>
  <dimension ref="A1:V102"/>
  <sheetViews>
    <sheetView showGridLines="0" zoomScaleNormal="100" zoomScaleSheetLayoutView="100" workbookViewId="0">
      <selection activeCell="M1" sqref="M1:N1"/>
    </sheetView>
  </sheetViews>
  <sheetFormatPr defaultColWidth="0" defaultRowHeight="13.5" zeroHeight="1"/>
  <cols>
    <col min="1" max="1" width="3.75" customWidth="1"/>
    <col min="2" max="3" width="3.5" customWidth="1"/>
    <col min="4" max="4" width="11.25" customWidth="1"/>
    <col min="5" max="5" width="12.375" customWidth="1"/>
    <col min="6" max="6" width="2.375" customWidth="1"/>
    <col min="7" max="7" width="12.25" customWidth="1"/>
    <col min="8" max="9" width="9" customWidth="1"/>
    <col min="10" max="10" width="10.75" customWidth="1"/>
    <col min="11" max="11" width="12" customWidth="1"/>
    <col min="12" max="15" width="9" customWidth="1"/>
    <col min="16" max="22" width="0" hidden="1" customWidth="1"/>
    <col min="23" max="16384" width="9" hidden="1"/>
  </cols>
  <sheetData>
    <row r="1" spans="2:14">
      <c r="B1" s="60"/>
      <c r="C1" s="60"/>
      <c r="D1" s="60"/>
      <c r="E1" s="60"/>
      <c r="F1" s="60"/>
      <c r="G1" s="60"/>
      <c r="H1" s="60"/>
      <c r="I1" s="60"/>
      <c r="J1" s="60"/>
      <c r="K1" s="60"/>
      <c r="L1" s="1913" t="s">
        <v>798</v>
      </c>
      <c r="M1" s="3032">
        <f>メイン!H11</f>
        <v>0</v>
      </c>
      <c r="N1" s="3032"/>
    </row>
    <row r="2" spans="2:14">
      <c r="B2" s="1914" t="s">
        <v>1834</v>
      </c>
      <c r="C2" s="1915"/>
      <c r="D2" s="1915"/>
      <c r="E2" s="1915"/>
      <c r="F2" s="1915"/>
      <c r="G2" s="1915"/>
      <c r="H2" s="1915"/>
      <c r="I2" s="1915"/>
      <c r="J2" s="1915"/>
      <c r="K2" s="60"/>
      <c r="L2" s="60"/>
      <c r="M2" s="60"/>
      <c r="N2" s="223"/>
    </row>
    <row r="3" spans="2:14" ht="14.25" thickBot="1">
      <c r="B3" s="1916"/>
      <c r="C3" s="1917"/>
      <c r="D3" s="1917"/>
      <c r="E3" s="1917"/>
      <c r="F3" s="1917"/>
      <c r="G3" s="1917"/>
      <c r="H3" s="1917"/>
      <c r="I3" s="1917"/>
      <c r="J3" s="60"/>
      <c r="K3" s="60"/>
      <c r="L3" s="60"/>
      <c r="M3" s="60"/>
      <c r="N3" s="223"/>
    </row>
    <row r="4" spans="2:14" ht="16.5" thickBot="1">
      <c r="B4" s="1918"/>
      <c r="C4" s="1918"/>
      <c r="D4" s="60"/>
      <c r="E4" s="60"/>
      <c r="F4" s="60"/>
      <c r="G4" s="60"/>
      <c r="H4" s="60"/>
      <c r="I4" s="60"/>
      <c r="J4" s="1919"/>
      <c r="K4" s="22" t="s">
        <v>1835</v>
      </c>
      <c r="L4" s="60"/>
      <c r="M4" s="60"/>
      <c r="N4" s="60"/>
    </row>
    <row r="5" spans="2:14" ht="15.75">
      <c r="B5" s="1918"/>
      <c r="C5" s="1920" t="s">
        <v>1130</v>
      </c>
      <c r="D5" s="60"/>
      <c r="E5" s="60"/>
      <c r="F5" s="60"/>
      <c r="G5" s="60"/>
      <c r="H5" s="60"/>
      <c r="I5" s="60"/>
      <c r="J5" s="60"/>
      <c r="K5" s="60"/>
      <c r="L5" s="60"/>
      <c r="M5" s="60"/>
      <c r="N5" s="60"/>
    </row>
    <row r="6" spans="2:14" ht="16.5" thickBot="1">
      <c r="B6" s="1918"/>
      <c r="C6" s="1918"/>
      <c r="D6" s="1925" t="s">
        <v>1704</v>
      </c>
      <c r="E6" s="1922"/>
      <c r="F6" s="60"/>
      <c r="G6" s="60"/>
      <c r="H6" s="60"/>
      <c r="L6" s="60"/>
      <c r="M6" s="60"/>
      <c r="N6" s="60"/>
    </row>
    <row r="7" spans="2:14" ht="16.5" thickBot="1">
      <c r="B7" s="1918"/>
      <c r="C7" s="1918"/>
      <c r="D7" s="1921"/>
      <c r="E7" s="1941" t="s">
        <v>1705</v>
      </c>
      <c r="F7" s="60"/>
      <c r="J7" s="1923"/>
      <c r="K7" s="1924" t="s">
        <v>1706</v>
      </c>
      <c r="L7" s="60"/>
      <c r="M7" s="60"/>
      <c r="N7" s="60"/>
    </row>
    <row r="8" spans="2:14" ht="16.5" thickBot="1">
      <c r="B8" s="1918"/>
      <c r="C8" s="1918"/>
      <c r="E8" s="2351" t="s">
        <v>1707</v>
      </c>
      <c r="J8" s="1923">
        <v>0</v>
      </c>
      <c r="K8" s="1924" t="s">
        <v>1706</v>
      </c>
      <c r="L8" s="60"/>
      <c r="M8" s="60"/>
      <c r="N8" s="60"/>
    </row>
    <row r="9" spans="2:14" ht="16.5" thickBot="1">
      <c r="B9" s="1918"/>
      <c r="C9" s="1918"/>
      <c r="D9" s="1925"/>
      <c r="E9" s="2352" t="s">
        <v>1708</v>
      </c>
      <c r="F9" s="60"/>
      <c r="G9" s="60"/>
      <c r="H9" s="60"/>
      <c r="I9" s="60"/>
      <c r="J9" s="1918"/>
      <c r="K9" s="1918"/>
      <c r="L9" s="60"/>
      <c r="M9" s="60"/>
      <c r="N9" s="60"/>
    </row>
    <row r="10" spans="2:14" ht="15.75">
      <c r="B10" s="1918"/>
      <c r="C10" s="1918"/>
      <c r="D10" s="1925"/>
      <c r="F10" s="60"/>
      <c r="H10" s="2353" t="s">
        <v>1215</v>
      </c>
      <c r="I10" s="2354" t="s">
        <v>242</v>
      </c>
      <c r="J10" s="2355" t="s">
        <v>1709</v>
      </c>
      <c r="K10" s="1930" t="s">
        <v>1710</v>
      </c>
      <c r="L10" s="60"/>
      <c r="M10" s="60"/>
      <c r="N10" s="60"/>
    </row>
    <row r="11" spans="2:14" ht="16.5" thickBot="1">
      <c r="B11" s="1918"/>
      <c r="C11" s="1918"/>
      <c r="D11" s="60"/>
      <c r="F11" s="60"/>
      <c r="H11" s="2356"/>
      <c r="I11" s="2357"/>
      <c r="J11" s="2358"/>
      <c r="L11" s="60"/>
      <c r="M11" s="60"/>
      <c r="N11" s="60"/>
    </row>
    <row r="12" spans="2:14" ht="12" customHeight="1" thickBot="1">
      <c r="B12" s="1918"/>
      <c r="C12" s="1918"/>
      <c r="D12" s="60"/>
      <c r="E12" s="1918"/>
      <c r="F12" s="1918"/>
      <c r="G12" s="1918"/>
      <c r="H12" s="1918"/>
      <c r="I12" s="1918"/>
      <c r="J12" s="1918"/>
      <c r="K12" s="1918"/>
      <c r="L12" s="60"/>
      <c r="M12" s="60"/>
      <c r="N12" s="60"/>
    </row>
    <row r="13" spans="2:14" ht="16.5" thickBot="1">
      <c r="B13" s="1918"/>
      <c r="C13" s="1918"/>
      <c r="D13" s="1925" t="s">
        <v>1711</v>
      </c>
      <c r="E13" s="60"/>
      <c r="F13" s="60"/>
      <c r="G13" s="1926" t="s">
        <v>1063</v>
      </c>
      <c r="H13" s="1927" t="s">
        <v>1712</v>
      </c>
      <c r="I13" s="1928"/>
      <c r="J13" s="1929" t="s">
        <v>1064</v>
      </c>
      <c r="K13" s="60"/>
      <c r="L13" s="1930" t="s">
        <v>1713</v>
      </c>
      <c r="M13" s="60"/>
      <c r="N13" s="60"/>
    </row>
    <row r="14" spans="2:14" ht="16.5" thickTop="1">
      <c r="B14" s="1918"/>
      <c r="C14" s="1918"/>
      <c r="D14" s="60"/>
      <c r="E14" s="60"/>
      <c r="F14" s="60"/>
      <c r="G14" s="2359" t="s">
        <v>535</v>
      </c>
      <c r="H14" s="2360">
        <f>メイン!H60</f>
        <v>0</v>
      </c>
      <c r="I14" s="1931">
        <f>IF(H14=0,0,+H14/$L$14)</f>
        <v>0</v>
      </c>
      <c r="J14" s="1932"/>
      <c r="K14" s="1924" t="s">
        <v>1706</v>
      </c>
      <c r="L14" s="2361">
        <f>メイン!H63</f>
        <v>0</v>
      </c>
      <c r="M14" s="2362" t="s">
        <v>1683</v>
      </c>
      <c r="N14" s="60"/>
    </row>
    <row r="15" spans="2:14" ht="15.75">
      <c r="B15" s="1918"/>
      <c r="C15" s="1918"/>
      <c r="D15" s="60"/>
      <c r="E15" s="60"/>
      <c r="F15" s="60"/>
      <c r="G15" s="1933" t="s">
        <v>913</v>
      </c>
      <c r="H15" s="2363"/>
      <c r="I15" s="1934">
        <f>IF(H15=0,0,+H15/$L$14)</f>
        <v>0</v>
      </c>
      <c r="J15" s="1935"/>
      <c r="K15" s="1924" t="s">
        <v>1706</v>
      </c>
      <c r="L15" s="60"/>
      <c r="M15" s="1921"/>
      <c r="N15" s="1936"/>
    </row>
    <row r="16" spans="2:14" ht="15.75">
      <c r="B16" s="1918"/>
      <c r="C16" s="1918"/>
      <c r="D16" s="60"/>
      <c r="E16" s="60"/>
      <c r="F16" s="60"/>
      <c r="G16" s="2364" t="s">
        <v>1065</v>
      </c>
      <c r="H16" s="2365"/>
      <c r="I16" s="1934">
        <f>IF(H16=0,0,+H16/$L$14)</f>
        <v>0</v>
      </c>
      <c r="J16" s="2366"/>
      <c r="K16" s="1924" t="s">
        <v>1706</v>
      </c>
      <c r="L16" s="60"/>
      <c r="M16" s="1921"/>
      <c r="N16" s="1936"/>
    </row>
    <row r="17" spans="2:22" ht="15.75">
      <c r="B17" s="1918"/>
      <c r="C17" s="1918"/>
      <c r="D17" s="60"/>
      <c r="E17" s="60"/>
      <c r="F17" s="60"/>
      <c r="G17" s="2364"/>
      <c r="H17" s="2365"/>
      <c r="I17" s="1934">
        <f>IF(H17=0,0,+H17/$L$14)</f>
        <v>0</v>
      </c>
      <c r="J17" s="2366"/>
      <c r="K17" s="1924" t="s">
        <v>1706</v>
      </c>
      <c r="L17" s="60"/>
      <c r="M17" s="1921"/>
      <c r="N17" s="1936"/>
    </row>
    <row r="18" spans="2:22" ht="16.5" thickBot="1">
      <c r="B18" s="1918"/>
      <c r="C18" s="1918"/>
      <c r="D18" s="60"/>
      <c r="E18" s="60"/>
      <c r="F18" s="60"/>
      <c r="G18" s="1937"/>
      <c r="H18" s="2367"/>
      <c r="I18" s="1938">
        <f>IF(H18=0,0,+H18/$L$14)</f>
        <v>0</v>
      </c>
      <c r="J18" s="1939"/>
      <c r="K18" s="1924" t="s">
        <v>1706</v>
      </c>
      <c r="L18" s="60"/>
      <c r="M18" s="1921"/>
      <c r="N18" s="1936"/>
    </row>
    <row r="19" spans="2:22" ht="6.75" customHeight="1" thickBot="1">
      <c r="B19" s="1918"/>
      <c r="C19" s="1918"/>
      <c r="D19" s="1918"/>
      <c r="E19" s="1918"/>
      <c r="F19" s="1918"/>
      <c r="G19" s="1918"/>
      <c r="H19" s="1918"/>
      <c r="I19" s="1918"/>
      <c r="J19" s="1918"/>
      <c r="K19" s="1918"/>
      <c r="L19" s="1918"/>
      <c r="M19" s="1921"/>
      <c r="N19" s="1936"/>
    </row>
    <row r="20" spans="2:22" ht="16.5" thickBot="1">
      <c r="B20" s="1918"/>
      <c r="C20" s="60"/>
      <c r="D20" s="1925" t="s">
        <v>1066</v>
      </c>
      <c r="E20" s="60"/>
      <c r="F20" s="60"/>
      <c r="G20" s="60"/>
      <c r="H20" s="1918"/>
      <c r="I20" s="60"/>
      <c r="J20" s="1940">
        <f>+J7-SUM(J14:J18)</f>
        <v>0</v>
      </c>
      <c r="K20" s="1924" t="s">
        <v>1706</v>
      </c>
      <c r="L20" s="60"/>
      <c r="M20" s="1921"/>
      <c r="N20" s="1936"/>
    </row>
    <row r="21" spans="2:22" ht="9" customHeight="1" thickBot="1">
      <c r="B21" s="1918"/>
      <c r="C21" s="60"/>
      <c r="D21" s="1925"/>
      <c r="E21" s="60"/>
      <c r="F21" s="60"/>
      <c r="G21" s="60"/>
      <c r="H21" s="1918"/>
      <c r="I21" s="1918"/>
      <c r="J21" s="1918"/>
      <c r="K21" s="1918"/>
      <c r="L21" s="60"/>
      <c r="M21" s="1921"/>
      <c r="N21" s="1936"/>
    </row>
    <row r="22" spans="2:22" ht="16.5" thickBot="1">
      <c r="B22" s="1918"/>
      <c r="C22" s="1925" t="s">
        <v>1067</v>
      </c>
      <c r="D22" s="60"/>
      <c r="E22" s="60"/>
      <c r="F22" s="1925"/>
      <c r="G22" s="60"/>
      <c r="H22" s="1918"/>
      <c r="I22" s="60"/>
      <c r="J22" s="1941" t="s">
        <v>1068</v>
      </c>
      <c r="K22" s="60"/>
      <c r="L22" s="1942" t="s">
        <v>1076</v>
      </c>
      <c r="M22" s="1921"/>
      <c r="N22" s="1936"/>
    </row>
    <row r="23" spans="2:22">
      <c r="B23" s="60"/>
      <c r="C23" s="60"/>
      <c r="D23" s="1941" t="s">
        <v>1070</v>
      </c>
      <c r="E23" s="1943"/>
      <c r="F23" s="60"/>
      <c r="G23" s="1941" t="s">
        <v>1071</v>
      </c>
      <c r="H23" s="60"/>
      <c r="I23" s="60"/>
      <c r="J23" s="60"/>
      <c r="K23" s="1941" t="s">
        <v>1072</v>
      </c>
      <c r="L23" s="60"/>
      <c r="M23" s="60"/>
      <c r="N23" s="60"/>
    </row>
    <row r="24" spans="2:22" ht="14.25" thickBot="1">
      <c r="B24" s="60"/>
      <c r="C24" s="60"/>
      <c r="D24" s="1944" t="s">
        <v>220</v>
      </c>
      <c r="E24" s="1944" t="s">
        <v>1073</v>
      </c>
      <c r="F24" s="1945"/>
      <c r="G24" s="1946" t="s">
        <v>220</v>
      </c>
      <c r="H24" s="1946" t="s">
        <v>1074</v>
      </c>
      <c r="I24" s="60"/>
      <c r="J24" s="60"/>
      <c r="K24" s="1946" t="s">
        <v>220</v>
      </c>
      <c r="L24" s="1947" t="s">
        <v>1714</v>
      </c>
      <c r="M24" s="1947" t="s">
        <v>1715</v>
      </c>
      <c r="N24" s="60"/>
      <c r="T24" t="s">
        <v>1075</v>
      </c>
      <c r="U24" t="s">
        <v>1076</v>
      </c>
      <c r="V24" t="s">
        <v>1077</v>
      </c>
    </row>
    <row r="25" spans="2:22" ht="14.25" hidden="1" thickBot="1">
      <c r="B25" s="60"/>
      <c r="C25" s="60"/>
      <c r="D25" s="1948"/>
      <c r="E25" s="1948"/>
      <c r="F25" s="60"/>
      <c r="G25" s="1949"/>
      <c r="H25" s="1950"/>
      <c r="I25" s="60"/>
      <c r="J25" s="60"/>
      <c r="K25" s="1951" t="str">
        <f>VLOOKUP(L22,U24:V30,2)</f>
        <v>e</v>
      </c>
      <c r="L25" s="60"/>
      <c r="M25" s="60"/>
      <c r="N25" s="60"/>
      <c r="T25" t="s">
        <v>1078</v>
      </c>
      <c r="U25" t="s">
        <v>1069</v>
      </c>
      <c r="V25" t="s">
        <v>1079</v>
      </c>
    </row>
    <row r="26" spans="2:22" ht="14.25">
      <c r="B26" s="60"/>
      <c r="C26" s="60"/>
      <c r="D26" s="1952" t="s">
        <v>199</v>
      </c>
      <c r="E26" s="1953">
        <f>メイン!W71</f>
        <v>0</v>
      </c>
      <c r="F26" s="60"/>
      <c r="G26" s="1954" t="s">
        <v>199</v>
      </c>
      <c r="H26" s="2368" t="str">
        <f>IF(E26=0,"",E26/$E$44)</f>
        <v/>
      </c>
      <c r="I26" s="60"/>
      <c r="J26" s="60"/>
      <c r="K26" s="1954" t="s">
        <v>199</v>
      </c>
      <c r="L26" s="1955">
        <f t="shared" ref="L26:L42" si="0">HLOOKUP(K$25,$G$56:$M$73,P57)</f>
        <v>1900</v>
      </c>
      <c r="M26" s="1955">
        <f t="shared" ref="M26:M42" si="1">HLOOKUP(K$25,$G$78:$M$95,P79)</f>
        <v>3250</v>
      </c>
      <c r="N26" s="60"/>
      <c r="T26" t="s">
        <v>1069</v>
      </c>
      <c r="U26" t="s">
        <v>1080</v>
      </c>
      <c r="V26" t="s">
        <v>1081</v>
      </c>
    </row>
    <row r="27" spans="2:22" ht="14.25" hidden="1">
      <c r="B27" s="60"/>
      <c r="C27" s="60"/>
      <c r="D27" s="1956" t="s">
        <v>1082</v>
      </c>
      <c r="E27" s="1957"/>
      <c r="F27" s="60"/>
      <c r="G27" s="1958" t="s">
        <v>1082</v>
      </c>
      <c r="H27" s="2369"/>
      <c r="I27" s="60"/>
      <c r="J27" s="60"/>
      <c r="K27" s="1958" t="s">
        <v>1082</v>
      </c>
      <c r="L27" s="1955">
        <f t="shared" si="0"/>
        <v>0</v>
      </c>
      <c r="M27" s="1955">
        <f t="shared" si="1"/>
        <v>0</v>
      </c>
      <c r="N27" s="60"/>
      <c r="T27" t="s">
        <v>1083</v>
      </c>
      <c r="U27" t="s">
        <v>1084</v>
      </c>
      <c r="V27" t="s">
        <v>1085</v>
      </c>
    </row>
    <row r="28" spans="2:22" ht="14.25">
      <c r="B28" s="60"/>
      <c r="C28" s="60"/>
      <c r="D28" s="1959" t="s">
        <v>906</v>
      </c>
      <c r="E28" s="1960">
        <f>メイン!W72</f>
        <v>0</v>
      </c>
      <c r="F28" s="60"/>
      <c r="G28" s="1954" t="s">
        <v>906</v>
      </c>
      <c r="H28" s="2369" t="str">
        <f t="shared" ref="H28:H42" si="2">IF(E28=0,"",E28/$E$44)</f>
        <v/>
      </c>
      <c r="I28" s="60"/>
      <c r="J28" s="60"/>
      <c r="K28" s="1954" t="s">
        <v>906</v>
      </c>
      <c r="L28" s="1955">
        <f t="shared" si="0"/>
        <v>1100</v>
      </c>
      <c r="M28" s="1955">
        <f t="shared" si="1"/>
        <v>1600</v>
      </c>
      <c r="N28" s="60"/>
      <c r="T28" t="s">
        <v>1076</v>
      </c>
      <c r="U28" t="s">
        <v>1083</v>
      </c>
      <c r="V28" t="s">
        <v>1086</v>
      </c>
    </row>
    <row r="29" spans="2:22" ht="14.25">
      <c r="B29" s="60"/>
      <c r="C29" s="60"/>
      <c r="D29" s="1952" t="s">
        <v>907</v>
      </c>
      <c r="E29" s="1953">
        <f>メイン!W73</f>
        <v>0</v>
      </c>
      <c r="F29" s="60"/>
      <c r="G29" s="1954" t="s">
        <v>907</v>
      </c>
      <c r="H29" s="2369" t="str">
        <f t="shared" si="2"/>
        <v/>
      </c>
      <c r="I29" s="60"/>
      <c r="J29" s="60"/>
      <c r="K29" s="1954" t="s">
        <v>907</v>
      </c>
      <c r="L29" s="1955">
        <f t="shared" si="0"/>
        <v>520</v>
      </c>
      <c r="M29" s="1955">
        <f t="shared" si="1"/>
        <v>1400</v>
      </c>
      <c r="N29" s="60"/>
      <c r="T29" t="s">
        <v>1084</v>
      </c>
      <c r="U29" t="s">
        <v>1078</v>
      </c>
      <c r="V29" t="s">
        <v>1087</v>
      </c>
    </row>
    <row r="30" spans="2:22" ht="14.25">
      <c r="B30" s="60"/>
      <c r="C30" s="60"/>
      <c r="D30" s="1956" t="s">
        <v>1088</v>
      </c>
      <c r="E30" s="1957">
        <f>メイン!W74+メイン!W75</f>
        <v>0</v>
      </c>
      <c r="F30" s="60"/>
      <c r="G30" s="1954" t="s">
        <v>1088</v>
      </c>
      <c r="H30" s="2369" t="str">
        <f t="shared" si="2"/>
        <v/>
      </c>
      <c r="I30" s="60"/>
      <c r="J30" s="60"/>
      <c r="K30" s="1954" t="s">
        <v>1088</v>
      </c>
      <c r="L30" s="1955">
        <f t="shared" si="0"/>
        <v>270</v>
      </c>
      <c r="M30" s="1955">
        <f t="shared" si="1"/>
        <v>460</v>
      </c>
      <c r="N30" s="60"/>
      <c r="T30" t="s">
        <v>1080</v>
      </c>
      <c r="U30" t="s">
        <v>1075</v>
      </c>
      <c r="V30" t="s">
        <v>1089</v>
      </c>
    </row>
    <row r="31" spans="2:22" ht="14.25">
      <c r="B31" s="60"/>
      <c r="C31" s="60"/>
      <c r="D31" s="1956" t="s">
        <v>1113</v>
      </c>
      <c r="E31" s="1957">
        <f>メイン!W76</f>
        <v>0</v>
      </c>
      <c r="F31" s="60"/>
      <c r="G31" s="1954" t="s">
        <v>1113</v>
      </c>
      <c r="H31" s="2369" t="str">
        <f t="shared" si="2"/>
        <v/>
      </c>
      <c r="I31" s="60"/>
      <c r="J31" s="60"/>
      <c r="K31" s="1954" t="s">
        <v>1113</v>
      </c>
      <c r="L31" s="1955">
        <f t="shared" si="0"/>
        <v>330</v>
      </c>
      <c r="M31" s="1955">
        <f t="shared" si="1"/>
        <v>630</v>
      </c>
      <c r="N31" s="60"/>
    </row>
    <row r="32" spans="2:22" ht="14.25">
      <c r="B32" s="60"/>
      <c r="C32" s="60"/>
      <c r="D32" s="1959" t="s">
        <v>908</v>
      </c>
      <c r="E32" s="1960">
        <f>メイン!W77</f>
        <v>0</v>
      </c>
      <c r="F32" s="60"/>
      <c r="G32" s="1954" t="s">
        <v>908</v>
      </c>
      <c r="H32" s="2369" t="str">
        <f t="shared" si="2"/>
        <v/>
      </c>
      <c r="I32" s="60"/>
      <c r="J32" s="60"/>
      <c r="K32" s="1954" t="s">
        <v>908</v>
      </c>
      <c r="L32" s="1955">
        <f>HLOOKUP(K$25,$G$56:$M$73,P63)</f>
        <v>1000</v>
      </c>
      <c r="M32" s="1955">
        <f t="shared" si="1"/>
        <v>2300</v>
      </c>
      <c r="N32" s="60"/>
    </row>
    <row r="33" spans="2:14" ht="14.25" hidden="1">
      <c r="B33" s="60"/>
      <c r="C33" s="60"/>
      <c r="D33" s="1961" t="s">
        <v>1114</v>
      </c>
      <c r="E33" s="1962"/>
      <c r="F33" s="60"/>
      <c r="G33" s="1958" t="s">
        <v>1114</v>
      </c>
      <c r="H33" s="2369" t="str">
        <f t="shared" si="2"/>
        <v/>
      </c>
      <c r="I33" s="60"/>
      <c r="J33" s="60"/>
      <c r="K33" s="1958" t="s">
        <v>1114</v>
      </c>
      <c r="L33" s="1955">
        <f t="shared" si="0"/>
        <v>0</v>
      </c>
      <c r="M33" s="1955">
        <f t="shared" si="1"/>
        <v>0</v>
      </c>
      <c r="N33" s="60"/>
    </row>
    <row r="34" spans="2:14" ht="14.25">
      <c r="B34" s="60"/>
      <c r="C34" s="60"/>
      <c r="D34" s="1952" t="s">
        <v>1716</v>
      </c>
      <c r="E34" s="1953">
        <f>メイン!W78</f>
        <v>0</v>
      </c>
      <c r="F34" s="60"/>
      <c r="G34" s="1954" t="s">
        <v>1717</v>
      </c>
      <c r="H34" s="2369" t="str">
        <f t="shared" si="2"/>
        <v/>
      </c>
      <c r="I34" s="60"/>
      <c r="J34" s="60"/>
      <c r="K34" s="1954" t="s">
        <v>1717</v>
      </c>
      <c r="L34" s="1955">
        <f t="shared" si="0"/>
        <v>2900</v>
      </c>
      <c r="M34" s="1955">
        <f t="shared" si="1"/>
        <v>4600</v>
      </c>
      <c r="N34" s="60"/>
    </row>
    <row r="35" spans="2:14" ht="14.25">
      <c r="B35" s="60"/>
      <c r="C35" s="60"/>
      <c r="D35" s="1959" t="s">
        <v>523</v>
      </c>
      <c r="E35" s="1960">
        <f>メイン!W79</f>
        <v>0</v>
      </c>
      <c r="F35" s="60"/>
      <c r="G35" s="1954" t="s">
        <v>1718</v>
      </c>
      <c r="H35" s="2369" t="str">
        <f t="shared" si="2"/>
        <v/>
      </c>
      <c r="I35" s="60"/>
      <c r="J35" s="60"/>
      <c r="K35" s="1954" t="s">
        <v>1718</v>
      </c>
      <c r="L35" s="1955">
        <f t="shared" si="0"/>
        <v>2400</v>
      </c>
      <c r="M35" s="1955">
        <f t="shared" si="1"/>
        <v>3750</v>
      </c>
      <c r="N35" s="60"/>
    </row>
    <row r="36" spans="2:14" ht="14.25">
      <c r="B36" s="60"/>
      <c r="C36" s="60"/>
      <c r="D36" s="1961" t="s">
        <v>525</v>
      </c>
      <c r="E36" s="1962">
        <f>メイン!W80</f>
        <v>0</v>
      </c>
      <c r="F36" s="60"/>
      <c r="G36" s="1963" t="s">
        <v>1719</v>
      </c>
      <c r="H36" s="2369" t="str">
        <f t="shared" si="2"/>
        <v/>
      </c>
      <c r="I36" s="60"/>
      <c r="J36" s="60"/>
      <c r="K36" s="1963" t="s">
        <v>1719</v>
      </c>
      <c r="L36" s="1955">
        <f>HLOOKUP(K$25,$G$56:$M$73,P67)</f>
        <v>2900</v>
      </c>
      <c r="M36" s="1955">
        <f t="shared" si="1"/>
        <v>4600</v>
      </c>
      <c r="N36" s="60"/>
    </row>
    <row r="37" spans="2:14" ht="14.25">
      <c r="B37" s="60"/>
      <c r="C37" s="60"/>
      <c r="D37" s="1956" t="s">
        <v>910</v>
      </c>
      <c r="E37" s="1957">
        <f>メイン!W81</f>
        <v>0</v>
      </c>
      <c r="F37" s="60"/>
      <c r="G37" s="1954" t="s">
        <v>910</v>
      </c>
      <c r="H37" s="2369" t="str">
        <f t="shared" si="2"/>
        <v/>
      </c>
      <c r="I37" s="60"/>
      <c r="J37" s="60"/>
      <c r="K37" s="1954" t="s">
        <v>910</v>
      </c>
      <c r="L37" s="1955">
        <f t="shared" si="0"/>
        <v>1400</v>
      </c>
      <c r="M37" s="1955">
        <f t="shared" si="1"/>
        <v>2900</v>
      </c>
      <c r="N37" s="60"/>
    </row>
    <row r="38" spans="2:14" ht="14.25">
      <c r="B38" s="60"/>
      <c r="C38" s="60"/>
      <c r="D38" s="1956" t="s">
        <v>911</v>
      </c>
      <c r="E38" s="1957">
        <f>メイン!W82</f>
        <v>0</v>
      </c>
      <c r="F38" s="60"/>
      <c r="G38" s="1954" t="s">
        <v>911</v>
      </c>
      <c r="H38" s="2369" t="str">
        <f t="shared" si="2"/>
        <v/>
      </c>
      <c r="I38" s="60"/>
      <c r="J38" s="60"/>
      <c r="K38" s="1954" t="s">
        <v>911</v>
      </c>
      <c r="L38" s="1955">
        <f t="shared" si="0"/>
        <v>1300</v>
      </c>
      <c r="M38" s="1955">
        <f t="shared" si="1"/>
        <v>2200</v>
      </c>
      <c r="N38" s="60"/>
    </row>
    <row r="39" spans="2:14" ht="14.25">
      <c r="B39" s="60"/>
      <c r="C39" s="60"/>
      <c r="D39" s="1959" t="s">
        <v>912</v>
      </c>
      <c r="E39" s="1960">
        <f>メイン!W83</f>
        <v>0</v>
      </c>
      <c r="F39" s="60"/>
      <c r="G39" s="1954" t="s">
        <v>912</v>
      </c>
      <c r="H39" s="2369" t="str">
        <f t="shared" si="2"/>
        <v/>
      </c>
      <c r="I39" s="60"/>
      <c r="J39" s="60"/>
      <c r="K39" s="1954" t="s">
        <v>912</v>
      </c>
      <c r="L39" s="1955">
        <f t="shared" si="0"/>
        <v>1450</v>
      </c>
      <c r="M39" s="1955">
        <f t="shared" si="1"/>
        <v>2900</v>
      </c>
      <c r="N39" s="60"/>
    </row>
    <row r="40" spans="2:14" ht="14.25">
      <c r="B40" s="60"/>
      <c r="C40" s="60"/>
      <c r="D40" s="1961" t="s">
        <v>206</v>
      </c>
      <c r="E40" s="1962">
        <f>メイン!W85</f>
        <v>0</v>
      </c>
      <c r="F40" s="60"/>
      <c r="G40" s="1954" t="s">
        <v>206</v>
      </c>
      <c r="H40" s="2369" t="str">
        <f t="shared" si="2"/>
        <v/>
      </c>
      <c r="I40" s="60"/>
      <c r="J40" s="60"/>
      <c r="K40" s="1954" t="s">
        <v>206</v>
      </c>
      <c r="L40" s="1955">
        <f t="shared" si="0"/>
        <v>2450</v>
      </c>
      <c r="M40" s="1955">
        <f t="shared" si="1"/>
        <v>3800</v>
      </c>
      <c r="N40" s="60"/>
    </row>
    <row r="41" spans="2:14" ht="14.25" hidden="1">
      <c r="B41" s="60"/>
      <c r="C41" s="60"/>
      <c r="D41" s="1961" t="s">
        <v>914</v>
      </c>
      <c r="E41" s="1962"/>
      <c r="F41" s="60"/>
      <c r="G41" s="1958" t="s">
        <v>914</v>
      </c>
      <c r="H41" s="2369" t="str">
        <f t="shared" si="2"/>
        <v/>
      </c>
      <c r="I41" s="60"/>
      <c r="J41" s="60"/>
      <c r="K41" s="1958" t="s">
        <v>914</v>
      </c>
      <c r="L41" s="1955">
        <f t="shared" si="0"/>
        <v>0</v>
      </c>
      <c r="M41" s="1955">
        <f t="shared" si="1"/>
        <v>0</v>
      </c>
      <c r="N41" s="60"/>
    </row>
    <row r="42" spans="2:14" ht="15" thickBot="1">
      <c r="B42" s="60"/>
      <c r="C42" s="60"/>
      <c r="D42" s="1961" t="s">
        <v>820</v>
      </c>
      <c r="E42" s="1962">
        <f>メイン!W86</f>
        <v>0</v>
      </c>
      <c r="F42" s="60"/>
      <c r="G42" s="1954" t="s">
        <v>1720</v>
      </c>
      <c r="H42" s="2370" t="str">
        <f t="shared" si="2"/>
        <v/>
      </c>
      <c r="I42" s="60"/>
      <c r="J42" s="60"/>
      <c r="K42" s="1954" t="s">
        <v>1720</v>
      </c>
      <c r="L42" s="1955">
        <f t="shared" si="0"/>
        <v>2750</v>
      </c>
      <c r="M42" s="1955">
        <f t="shared" si="1"/>
        <v>3800</v>
      </c>
      <c r="N42" s="60"/>
    </row>
    <row r="43" spans="2:14" hidden="1">
      <c r="B43" s="60"/>
      <c r="C43" s="60"/>
      <c r="D43" s="1964"/>
      <c r="E43" s="1962"/>
      <c r="F43" s="60"/>
      <c r="G43" s="1965"/>
      <c r="H43" s="1966"/>
      <c r="I43" s="60"/>
      <c r="J43" s="60"/>
      <c r="K43" s="1965"/>
      <c r="L43" s="1955"/>
      <c r="M43" s="1955"/>
      <c r="N43" s="60"/>
    </row>
    <row r="44" spans="2:14">
      <c r="B44" s="60"/>
      <c r="C44" s="60"/>
      <c r="D44" s="1964" t="s">
        <v>537</v>
      </c>
      <c r="E44" s="1967">
        <f>SUM(E25:E43)</f>
        <v>0</v>
      </c>
      <c r="F44" s="60"/>
      <c r="G44" s="1968" t="s">
        <v>537</v>
      </c>
      <c r="H44" s="1969">
        <f>SUM(H26:H42)</f>
        <v>0</v>
      </c>
      <c r="I44" s="60"/>
      <c r="J44" s="60"/>
      <c r="K44" s="1965" t="s">
        <v>537</v>
      </c>
      <c r="L44" s="1967">
        <f>SUMPRODUCT(H26:H42,L26:L42)</f>
        <v>0</v>
      </c>
      <c r="M44" s="1967">
        <f>SUMPRODUCT(H26:H42,M26:M42)</f>
        <v>0</v>
      </c>
      <c r="N44" s="60"/>
    </row>
    <row r="45" spans="2:14">
      <c r="B45" s="60"/>
      <c r="C45" s="60"/>
      <c r="D45" s="1924" t="s">
        <v>1721</v>
      </c>
      <c r="E45" s="60"/>
      <c r="F45" s="60"/>
      <c r="G45" s="60"/>
      <c r="H45" s="60"/>
      <c r="I45" s="60"/>
      <c r="J45" s="60"/>
      <c r="K45" s="60"/>
      <c r="L45" s="60"/>
      <c r="M45" s="60"/>
      <c r="N45" s="60"/>
    </row>
    <row r="46" spans="2:14">
      <c r="B46" s="60"/>
      <c r="C46" s="60"/>
      <c r="D46" s="60"/>
      <c r="E46" s="60"/>
      <c r="F46" s="60"/>
      <c r="G46" s="1947"/>
      <c r="H46" s="60"/>
      <c r="I46" s="60"/>
      <c r="J46" s="60"/>
      <c r="K46" s="60"/>
      <c r="L46" s="60"/>
      <c r="M46" s="60"/>
      <c r="N46" s="60"/>
    </row>
    <row r="47" spans="2:14">
      <c r="B47" s="60"/>
      <c r="C47" s="1970" t="s">
        <v>1115</v>
      </c>
      <c r="D47" s="60"/>
      <c r="E47" s="60"/>
      <c r="F47" s="60"/>
      <c r="G47" s="60"/>
      <c r="H47" s="60"/>
      <c r="I47" s="60"/>
      <c r="J47" s="60"/>
      <c r="K47" s="60"/>
      <c r="L47" s="60"/>
      <c r="M47" s="60"/>
      <c r="N47" s="60"/>
    </row>
    <row r="48" spans="2:14">
      <c r="B48" s="60"/>
      <c r="C48" s="60"/>
      <c r="D48" s="1941" t="s">
        <v>1836</v>
      </c>
      <c r="E48" s="60"/>
      <c r="F48" s="60"/>
      <c r="G48" s="60"/>
      <c r="H48" s="60"/>
      <c r="I48" s="1971">
        <f>E44</f>
        <v>0</v>
      </c>
      <c r="J48" s="1924" t="s">
        <v>1683</v>
      </c>
      <c r="K48" s="1924"/>
      <c r="L48" s="1924"/>
      <c r="M48" s="1924"/>
      <c r="N48" s="60"/>
    </row>
    <row r="49" spans="2:16">
      <c r="B49" s="60"/>
      <c r="C49" s="60"/>
      <c r="D49" s="1925" t="s">
        <v>1116</v>
      </c>
      <c r="E49" s="60"/>
      <c r="F49" s="60"/>
      <c r="G49" s="60"/>
      <c r="H49" s="60"/>
      <c r="I49" s="1971" t="e">
        <f>J20/I48*1000</f>
        <v>#DIV/0!</v>
      </c>
      <c r="J49" s="1924" t="s">
        <v>1722</v>
      </c>
      <c r="K49" s="1924"/>
      <c r="L49" s="1924"/>
      <c r="M49" s="1924"/>
      <c r="N49" s="60"/>
    </row>
    <row r="50" spans="2:16" ht="14.25" thickBot="1">
      <c r="B50" s="60"/>
      <c r="C50" s="60"/>
      <c r="D50" s="1925" t="s">
        <v>1117</v>
      </c>
      <c r="E50" s="60"/>
      <c r="F50" s="60"/>
      <c r="G50" s="1947"/>
      <c r="H50" s="1972" t="s">
        <v>1118</v>
      </c>
      <c r="I50" s="1971">
        <f>L44</f>
        <v>0</v>
      </c>
      <c r="J50" s="1924" t="s">
        <v>1722</v>
      </c>
      <c r="K50" s="1973" t="s">
        <v>1119</v>
      </c>
      <c r="L50" s="1971">
        <f>M44</f>
        <v>0</v>
      </c>
      <c r="M50" s="1924" t="s">
        <v>1722</v>
      </c>
      <c r="N50" s="60"/>
    </row>
    <row r="51" spans="2:16" ht="14.25" thickBot="1">
      <c r="B51" s="60"/>
      <c r="C51" s="60"/>
      <c r="D51" s="1925" t="s">
        <v>1120</v>
      </c>
      <c r="E51" s="60"/>
      <c r="F51" s="60"/>
      <c r="G51" s="60"/>
      <c r="H51" s="60"/>
      <c r="I51" s="1974">
        <f>IF(I14&gt;=0.8,1,IF(I48=0,0,IF(I49&gt;L50,-1,IF(I49&lt;I50,1,0))))</f>
        <v>0</v>
      </c>
      <c r="J51" s="1941" t="str">
        <f>IF(I51=1,"レベル上げる",IF(I51=-1,"レベル下げる","上下なし"))</f>
        <v>上下なし</v>
      </c>
      <c r="K51" s="1975" t="s">
        <v>1837</v>
      </c>
      <c r="L51" s="60"/>
      <c r="M51" s="60"/>
      <c r="N51" s="60"/>
    </row>
    <row r="52" spans="2:16" ht="9.75" customHeight="1">
      <c r="B52" s="60"/>
      <c r="C52" s="60"/>
      <c r="D52" s="60"/>
      <c r="E52" s="60"/>
      <c r="F52" s="60"/>
      <c r="G52" s="1947"/>
      <c r="H52" s="60"/>
      <c r="I52" s="60"/>
      <c r="J52" s="60"/>
      <c r="K52" s="60"/>
      <c r="L52" s="60"/>
      <c r="M52" s="60"/>
      <c r="N52" s="60"/>
    </row>
    <row r="53" spans="2:16">
      <c r="B53" s="60"/>
      <c r="C53" s="60"/>
      <c r="D53" s="60"/>
      <c r="E53" s="1976" t="s">
        <v>1121</v>
      </c>
      <c r="F53" s="60"/>
      <c r="G53" s="60"/>
      <c r="H53" s="60"/>
      <c r="I53" s="60"/>
      <c r="J53" s="60"/>
      <c r="K53" s="60"/>
      <c r="L53" s="60"/>
      <c r="M53" s="60"/>
      <c r="N53" s="60"/>
    </row>
    <row r="54" spans="2:16">
      <c r="B54" s="60"/>
      <c r="C54" s="60"/>
      <c r="D54" s="1947"/>
      <c r="E54" s="1946" t="s">
        <v>1122</v>
      </c>
      <c r="F54" s="60"/>
      <c r="G54" s="60"/>
      <c r="H54" s="60"/>
      <c r="I54" s="60"/>
      <c r="J54" s="60"/>
      <c r="K54" s="60"/>
      <c r="L54" s="60"/>
      <c r="M54" s="60"/>
      <c r="N54" s="60"/>
    </row>
    <row r="55" spans="2:16">
      <c r="B55" s="60"/>
      <c r="C55" s="60"/>
      <c r="D55" s="60"/>
      <c r="E55" s="1965" t="s">
        <v>220</v>
      </c>
      <c r="F55" s="60"/>
      <c r="G55" s="1977" t="s">
        <v>1075</v>
      </c>
      <c r="H55" s="1977" t="s">
        <v>1078</v>
      </c>
      <c r="I55" s="1977" t="s">
        <v>1069</v>
      </c>
      <c r="J55" s="1977" t="s">
        <v>1083</v>
      </c>
      <c r="K55" s="1977" t="s">
        <v>1076</v>
      </c>
      <c r="L55" s="1977" t="s">
        <v>1084</v>
      </c>
      <c r="M55" s="1977" t="s">
        <v>1080</v>
      </c>
      <c r="N55" s="60"/>
    </row>
    <row r="56" spans="2:16" hidden="1">
      <c r="B56" s="60"/>
      <c r="C56" s="60"/>
      <c r="D56" s="60"/>
      <c r="E56" s="1978"/>
      <c r="F56" s="60"/>
      <c r="G56" s="1977" t="s">
        <v>1723</v>
      </c>
      <c r="H56" s="1977" t="s">
        <v>1724</v>
      </c>
      <c r="I56" s="1977" t="s">
        <v>1725</v>
      </c>
      <c r="J56" s="1977" t="s">
        <v>1726</v>
      </c>
      <c r="K56" s="1977" t="s">
        <v>1727</v>
      </c>
      <c r="L56" s="1977" t="s">
        <v>1728</v>
      </c>
      <c r="M56" s="1977" t="s">
        <v>1729</v>
      </c>
      <c r="N56" s="60"/>
    </row>
    <row r="57" spans="2:16">
      <c r="B57" s="60"/>
      <c r="C57" s="60"/>
      <c r="D57" s="60"/>
      <c r="E57" s="1965" t="s">
        <v>199</v>
      </c>
      <c r="F57" s="60"/>
      <c r="G57" s="1955">
        <v>1900</v>
      </c>
      <c r="H57" s="1955">
        <v>1900</v>
      </c>
      <c r="I57" s="1955">
        <v>1900</v>
      </c>
      <c r="J57" s="1955">
        <v>1900</v>
      </c>
      <c r="K57" s="1955">
        <v>1900</v>
      </c>
      <c r="L57" s="1955">
        <v>1900</v>
      </c>
      <c r="M57" s="1955">
        <v>1900</v>
      </c>
      <c r="N57" s="60"/>
      <c r="P57">
        <v>2</v>
      </c>
    </row>
    <row r="58" spans="2:16" hidden="1">
      <c r="B58" s="60"/>
      <c r="C58" s="60"/>
      <c r="D58" s="60"/>
      <c r="E58" s="1978" t="s">
        <v>1082</v>
      </c>
      <c r="F58" s="60"/>
      <c r="G58" s="1955"/>
      <c r="H58" s="1955"/>
      <c r="I58" s="1955"/>
      <c r="J58" s="1955"/>
      <c r="K58" s="1955"/>
      <c r="L58" s="1955"/>
      <c r="M58" s="1955"/>
      <c r="N58" s="60"/>
      <c r="P58">
        <v>3</v>
      </c>
    </row>
    <row r="59" spans="2:16">
      <c r="B59" s="60"/>
      <c r="C59" s="60"/>
      <c r="D59" s="60"/>
      <c r="E59" s="1965" t="s">
        <v>906</v>
      </c>
      <c r="F59" s="60"/>
      <c r="G59" s="1955">
        <v>1100</v>
      </c>
      <c r="H59" s="1955">
        <v>1100</v>
      </c>
      <c r="I59" s="1955">
        <v>1100</v>
      </c>
      <c r="J59" s="1955">
        <v>1100</v>
      </c>
      <c r="K59" s="1955">
        <v>1100</v>
      </c>
      <c r="L59" s="1955">
        <v>1100</v>
      </c>
      <c r="M59" s="1955">
        <v>1100</v>
      </c>
      <c r="N59" s="60"/>
      <c r="P59">
        <v>4</v>
      </c>
    </row>
    <row r="60" spans="2:16">
      <c r="B60" s="60"/>
      <c r="C60" s="60"/>
      <c r="D60" s="60"/>
      <c r="E60" s="1965" t="s">
        <v>907</v>
      </c>
      <c r="F60" s="60"/>
      <c r="G60" s="1955">
        <v>520</v>
      </c>
      <c r="H60" s="1955">
        <v>520</v>
      </c>
      <c r="I60" s="1955">
        <v>520</v>
      </c>
      <c r="J60" s="1955">
        <v>520</v>
      </c>
      <c r="K60" s="1955">
        <v>520</v>
      </c>
      <c r="L60" s="1955">
        <v>520</v>
      </c>
      <c r="M60" s="1955">
        <v>520</v>
      </c>
      <c r="N60" s="60"/>
      <c r="P60">
        <v>5</v>
      </c>
    </row>
    <row r="61" spans="2:16">
      <c r="B61" s="60"/>
      <c r="C61" s="60"/>
      <c r="D61" s="60"/>
      <c r="E61" s="1965" t="s">
        <v>1088</v>
      </c>
      <c r="F61" s="60"/>
      <c r="G61" s="1979">
        <v>510</v>
      </c>
      <c r="H61" s="1955">
        <v>270</v>
      </c>
      <c r="I61" s="1955">
        <v>270</v>
      </c>
      <c r="J61" s="1955">
        <v>270</v>
      </c>
      <c r="K61" s="1955">
        <v>270</v>
      </c>
      <c r="L61" s="1955">
        <v>270</v>
      </c>
      <c r="M61" s="1955">
        <v>270</v>
      </c>
      <c r="N61" s="60"/>
      <c r="P61">
        <v>6</v>
      </c>
    </row>
    <row r="62" spans="2:16">
      <c r="B62" s="60"/>
      <c r="C62" s="60"/>
      <c r="D62" s="60"/>
      <c r="E62" s="1965" t="s">
        <v>1113</v>
      </c>
      <c r="F62" s="60"/>
      <c r="G62" s="1955">
        <v>330</v>
      </c>
      <c r="H62" s="1955">
        <v>330</v>
      </c>
      <c r="I62" s="1955">
        <v>330</v>
      </c>
      <c r="J62" s="1955">
        <v>330</v>
      </c>
      <c r="K62" s="1955">
        <v>330</v>
      </c>
      <c r="L62" s="1955">
        <v>330</v>
      </c>
      <c r="M62" s="1955">
        <v>330</v>
      </c>
      <c r="N62" s="60"/>
      <c r="P62">
        <v>7</v>
      </c>
    </row>
    <row r="63" spans="2:16">
      <c r="B63" s="60"/>
      <c r="C63" s="60"/>
      <c r="D63" s="60"/>
      <c r="E63" s="1965" t="s">
        <v>908</v>
      </c>
      <c r="F63" s="60"/>
      <c r="G63" s="1955">
        <v>1000</v>
      </c>
      <c r="H63" s="1955">
        <v>1000</v>
      </c>
      <c r="I63" s="1955">
        <v>1000</v>
      </c>
      <c r="J63" s="1955">
        <v>1000</v>
      </c>
      <c r="K63" s="1955">
        <v>1000</v>
      </c>
      <c r="L63" s="1955">
        <v>1000</v>
      </c>
      <c r="M63" s="1955">
        <v>1000</v>
      </c>
      <c r="N63" s="60"/>
      <c r="P63">
        <v>8</v>
      </c>
    </row>
    <row r="64" spans="2:16" hidden="1">
      <c r="B64" s="60"/>
      <c r="C64" s="60"/>
      <c r="D64" s="60"/>
      <c r="E64" s="1978" t="s">
        <v>1114</v>
      </c>
      <c r="F64" s="60"/>
      <c r="G64" s="1955"/>
      <c r="H64" s="1955"/>
      <c r="I64" s="1955"/>
      <c r="J64" s="1955"/>
      <c r="K64" s="1955"/>
      <c r="L64" s="1955"/>
      <c r="M64" s="1955"/>
      <c r="N64" s="60"/>
      <c r="P64">
        <v>9</v>
      </c>
    </row>
    <row r="65" spans="2:16">
      <c r="B65" s="60"/>
      <c r="C65" s="60"/>
      <c r="D65" s="60"/>
      <c r="E65" s="1965" t="s">
        <v>1730</v>
      </c>
      <c r="F65" s="60"/>
      <c r="G65" s="1955">
        <v>2900</v>
      </c>
      <c r="H65" s="1955">
        <v>2900</v>
      </c>
      <c r="I65" s="1955">
        <v>2900</v>
      </c>
      <c r="J65" s="1955">
        <v>2900</v>
      </c>
      <c r="K65" s="1955">
        <v>2900</v>
      </c>
      <c r="L65" s="1955">
        <v>2900</v>
      </c>
      <c r="M65" s="1955">
        <v>2900</v>
      </c>
      <c r="N65" s="60"/>
      <c r="P65">
        <v>10</v>
      </c>
    </row>
    <row r="66" spans="2:16">
      <c r="B66" s="60"/>
      <c r="C66" s="60"/>
      <c r="D66" s="60"/>
      <c r="E66" s="1965" t="s">
        <v>1731</v>
      </c>
      <c r="F66" s="60"/>
      <c r="G66" s="1955">
        <v>2400</v>
      </c>
      <c r="H66" s="1955">
        <v>2400</v>
      </c>
      <c r="I66" s="1955">
        <v>2400</v>
      </c>
      <c r="J66" s="1955">
        <v>2400</v>
      </c>
      <c r="K66" s="1955">
        <v>2400</v>
      </c>
      <c r="L66" s="1955">
        <v>2400</v>
      </c>
      <c r="M66" s="1955">
        <v>2400</v>
      </c>
      <c r="N66" s="60"/>
      <c r="P66">
        <v>11</v>
      </c>
    </row>
    <row r="67" spans="2:16">
      <c r="B67" s="60"/>
      <c r="C67" s="60"/>
      <c r="D67" s="60"/>
      <c r="E67" s="549" t="s">
        <v>1732</v>
      </c>
      <c r="F67" s="60"/>
      <c r="G67" s="1955">
        <v>2900</v>
      </c>
      <c r="H67" s="1955">
        <v>2900</v>
      </c>
      <c r="I67" s="1955">
        <v>2900</v>
      </c>
      <c r="J67" s="1955">
        <v>2900</v>
      </c>
      <c r="K67" s="1955">
        <v>2900</v>
      </c>
      <c r="L67" s="1955">
        <v>2900</v>
      </c>
      <c r="M67" s="1955">
        <v>2900</v>
      </c>
      <c r="N67" s="60"/>
      <c r="P67">
        <v>12</v>
      </c>
    </row>
    <row r="68" spans="2:16">
      <c r="B68" s="60"/>
      <c r="C68" s="60"/>
      <c r="D68" s="60"/>
      <c r="E68" s="1965" t="s">
        <v>910</v>
      </c>
      <c r="F68" s="60"/>
      <c r="G68" s="1955">
        <v>1400</v>
      </c>
      <c r="H68" s="1955">
        <v>1400</v>
      </c>
      <c r="I68" s="1955">
        <v>1400</v>
      </c>
      <c r="J68" s="1955">
        <v>1400</v>
      </c>
      <c r="K68" s="1955">
        <v>1400</v>
      </c>
      <c r="L68" s="1955">
        <v>1400</v>
      </c>
      <c r="M68" s="1955">
        <v>1400</v>
      </c>
      <c r="N68" s="60"/>
      <c r="P68">
        <v>13</v>
      </c>
    </row>
    <row r="69" spans="2:16">
      <c r="B69" s="60"/>
      <c r="C69" s="60"/>
      <c r="D69" s="60"/>
      <c r="E69" s="1965" t="s">
        <v>911</v>
      </c>
      <c r="F69" s="60"/>
      <c r="G69" s="1955">
        <v>1300</v>
      </c>
      <c r="H69" s="1955">
        <v>1300</v>
      </c>
      <c r="I69" s="1955">
        <v>1300</v>
      </c>
      <c r="J69" s="1955">
        <v>1300</v>
      </c>
      <c r="K69" s="1955">
        <v>1300</v>
      </c>
      <c r="L69" s="1955">
        <v>1300</v>
      </c>
      <c r="M69" s="1955">
        <v>1300</v>
      </c>
      <c r="N69" s="60"/>
      <c r="P69">
        <v>14</v>
      </c>
    </row>
    <row r="70" spans="2:16">
      <c r="B70" s="60"/>
      <c r="C70" s="60"/>
      <c r="D70" s="60"/>
      <c r="E70" s="1965" t="s">
        <v>912</v>
      </c>
      <c r="F70" s="60"/>
      <c r="G70" s="1955">
        <v>1450</v>
      </c>
      <c r="H70" s="1955">
        <v>1450</v>
      </c>
      <c r="I70" s="1955">
        <v>1450</v>
      </c>
      <c r="J70" s="1955">
        <v>1450</v>
      </c>
      <c r="K70" s="1955">
        <v>1450</v>
      </c>
      <c r="L70" s="1955">
        <v>1450</v>
      </c>
      <c r="M70" s="1955">
        <v>1450</v>
      </c>
      <c r="N70" s="60"/>
      <c r="P70">
        <v>15</v>
      </c>
    </row>
    <row r="71" spans="2:16">
      <c r="B71" s="60"/>
      <c r="C71" s="60"/>
      <c r="D71" s="60"/>
      <c r="E71" s="1965" t="s">
        <v>206</v>
      </c>
      <c r="F71" s="60"/>
      <c r="G71" s="1955">
        <v>2450</v>
      </c>
      <c r="H71" s="1955">
        <v>2450</v>
      </c>
      <c r="I71" s="1955">
        <v>2450</v>
      </c>
      <c r="J71" s="1955">
        <v>2450</v>
      </c>
      <c r="K71" s="1955">
        <v>2450</v>
      </c>
      <c r="L71" s="1955">
        <v>2450</v>
      </c>
      <c r="M71" s="1955">
        <v>2450</v>
      </c>
      <c r="N71" s="60"/>
      <c r="P71">
        <v>16</v>
      </c>
    </row>
    <row r="72" spans="2:16" hidden="1">
      <c r="B72" s="60"/>
      <c r="C72" s="60"/>
      <c r="D72" s="60"/>
      <c r="E72" s="1978" t="s">
        <v>914</v>
      </c>
      <c r="F72" s="60"/>
      <c r="G72" s="1955"/>
      <c r="H72" s="1955"/>
      <c r="I72" s="1955"/>
      <c r="J72" s="1955"/>
      <c r="K72" s="1955"/>
      <c r="L72" s="1955"/>
      <c r="M72" s="1955"/>
      <c r="N72" s="60"/>
      <c r="P72">
        <v>17</v>
      </c>
    </row>
    <row r="73" spans="2:16">
      <c r="B73" s="60"/>
      <c r="C73" s="60"/>
      <c r="D73" s="60"/>
      <c r="E73" s="1965" t="s">
        <v>1733</v>
      </c>
      <c r="F73" s="60"/>
      <c r="G73" s="1955">
        <v>2750</v>
      </c>
      <c r="H73" s="1955">
        <v>2750</v>
      </c>
      <c r="I73" s="1955">
        <v>2750</v>
      </c>
      <c r="J73" s="1955">
        <v>2750</v>
      </c>
      <c r="K73" s="1955">
        <v>2750</v>
      </c>
      <c r="L73" s="1955">
        <v>2750</v>
      </c>
      <c r="M73" s="1955">
        <v>2750</v>
      </c>
      <c r="N73" s="60"/>
      <c r="P73">
        <v>18</v>
      </c>
    </row>
    <row r="74" spans="2:16" hidden="1">
      <c r="B74" s="60"/>
      <c r="C74" s="60"/>
      <c r="D74" s="60"/>
      <c r="E74" s="1965"/>
      <c r="F74" s="60"/>
      <c r="G74" s="1965"/>
      <c r="H74" s="1965"/>
      <c r="I74" s="1965"/>
      <c r="J74" s="1965"/>
      <c r="K74" s="1965"/>
      <c r="L74" s="1965"/>
      <c r="M74" s="1965"/>
      <c r="N74" s="60"/>
    </row>
    <row r="75" spans="2:16" ht="7.5" customHeight="1">
      <c r="B75" s="60"/>
      <c r="C75" s="60"/>
      <c r="D75" s="60"/>
      <c r="E75" s="60"/>
      <c r="F75" s="60"/>
      <c r="G75" s="60"/>
      <c r="H75" s="60"/>
      <c r="I75" s="60"/>
      <c r="J75" s="60"/>
      <c r="K75" s="60"/>
      <c r="L75" s="60"/>
      <c r="M75" s="60"/>
      <c r="N75" s="60"/>
    </row>
    <row r="76" spans="2:16">
      <c r="B76" s="60"/>
      <c r="C76" s="60"/>
      <c r="D76" s="60"/>
      <c r="E76" s="1947" t="s">
        <v>1715</v>
      </c>
      <c r="F76" s="60"/>
      <c r="G76" s="60"/>
      <c r="H76" s="60"/>
      <c r="I76" s="60"/>
      <c r="J76" s="60"/>
      <c r="K76" s="60"/>
      <c r="L76" s="60"/>
      <c r="M76" s="60"/>
      <c r="N76" s="60"/>
    </row>
    <row r="77" spans="2:16">
      <c r="B77" s="60"/>
      <c r="C77" s="60"/>
      <c r="D77" s="60"/>
      <c r="E77" s="1965" t="s">
        <v>220</v>
      </c>
      <c r="F77" s="60"/>
      <c r="G77" s="1977" t="s">
        <v>1075</v>
      </c>
      <c r="H77" s="1977" t="s">
        <v>1078</v>
      </c>
      <c r="I77" s="1977" t="s">
        <v>1069</v>
      </c>
      <c r="J77" s="1977" t="s">
        <v>1083</v>
      </c>
      <c r="K77" s="1977" t="s">
        <v>1076</v>
      </c>
      <c r="L77" s="1977" t="s">
        <v>1084</v>
      </c>
      <c r="M77" s="1977" t="s">
        <v>1080</v>
      </c>
      <c r="N77" s="60"/>
    </row>
    <row r="78" spans="2:16" hidden="1">
      <c r="B78" s="60"/>
      <c r="C78" s="60"/>
      <c r="D78" s="60"/>
      <c r="E78" s="1978"/>
      <c r="F78" s="60"/>
      <c r="G78" s="1977" t="s">
        <v>1723</v>
      </c>
      <c r="H78" s="1977" t="s">
        <v>1724</v>
      </c>
      <c r="I78" s="1977" t="s">
        <v>1725</v>
      </c>
      <c r="J78" s="1977" t="s">
        <v>1726</v>
      </c>
      <c r="K78" s="1977" t="s">
        <v>1727</v>
      </c>
      <c r="L78" s="1977" t="s">
        <v>1728</v>
      </c>
      <c r="M78" s="1977" t="s">
        <v>1729</v>
      </c>
      <c r="N78" s="60"/>
    </row>
    <row r="79" spans="2:16">
      <c r="B79" s="60"/>
      <c r="C79" s="60"/>
      <c r="D79" s="60"/>
      <c r="E79" s="1965" t="s">
        <v>199</v>
      </c>
      <c r="F79" s="60"/>
      <c r="G79" s="1955">
        <v>3250</v>
      </c>
      <c r="H79" s="1955">
        <v>3250</v>
      </c>
      <c r="I79" s="1955">
        <v>3250</v>
      </c>
      <c r="J79" s="1955">
        <v>3250</v>
      </c>
      <c r="K79" s="1955">
        <v>3250</v>
      </c>
      <c r="L79" s="1955">
        <v>3250</v>
      </c>
      <c r="M79" s="1955">
        <v>3250</v>
      </c>
      <c r="N79" s="60"/>
      <c r="P79">
        <v>2</v>
      </c>
    </row>
    <row r="80" spans="2:16" hidden="1">
      <c r="B80" s="60"/>
      <c r="C80" s="60"/>
      <c r="D80" s="60"/>
      <c r="E80" s="1978" t="s">
        <v>1082</v>
      </c>
      <c r="F80" s="60"/>
      <c r="G80" s="1955"/>
      <c r="H80" s="1955"/>
      <c r="I80" s="1955"/>
      <c r="J80" s="1955"/>
      <c r="K80" s="1955"/>
      <c r="L80" s="1955"/>
      <c r="M80" s="1955"/>
      <c r="N80" s="60"/>
      <c r="P80">
        <v>3</v>
      </c>
    </row>
    <row r="81" spans="2:16">
      <c r="B81" s="60"/>
      <c r="C81" s="60"/>
      <c r="D81" s="60"/>
      <c r="E81" s="1965" t="s">
        <v>906</v>
      </c>
      <c r="F81" s="60"/>
      <c r="G81" s="1955">
        <v>1600</v>
      </c>
      <c r="H81" s="1955">
        <v>1600</v>
      </c>
      <c r="I81" s="1955">
        <v>1600</v>
      </c>
      <c r="J81" s="1955">
        <v>1600</v>
      </c>
      <c r="K81" s="1955">
        <v>1600</v>
      </c>
      <c r="L81" s="1955">
        <v>1600</v>
      </c>
      <c r="M81" s="1955">
        <v>1600</v>
      </c>
      <c r="N81" s="60"/>
      <c r="P81">
        <v>4</v>
      </c>
    </row>
    <row r="82" spans="2:16">
      <c r="B82" s="60"/>
      <c r="C82" s="60"/>
      <c r="D82" s="60"/>
      <c r="E82" s="1965" t="s">
        <v>907</v>
      </c>
      <c r="F82" s="60"/>
      <c r="G82" s="1955">
        <v>1400</v>
      </c>
      <c r="H82" s="1955">
        <v>1400</v>
      </c>
      <c r="I82" s="1955">
        <v>1400</v>
      </c>
      <c r="J82" s="1955">
        <v>1400</v>
      </c>
      <c r="K82" s="1955">
        <v>1400</v>
      </c>
      <c r="L82" s="1955">
        <v>1400</v>
      </c>
      <c r="M82" s="1955">
        <v>1400</v>
      </c>
      <c r="N82" s="60"/>
      <c r="P82">
        <v>5</v>
      </c>
    </row>
    <row r="83" spans="2:16">
      <c r="B83" s="60"/>
      <c r="C83" s="60"/>
      <c r="D83" s="60"/>
      <c r="E83" s="1965" t="s">
        <v>1088</v>
      </c>
      <c r="F83" s="60"/>
      <c r="G83" s="1955">
        <v>800</v>
      </c>
      <c r="H83" s="1955">
        <v>460</v>
      </c>
      <c r="I83" s="1955">
        <v>460</v>
      </c>
      <c r="J83" s="1955">
        <v>460</v>
      </c>
      <c r="K83" s="1955">
        <v>460</v>
      </c>
      <c r="L83" s="1955">
        <v>460</v>
      </c>
      <c r="M83" s="1955">
        <v>460</v>
      </c>
      <c r="N83" s="60"/>
      <c r="P83">
        <v>6</v>
      </c>
    </row>
    <row r="84" spans="2:16">
      <c r="B84" s="60"/>
      <c r="C84" s="60"/>
      <c r="D84" s="60"/>
      <c r="E84" s="1965" t="s">
        <v>1113</v>
      </c>
      <c r="F84" s="60"/>
      <c r="G84" s="1955">
        <v>630</v>
      </c>
      <c r="H84" s="1955">
        <v>630</v>
      </c>
      <c r="I84" s="1955">
        <v>630</v>
      </c>
      <c r="J84" s="1955">
        <v>630</v>
      </c>
      <c r="K84" s="1955">
        <v>630</v>
      </c>
      <c r="L84" s="1955">
        <v>630</v>
      </c>
      <c r="M84" s="1955">
        <v>630</v>
      </c>
      <c r="N84" s="60"/>
      <c r="P84">
        <v>7</v>
      </c>
    </row>
    <row r="85" spans="2:16">
      <c r="B85" s="60"/>
      <c r="C85" s="60"/>
      <c r="D85" s="60"/>
      <c r="E85" s="1965" t="s">
        <v>908</v>
      </c>
      <c r="F85" s="60"/>
      <c r="G85" s="1955">
        <v>2300</v>
      </c>
      <c r="H85" s="1955">
        <v>2300</v>
      </c>
      <c r="I85" s="1955">
        <v>2300</v>
      </c>
      <c r="J85" s="1955">
        <v>2300</v>
      </c>
      <c r="K85" s="1955">
        <v>2300</v>
      </c>
      <c r="L85" s="1955">
        <v>2300</v>
      </c>
      <c r="M85" s="1955">
        <v>2300</v>
      </c>
      <c r="N85" s="60"/>
      <c r="P85">
        <v>8</v>
      </c>
    </row>
    <row r="86" spans="2:16" hidden="1">
      <c r="B86" s="60"/>
      <c r="C86" s="60"/>
      <c r="D86" s="60"/>
      <c r="E86" s="1978" t="s">
        <v>1114</v>
      </c>
      <c r="F86" s="60"/>
      <c r="G86" s="1955"/>
      <c r="H86" s="1955"/>
      <c r="I86" s="1955"/>
      <c r="J86" s="1955"/>
      <c r="K86" s="1955"/>
      <c r="L86" s="1955"/>
      <c r="M86" s="1955"/>
      <c r="N86" s="60"/>
      <c r="P86">
        <v>9</v>
      </c>
    </row>
    <row r="87" spans="2:16">
      <c r="B87" s="60"/>
      <c r="C87" s="60"/>
      <c r="D87" s="60"/>
      <c r="E87" s="1965" t="s">
        <v>1730</v>
      </c>
      <c r="F87" s="60"/>
      <c r="G87" s="1955">
        <v>4600</v>
      </c>
      <c r="H87" s="1955">
        <v>4600</v>
      </c>
      <c r="I87" s="1955">
        <v>4600</v>
      </c>
      <c r="J87" s="1955">
        <v>4600</v>
      </c>
      <c r="K87" s="1955">
        <v>4600</v>
      </c>
      <c r="L87" s="1955">
        <v>4600</v>
      </c>
      <c r="M87" s="1955">
        <v>4600</v>
      </c>
      <c r="N87" s="60"/>
      <c r="P87">
        <v>10</v>
      </c>
    </row>
    <row r="88" spans="2:16">
      <c r="B88" s="60"/>
      <c r="C88" s="60"/>
      <c r="D88" s="60"/>
      <c r="E88" s="1965" t="s">
        <v>1731</v>
      </c>
      <c r="F88" s="60"/>
      <c r="G88" s="1955">
        <v>3750</v>
      </c>
      <c r="H88" s="1955">
        <v>3750</v>
      </c>
      <c r="I88" s="1955">
        <v>3750</v>
      </c>
      <c r="J88" s="1955">
        <v>3750</v>
      </c>
      <c r="K88" s="1955">
        <v>3750</v>
      </c>
      <c r="L88" s="1955">
        <v>3750</v>
      </c>
      <c r="M88" s="1955">
        <v>3750</v>
      </c>
      <c r="N88" s="60"/>
      <c r="P88">
        <v>11</v>
      </c>
    </row>
    <row r="89" spans="2:16">
      <c r="B89" s="60"/>
      <c r="C89" s="60"/>
      <c r="D89" s="60"/>
      <c r="E89" s="549" t="s">
        <v>1732</v>
      </c>
      <c r="F89" s="60"/>
      <c r="G89" s="1955">
        <v>4600</v>
      </c>
      <c r="H89" s="1955">
        <v>4600</v>
      </c>
      <c r="I89" s="1955">
        <v>4600</v>
      </c>
      <c r="J89" s="1955">
        <v>4600</v>
      </c>
      <c r="K89" s="1955">
        <v>4600</v>
      </c>
      <c r="L89" s="1955">
        <v>4600</v>
      </c>
      <c r="M89" s="1955">
        <v>4600</v>
      </c>
      <c r="N89" s="60"/>
      <c r="P89">
        <v>12</v>
      </c>
    </row>
    <row r="90" spans="2:16">
      <c r="B90" s="60"/>
      <c r="C90" s="60"/>
      <c r="D90" s="60"/>
      <c r="E90" s="1965" t="s">
        <v>910</v>
      </c>
      <c r="F90" s="60"/>
      <c r="G90" s="1955">
        <v>2900</v>
      </c>
      <c r="H90" s="1955">
        <v>2900</v>
      </c>
      <c r="I90" s="1955">
        <v>2900</v>
      </c>
      <c r="J90" s="1955">
        <v>2900</v>
      </c>
      <c r="K90" s="1955">
        <v>2900</v>
      </c>
      <c r="L90" s="1955">
        <v>2900</v>
      </c>
      <c r="M90" s="1955">
        <v>2900</v>
      </c>
      <c r="N90" s="60"/>
      <c r="P90">
        <v>13</v>
      </c>
    </row>
    <row r="91" spans="2:16">
      <c r="B91" s="60"/>
      <c r="C91" s="60"/>
      <c r="D91" s="60"/>
      <c r="E91" s="1965" t="s">
        <v>911</v>
      </c>
      <c r="F91" s="60"/>
      <c r="G91" s="1955">
        <v>2200</v>
      </c>
      <c r="H91" s="1955">
        <v>2200</v>
      </c>
      <c r="I91" s="1955">
        <v>2200</v>
      </c>
      <c r="J91" s="1955">
        <v>2200</v>
      </c>
      <c r="K91" s="1955">
        <v>2200</v>
      </c>
      <c r="L91" s="1955">
        <v>2200</v>
      </c>
      <c r="M91" s="1955">
        <v>2200</v>
      </c>
      <c r="N91" s="60"/>
      <c r="P91">
        <v>14</v>
      </c>
    </row>
    <row r="92" spans="2:16">
      <c r="B92" s="60"/>
      <c r="C92" s="60"/>
      <c r="D92" s="60"/>
      <c r="E92" s="1965" t="s">
        <v>912</v>
      </c>
      <c r="F92" s="60"/>
      <c r="G92" s="1955">
        <v>2900</v>
      </c>
      <c r="H92" s="1955">
        <v>2900</v>
      </c>
      <c r="I92" s="1955">
        <v>2900</v>
      </c>
      <c r="J92" s="1955">
        <v>2900</v>
      </c>
      <c r="K92" s="1955">
        <v>2900</v>
      </c>
      <c r="L92" s="1955">
        <v>2900</v>
      </c>
      <c r="M92" s="1955">
        <v>2900</v>
      </c>
      <c r="N92" s="60"/>
      <c r="P92">
        <v>15</v>
      </c>
    </row>
    <row r="93" spans="2:16">
      <c r="B93" s="60"/>
      <c r="C93" s="60"/>
      <c r="D93" s="60"/>
      <c r="E93" s="1965" t="s">
        <v>206</v>
      </c>
      <c r="F93" s="60"/>
      <c r="G93" s="1955">
        <v>3800</v>
      </c>
      <c r="H93" s="1955">
        <v>3800</v>
      </c>
      <c r="I93" s="1955">
        <v>3800</v>
      </c>
      <c r="J93" s="1955">
        <v>3800</v>
      </c>
      <c r="K93" s="1955">
        <v>3800</v>
      </c>
      <c r="L93" s="1955">
        <v>3800</v>
      </c>
      <c r="M93" s="1955">
        <v>3800</v>
      </c>
      <c r="N93" s="60"/>
      <c r="P93">
        <v>16</v>
      </c>
    </row>
    <row r="94" spans="2:16" hidden="1">
      <c r="B94" s="60"/>
      <c r="C94" s="60"/>
      <c r="D94" s="60"/>
      <c r="E94" s="1978" t="s">
        <v>914</v>
      </c>
      <c r="F94" s="60"/>
      <c r="G94" s="1955"/>
      <c r="H94" s="1955"/>
      <c r="I94" s="1955"/>
      <c r="J94" s="1955"/>
      <c r="K94" s="1955"/>
      <c r="L94" s="1955"/>
      <c r="M94" s="1955"/>
      <c r="N94" s="60"/>
      <c r="P94">
        <v>17</v>
      </c>
    </row>
    <row r="95" spans="2:16">
      <c r="B95" s="60"/>
      <c r="C95" s="60"/>
      <c r="D95" s="60"/>
      <c r="E95" s="1965" t="s">
        <v>1733</v>
      </c>
      <c r="F95" s="60"/>
      <c r="G95" s="1955">
        <v>3800</v>
      </c>
      <c r="H95" s="1955">
        <v>3800</v>
      </c>
      <c r="I95" s="1955">
        <v>3800</v>
      </c>
      <c r="J95" s="1955">
        <v>3800</v>
      </c>
      <c r="K95" s="1955">
        <v>3800</v>
      </c>
      <c r="L95" s="1955">
        <v>3800</v>
      </c>
      <c r="M95" s="1955">
        <v>3800</v>
      </c>
      <c r="N95" s="60"/>
      <c r="P95">
        <v>18</v>
      </c>
    </row>
    <row r="96" spans="2:16"/>
    <row r="97"/>
    <row r="98"/>
    <row r="99"/>
    <row r="100"/>
    <row r="101"/>
    <row r="102"/>
  </sheetData>
  <sheetProtection password="CC47" sheet="1" objects="1" scenarios="1"/>
  <mergeCells count="1">
    <mergeCell ref="M1:N1"/>
  </mergeCells>
  <phoneticPr fontId="20"/>
  <conditionalFormatting sqref="H44">
    <cfRule type="cellIs" dxfId="41" priority="2" stopIfTrue="1" operator="notEqual">
      <formula>1</formula>
    </cfRule>
  </conditionalFormatting>
  <conditionalFormatting sqref="I15:I18">
    <cfRule type="cellIs" dxfId="40" priority="3" stopIfTrue="1" operator="greaterThanOrEqual">
      <formula>0.2</formula>
    </cfRule>
  </conditionalFormatting>
  <conditionalFormatting sqref="I14">
    <cfRule type="cellIs" dxfId="39" priority="1" operator="greaterThanOrEqual">
      <formula>0.8</formula>
    </cfRule>
  </conditionalFormatting>
  <dataValidations count="1">
    <dataValidation type="list" allowBlank="1" showInputMessage="1" showErrorMessage="1" sqref="L22">
      <formula1>$T$24:$T$30</formula1>
    </dataValidation>
  </dataValidations>
  <pageMargins left="0.70866141732283472" right="0.70866141732283472" top="0.74803149606299213" bottom="0.74803149606299213" header="0.31496062992125984" footer="0.31496062992125984"/>
  <pageSetup paperSize="9" scale="70" fitToHeight="0" orientation="portrait" verticalDpi="0" r:id="rId1"/>
  <headerFooter>
    <oddHeader>&amp;L&amp;F&amp;R&amp;A</oddHeader>
    <oddFooter>&amp;C&amp;P/&amp;N</oddFooter>
  </headerFooter>
  <legacyDrawing r:id="rId2"/>
</worksheet>
</file>

<file path=xl/worksheets/sheet13.xml><?xml version="1.0" encoding="utf-8"?>
<worksheet xmlns="http://schemas.openxmlformats.org/spreadsheetml/2006/main" xmlns:r="http://schemas.openxmlformats.org/officeDocument/2006/relationships">
  <sheetPr codeName="Sheet17">
    <pageSetUpPr fitToPage="1"/>
  </sheetPr>
  <dimension ref="A1:AA184"/>
  <sheetViews>
    <sheetView showGridLines="0" zoomScaleNormal="100" workbookViewId="0">
      <selection activeCell="N3" sqref="N3:O3"/>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75" customWidth="1"/>
    <col min="17" max="18" width="4.625" hidden="1" customWidth="1"/>
    <col min="19" max="19" width="5.75" hidden="1" customWidth="1"/>
    <col min="20" max="20" width="6.875" hidden="1" customWidth="1"/>
    <col min="21" max="21" width="15.6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s>
  <sheetData>
    <row r="1" spans="1:21" ht="14.25" thickBot="1">
      <c r="A1" s="1912"/>
    </row>
    <row r="2" spans="1:21" ht="14.25">
      <c r="B2" s="1420" t="str">
        <f>メイン!C6</f>
        <v>CASBEE京都-改修（2015年版）</v>
      </c>
      <c r="C2" s="1421"/>
      <c r="D2" s="1422"/>
      <c r="E2" s="1423"/>
      <c r="F2" s="1924"/>
      <c r="G2" s="1924"/>
      <c r="H2" s="1924"/>
      <c r="I2" s="1924"/>
      <c r="J2" s="1924"/>
      <c r="K2" s="1924"/>
      <c r="L2" s="3033" t="s">
        <v>456</v>
      </c>
      <c r="M2" s="3033"/>
      <c r="N2" s="3034" t="str">
        <f>メイン!C6</f>
        <v>CASBEE京都-改修（2015年版）</v>
      </c>
      <c r="O2" s="3035"/>
    </row>
    <row r="3" spans="1:21" ht="14.25" thickBot="1">
      <c r="B3" s="3037">
        <f>メイン!H11</f>
        <v>0</v>
      </c>
      <c r="C3" s="3038"/>
      <c r="D3" s="3038"/>
      <c r="E3" s="3039"/>
      <c r="F3" s="1924"/>
      <c r="G3" s="1924"/>
      <c r="H3" s="1924"/>
      <c r="I3" s="1924"/>
      <c r="J3" s="1924"/>
      <c r="K3" s="1924"/>
      <c r="L3" s="3033" t="s">
        <v>915</v>
      </c>
      <c r="M3" s="3036"/>
      <c r="N3" s="3034" t="str">
        <f>メイン!C5</f>
        <v>CASBEE京都-改修2015（v.1.0）</v>
      </c>
      <c r="O3" s="3035"/>
    </row>
    <row r="4" spans="1:21" ht="6.75" customHeight="1" thickBot="1">
      <c r="B4" s="1924"/>
      <c r="C4" s="1924"/>
      <c r="D4" s="1924"/>
      <c r="E4" s="1924"/>
      <c r="F4" s="1924"/>
      <c r="G4" s="1924"/>
      <c r="H4" s="1924"/>
      <c r="I4" s="1924"/>
      <c r="J4" s="1924"/>
      <c r="K4" s="1924"/>
      <c r="L4" s="1924"/>
      <c r="M4" s="1924"/>
      <c r="N4" s="1924"/>
      <c r="O4" s="1924"/>
    </row>
    <row r="5" spans="1:21" ht="18.75">
      <c r="B5" s="1424" t="s">
        <v>179</v>
      </c>
      <c r="C5" s="1425"/>
      <c r="D5" s="1426"/>
      <c r="E5" s="1427"/>
      <c r="F5" s="1428"/>
      <c r="G5" s="1428"/>
      <c r="H5" s="1428"/>
      <c r="I5" s="1428"/>
      <c r="J5" s="1428"/>
      <c r="K5" s="1425"/>
      <c r="L5" s="1429"/>
      <c r="M5" s="1430"/>
      <c r="N5" s="1431"/>
      <c r="O5" s="1432"/>
    </row>
    <row r="6" spans="1:21" ht="14.25">
      <c r="B6" s="1434"/>
      <c r="C6" s="1435"/>
      <c r="D6" s="1436"/>
      <c r="E6" s="1437"/>
      <c r="F6" s="1438"/>
      <c r="G6" s="1438"/>
      <c r="H6" s="1438"/>
      <c r="I6" s="1438"/>
      <c r="J6" s="1438"/>
      <c r="K6" s="1435"/>
      <c r="L6" s="2210" t="s">
        <v>111</v>
      </c>
      <c r="M6" s="1440"/>
      <c r="N6" s="1441"/>
      <c r="O6" s="2299" t="s">
        <v>180</v>
      </c>
      <c r="R6" t="s">
        <v>484</v>
      </c>
      <c r="S6" t="s">
        <v>485</v>
      </c>
      <c r="T6" t="s">
        <v>486</v>
      </c>
      <c r="U6" t="s">
        <v>305</v>
      </c>
    </row>
    <row r="7" spans="1:21" ht="16.5">
      <c r="B7" s="1442" t="s">
        <v>181</v>
      </c>
      <c r="C7" s="1435"/>
      <c r="D7" s="1436"/>
      <c r="E7" s="1437"/>
      <c r="F7" s="1438"/>
      <c r="G7" s="1438"/>
      <c r="H7" s="1438"/>
      <c r="I7" s="1438"/>
      <c r="J7" s="1438"/>
      <c r="K7" s="1435"/>
      <c r="L7" s="1443"/>
      <c r="M7" s="1440"/>
      <c r="N7" s="1441"/>
      <c r="O7" s="1445"/>
    </row>
    <row r="8" spans="1:21" ht="14.25">
      <c r="B8" s="2204"/>
      <c r="C8" s="1446" t="s">
        <v>183</v>
      </c>
      <c r="D8" s="1447"/>
      <c r="E8" s="1437"/>
      <c r="F8" s="1438"/>
      <c r="G8" s="1438"/>
      <c r="H8" s="1443"/>
      <c r="I8" s="1444"/>
      <c r="J8" s="1443" t="s">
        <v>182</v>
      </c>
      <c r="K8" s="1444"/>
      <c r="L8" s="1443" t="s">
        <v>182</v>
      </c>
      <c r="M8" s="1444"/>
      <c r="N8" s="1444"/>
      <c r="O8" s="1445" t="s">
        <v>182</v>
      </c>
    </row>
    <row r="9" spans="1:21">
      <c r="B9" s="2204"/>
      <c r="C9" s="1455"/>
      <c r="D9" s="1455" t="s">
        <v>189</v>
      </c>
      <c r="E9" s="1452"/>
      <c r="F9" s="2300" t="s">
        <v>184</v>
      </c>
      <c r="G9" s="1452"/>
      <c r="H9" s="1449" t="s">
        <v>185</v>
      </c>
      <c r="I9" s="1449" t="s">
        <v>186</v>
      </c>
      <c r="J9" s="1449" t="s">
        <v>187</v>
      </c>
      <c r="K9" s="1450" t="s">
        <v>188</v>
      </c>
      <c r="L9" s="1451" t="s">
        <v>117</v>
      </c>
      <c r="M9" s="1452"/>
      <c r="N9" s="1450" t="s">
        <v>188</v>
      </c>
      <c r="O9" s="1453" t="s">
        <v>117</v>
      </c>
    </row>
    <row r="10" spans="1:21">
      <c r="B10" s="2255"/>
      <c r="C10" s="1455"/>
      <c r="D10" s="1455"/>
      <c r="E10" s="1455" t="s">
        <v>519</v>
      </c>
      <c r="F10" s="2301" t="e">
        <f>メイン!W47</f>
        <v>#DIV/0!</v>
      </c>
      <c r="G10" s="1452"/>
      <c r="H10" s="2301">
        <f>IF(OR($F$20=$R$6,$F$20=$U$6),CO2データ!I12,IF($F$20=$S$6,CO2データ!L12,CO2データ!O12))</f>
        <v>11.739099999999999</v>
      </c>
      <c r="I10" s="2301">
        <f>IF(OR($F$20=$R$6,$F$20=$U$6),CO2データ!J12,IF($F$20=$S$6,CO2データ!M12,CO2データ!P12))</f>
        <v>11.739099999999999</v>
      </c>
      <c r="J10" s="2302">
        <f>IF(OR($F$20=$R$6,$F$20=$U$6),CO2データ!K12,IF($F$20=$S$6,CO2データ!N12,CO2データ!Q12))</f>
        <v>11.739099999999999</v>
      </c>
      <c r="K10" s="2287" t="e">
        <f>スコア表示!M80</f>
        <v>#DIV/0!</v>
      </c>
      <c r="L10" s="2303" t="e">
        <f t="shared" ref="L10:L18" si="0">IF(K10&gt;=5,$J10,IF(K10&gt;=4,$I10,$H10))</f>
        <v>#DIV/0!</v>
      </c>
      <c r="M10" s="1452"/>
      <c r="N10" s="2287">
        <v>3</v>
      </c>
      <c r="O10" s="2304">
        <f>IF(OR($F$20=$R$6,$F$20=$U$6),CO2データ!I7,IF($F$20=$S$6,CO2データ!L7,CO2データ!O7))</f>
        <v>14.004999999999999</v>
      </c>
    </row>
    <row r="11" spans="1:21">
      <c r="B11" s="2255"/>
      <c r="C11" s="1455"/>
      <c r="D11" s="2305"/>
      <c r="E11" s="1455" t="s">
        <v>201</v>
      </c>
      <c r="F11" s="2301" t="e">
        <f>メイン!W49</f>
        <v>#DIV/0!</v>
      </c>
      <c r="G11" s="1452"/>
      <c r="H11" s="2301">
        <f>IF(OR($F$20=$R$6,$F$20=$U$6),CO2データ!I18,IF($F$20=$S$6,CO2データ!L18,CO2データ!O18))</f>
        <v>8.8994999999999997</v>
      </c>
      <c r="I11" s="2301">
        <f>IF(OR($F$20=$R$6,$F$20=$U$6),CO2データ!J18,IF($F$20=$S$6,CO2データ!M18,CO2データ!P18))</f>
        <v>8.8994999999999997</v>
      </c>
      <c r="J11" s="2302">
        <f>IF(OR($F$20=$R$6,$F$20=$U$6),CO2データ!K18,IF($F$20=$S$6,CO2データ!N18,CO2データ!Q18))</f>
        <v>8.8994999999999997</v>
      </c>
      <c r="K11" s="2287" t="e">
        <f t="shared" ref="K11:K18" si="1">K$10</f>
        <v>#DIV/0!</v>
      </c>
      <c r="L11" s="2303" t="e">
        <f t="shared" si="0"/>
        <v>#DIV/0!</v>
      </c>
      <c r="M11" s="1452"/>
      <c r="N11" s="2287">
        <f t="shared" ref="N11:N18" si="2">N$10</f>
        <v>3</v>
      </c>
      <c r="O11" s="2304">
        <f>IF(OR($F$20=$R$6,$F$20=$U$6),CO2データ!I13,IF($F$20=$S$6,CO2データ!L13,CO2データ!O13))</f>
        <v>10.473000000000001</v>
      </c>
    </row>
    <row r="12" spans="1:21">
      <c r="B12" s="2255"/>
      <c r="C12" s="1455"/>
      <c r="D12" s="1455"/>
      <c r="E12" s="1455" t="s">
        <v>523</v>
      </c>
      <c r="F12" s="2301" t="e">
        <f>メイン!W54</f>
        <v>#DIV/0!</v>
      </c>
      <c r="G12" s="1452"/>
      <c r="H12" s="2301">
        <f>IF(OR($F$20=$R$6,$F$20=$U$6),CO2データ!I24,IF($F$20=$S$6,CO2データ!L24,CO2データ!O24))</f>
        <v>14.121600000000003</v>
      </c>
      <c r="I12" s="2301">
        <f>IF(OR($F$20=$R$6,$F$20=$U$6),CO2データ!J24,IF($F$20=$S$6,CO2データ!M24,CO2データ!P24))</f>
        <v>14.121600000000003</v>
      </c>
      <c r="J12" s="2302">
        <f>IF(OR($F$20=$R$6,$F$20=$U$6),CO2データ!K24,IF($F$20=$S$6,CO2データ!N24,CO2データ!Q24))</f>
        <v>14.121600000000003</v>
      </c>
      <c r="K12" s="2287" t="e">
        <f t="shared" si="1"/>
        <v>#DIV/0!</v>
      </c>
      <c r="L12" s="2303" t="e">
        <f t="shared" si="0"/>
        <v>#DIV/0!</v>
      </c>
      <c r="M12" s="1452"/>
      <c r="N12" s="2287">
        <f t="shared" si="2"/>
        <v>3</v>
      </c>
      <c r="O12" s="2304">
        <f>IF(OR($F$20=$R$6,$F$20=$U$6),CO2データ!I19,IF($F$20=$S$6,CO2データ!L19,CO2データ!O19))</f>
        <v>16.572000000000003</v>
      </c>
    </row>
    <row r="13" spans="1:21">
      <c r="B13" s="2255"/>
      <c r="C13" s="1455"/>
      <c r="D13" s="1455"/>
      <c r="E13" s="1455" t="s">
        <v>525</v>
      </c>
      <c r="F13" s="2301" t="e">
        <f>メイン!W56</f>
        <v>#DIV/0!</v>
      </c>
      <c r="G13" s="1452"/>
      <c r="H13" s="2301">
        <f>IF(OR($F$20=$R$6,$F$20=$U$6),CO2データ!I30,IF($F$20=$S$6,CO2データ!L30,CO2データ!O30))</f>
        <v>14.121599999999999</v>
      </c>
      <c r="I13" s="2301">
        <f>IF(OR($F$20=$R$6,$F$20=$U$6),CO2データ!J30,IF($F$20=$S$6,CO2データ!M30,CO2データ!P30))</f>
        <v>14.121600000000003</v>
      </c>
      <c r="J13" s="2302">
        <f>IF(OR($F$20=$R$6,$F$20=$U$6),CO2データ!K30,IF($F$20=$S$6,CO2データ!N30,CO2データ!Q30))</f>
        <v>14.121600000000003</v>
      </c>
      <c r="K13" s="2287" t="e">
        <f t="shared" si="1"/>
        <v>#DIV/0!</v>
      </c>
      <c r="L13" s="2303" t="e">
        <f t="shared" si="0"/>
        <v>#DIV/0!</v>
      </c>
      <c r="M13" s="1452"/>
      <c r="N13" s="2287">
        <f t="shared" si="2"/>
        <v>3</v>
      </c>
      <c r="O13" s="2304">
        <f>IF(OR($F$20=$R$6,$F$20=$U$6),CO2データ!I25,IF($F$20=$S$6,CO2データ!L25,CO2データ!O25))</f>
        <v>16.571999999999999</v>
      </c>
    </row>
    <row r="14" spans="1:21">
      <c r="B14" s="2255"/>
      <c r="C14" s="1455"/>
      <c r="D14" s="1455"/>
      <c r="E14" s="147" t="s">
        <v>819</v>
      </c>
      <c r="F14" s="2301" t="e">
        <f>メイン!W57</f>
        <v>#DIV/0!</v>
      </c>
      <c r="G14" s="1452"/>
      <c r="H14" s="2301">
        <f>IF(OR($F$20=$R$6,$F$20=$U$6),CO2データ!I36,IF($F$20=$S$6,CO2データ!L36,CO2データ!O36))</f>
        <v>9.7101000000000006</v>
      </c>
      <c r="I14" s="2301">
        <f>IF(OR($F$20=$R$6,$F$20=$U$6),CO2データ!J36,IF($F$20=$S$6,CO2データ!M36,CO2データ!P36))</f>
        <v>9.7101000000000006</v>
      </c>
      <c r="J14" s="2302">
        <f>IF(OR($F$20=$R$6,$F$20=$U$6),CO2データ!K36,IF($F$20=$S$6,CO2データ!N36,CO2データ!Q36))</f>
        <v>9.7101000000000006</v>
      </c>
      <c r="K14" s="2287" t="e">
        <f t="shared" si="1"/>
        <v>#DIV/0!</v>
      </c>
      <c r="L14" s="2303" t="e">
        <f t="shared" si="0"/>
        <v>#DIV/0!</v>
      </c>
      <c r="M14" s="1452"/>
      <c r="N14" s="2287">
        <f t="shared" si="2"/>
        <v>3</v>
      </c>
      <c r="O14" s="2304">
        <f>IF(OR($F$20=$R$6,$F$20=$U$6),CO2データ!I31,IF($F$20=$S$6,CO2データ!L31,CO2データ!O31))</f>
        <v>11.535</v>
      </c>
    </row>
    <row r="15" spans="1:21">
      <c r="B15" s="2255"/>
      <c r="C15" s="1455"/>
      <c r="D15" s="1455"/>
      <c r="E15" s="147" t="s">
        <v>535</v>
      </c>
      <c r="F15" s="2301" t="e">
        <f>メイン!W63</f>
        <v>#DIV/0!</v>
      </c>
      <c r="G15" s="1452"/>
      <c r="H15" s="2301">
        <f>IF(OR($F$20=$R$6,$F$20=$U$6),CO2データ!I42,IF($F$20=$S$6,CO2データ!L42,CO2データ!O42))</f>
        <v>16.688899999999997</v>
      </c>
      <c r="I15" s="2301">
        <f>IF(OR($F$20=$R$6,$F$20=$U$6),CO2データ!J42,IF($F$20=$S$6,CO2データ!M42,CO2データ!P42))</f>
        <v>16.688899999999997</v>
      </c>
      <c r="J15" s="2302">
        <f>IF(OR($F$20=$R$6,$F$20=$U$6),CO2データ!K42,IF($F$20=$S$6,CO2データ!N42,CO2データ!Q42))</f>
        <v>16.688899999999997</v>
      </c>
      <c r="K15" s="2287" t="e">
        <f t="shared" si="1"/>
        <v>#DIV/0!</v>
      </c>
      <c r="L15" s="2303" t="e">
        <f t="shared" si="0"/>
        <v>#DIV/0!</v>
      </c>
      <c r="M15" s="1452"/>
      <c r="N15" s="2287">
        <f t="shared" si="2"/>
        <v>3</v>
      </c>
      <c r="O15" s="2304">
        <f>IF(OR($F$20=$R$6,$F$20=$U$6),CO2データ!I37,IF($F$20=$S$6,CO2データ!L37,CO2データ!O37))</f>
        <v>19.561999999999998</v>
      </c>
    </row>
    <row r="16" spans="1:21">
      <c r="B16" s="2255"/>
      <c r="C16" s="1455"/>
      <c r="D16" s="1455"/>
      <c r="E16" s="147" t="s">
        <v>529</v>
      </c>
      <c r="F16" s="2301" t="e">
        <f>メイン!W60</f>
        <v>#DIV/0!</v>
      </c>
      <c r="G16" s="1452"/>
      <c r="H16" s="2301">
        <f>IF(OR($F$20=$R$6,$F$20=$U$6),CO2データ!I48,IF($F$20=$S$6,CO2データ!L48,CO2データ!O48))</f>
        <v>9.1732000000000014</v>
      </c>
      <c r="I16" s="2301">
        <f>IF(OR($F$20=$R$6,$F$20=$U$6),CO2データ!J48,IF($F$20=$S$6,CO2データ!M48,CO2データ!P48))</f>
        <v>9.1732000000000014</v>
      </c>
      <c r="J16" s="2302">
        <f>IF(OR($F$20=$R$6,$F$20=$U$6),CO2データ!K48,IF($F$20=$S$6,CO2データ!N48,CO2データ!Q48))</f>
        <v>9.1732000000000014</v>
      </c>
      <c r="K16" s="2287" t="e">
        <f t="shared" si="1"/>
        <v>#DIV/0!</v>
      </c>
      <c r="L16" s="2303" t="e">
        <f t="shared" si="0"/>
        <v>#DIV/0!</v>
      </c>
      <c r="M16" s="1452"/>
      <c r="N16" s="2287">
        <f t="shared" si="2"/>
        <v>3</v>
      </c>
      <c r="O16" s="2304">
        <f>IF(OR($F$20=$R$6,$F$20=$U$6),CO2データ!I43,IF($F$20=$S$6,CO2データ!L43,CO2データ!O43))</f>
        <v>10.405000000000001</v>
      </c>
    </row>
    <row r="17" spans="2:21">
      <c r="B17" s="2255"/>
      <c r="C17" s="1455"/>
      <c r="D17" s="1455"/>
      <c r="E17" s="147" t="s">
        <v>820</v>
      </c>
      <c r="F17" s="2301" t="e">
        <f>メイン!W61</f>
        <v>#DIV/0!</v>
      </c>
      <c r="G17" s="1452"/>
      <c r="H17" s="2301">
        <f>IF(OR($F$20=$R$6,$F$20=$U$6),CO2データ!I54,IF($F$20=$S$6,CO2データ!L54,CO2データ!O54))</f>
        <v>9.4504000000000019</v>
      </c>
      <c r="I17" s="2301">
        <f>IF(OR($F$20=$R$6,$F$20=$U$6),CO2データ!J54,IF($F$20=$S$6,CO2データ!M54,CO2データ!P54))</f>
        <v>9.4504000000000019</v>
      </c>
      <c r="J17" s="2302">
        <f>IF(OR($F$20=$R$6,$F$20=$U$6),CO2データ!K54,IF($F$20=$S$6,CO2データ!N54,CO2データ!Q54))</f>
        <v>9.4504000000000019</v>
      </c>
      <c r="K17" s="2287" t="e">
        <f t="shared" si="1"/>
        <v>#DIV/0!</v>
      </c>
      <c r="L17" s="2303" t="e">
        <f t="shared" si="0"/>
        <v>#DIV/0!</v>
      </c>
      <c r="M17" s="1452"/>
      <c r="N17" s="2287">
        <f t="shared" si="2"/>
        <v>3</v>
      </c>
      <c r="O17" s="2304">
        <f>IF(OR($F$20=$R$6,$F$20=$U$6),CO2データ!I49,IF($F$20=$S$6,CO2データ!L49,CO2データ!O49))</f>
        <v>11.119000000000002</v>
      </c>
    </row>
    <row r="18" spans="2:21">
      <c r="B18" s="2255"/>
      <c r="C18" s="1455"/>
      <c r="D18" s="1455"/>
      <c r="E18" s="147" t="s">
        <v>1391</v>
      </c>
      <c r="F18" s="2301" t="e">
        <f>メイン!W62</f>
        <v>#DIV/0!</v>
      </c>
      <c r="G18" s="1452"/>
      <c r="H18" s="2301">
        <f>IF(OR($F$20=$R$6,$F$20=$U$6),CO2データ!I60,IF($F$20=$S$6,CO2データ!L60,CO2データ!O60))</f>
        <v>13.6769</v>
      </c>
      <c r="I18" s="2301">
        <f>IF(OR($F$20=$R$6,$F$20=$U$6),CO2データ!J60,IF($F$20=$S$6,CO2データ!M60,CO2データ!P60))</f>
        <v>6.8385000000000007</v>
      </c>
      <c r="J18" s="2302">
        <f>IF(OR($F$20=$R$6,$F$20=$U$6),CO2データ!K60,IF($F$20=$S$6,CO2データ!N60,CO2データ!Q60))</f>
        <v>4.5590999999999999</v>
      </c>
      <c r="K18" s="2287" t="e">
        <f t="shared" si="1"/>
        <v>#DIV/0!</v>
      </c>
      <c r="L18" s="2303" t="e">
        <f t="shared" si="0"/>
        <v>#DIV/0!</v>
      </c>
      <c r="M18" s="1452"/>
      <c r="N18" s="2287">
        <f t="shared" si="2"/>
        <v>3</v>
      </c>
      <c r="O18" s="2304">
        <f>IF(OR($F$20=$R$6,$F$20=$U$6),CO2データ!I55,IF($F$20=$S$6,CO2データ!L55,CO2データ!O55))</f>
        <v>15.641</v>
      </c>
    </row>
    <row r="19" spans="2:21">
      <c r="B19" s="2255"/>
      <c r="C19" s="1455"/>
      <c r="D19" s="1455"/>
      <c r="E19" s="1455"/>
      <c r="F19" s="1455"/>
      <c r="G19" s="1455"/>
      <c r="H19" s="1455"/>
      <c r="I19" s="2306"/>
      <c r="J19" s="2306"/>
      <c r="K19" s="2307"/>
      <c r="L19" s="2308"/>
      <c r="M19" s="1452"/>
      <c r="N19" s="2307"/>
      <c r="O19" s="2309"/>
    </row>
    <row r="20" spans="2:21">
      <c r="B20" s="2255"/>
      <c r="C20" s="1452"/>
      <c r="D20" s="1452" t="s">
        <v>192</v>
      </c>
      <c r="E20" s="1452"/>
      <c r="F20" s="2310" t="str">
        <f>メイン!H23</f>
        <v>S造</v>
      </c>
      <c r="G20" s="1452"/>
      <c r="H20" s="2311"/>
      <c r="I20" s="2311"/>
      <c r="J20" s="2311"/>
      <c r="K20" s="2312"/>
      <c r="L20" s="1452"/>
      <c r="M20" s="1452"/>
      <c r="N20" s="2312"/>
      <c r="O20" s="2313"/>
    </row>
    <row r="21" spans="2:21">
      <c r="B21" s="2314"/>
      <c r="C21" s="2205"/>
      <c r="D21" s="2205" t="s">
        <v>193</v>
      </c>
      <c r="E21" s="2205"/>
      <c r="F21" s="2315">
        <f>'条件(標準)_後'!E31</f>
        <v>0.3</v>
      </c>
      <c r="G21" s="2205"/>
      <c r="H21" s="2205"/>
      <c r="I21" s="2205"/>
      <c r="J21" s="2205"/>
      <c r="K21" s="2205"/>
      <c r="L21" s="2205"/>
      <c r="M21" s="2205"/>
      <c r="N21" s="2316">
        <v>0</v>
      </c>
      <c r="O21" s="2206"/>
    </row>
    <row r="22" spans="2:21">
      <c r="B22" s="2314"/>
      <c r="C22" s="2205"/>
      <c r="D22" s="2205" t="s">
        <v>194</v>
      </c>
      <c r="E22" s="2205"/>
      <c r="F22" s="2315">
        <f>'条件(標準)_後'!E30</f>
        <v>0</v>
      </c>
      <c r="G22" s="2205"/>
      <c r="H22" s="2205"/>
      <c r="I22" s="2205"/>
      <c r="J22" s="2205"/>
      <c r="K22" s="2205"/>
      <c r="L22" s="2205"/>
      <c r="M22" s="2205"/>
      <c r="N22" s="2316">
        <v>0</v>
      </c>
      <c r="O22" s="2206"/>
    </row>
    <row r="23" spans="2:21" ht="5.25" customHeight="1" thickBot="1">
      <c r="B23" s="2314"/>
      <c r="C23" s="2205"/>
      <c r="D23" s="2205"/>
      <c r="E23" s="2205"/>
      <c r="F23" s="2205"/>
      <c r="G23" s="2205"/>
      <c r="H23" s="2205"/>
      <c r="I23" s="2205"/>
      <c r="J23" s="2205"/>
      <c r="K23" s="2205"/>
      <c r="L23" s="2205"/>
      <c r="M23" s="2205"/>
      <c r="N23" s="2205"/>
      <c r="O23" s="2206"/>
    </row>
    <row r="24" spans="2:21" ht="14.25" thickBot="1">
      <c r="B24" s="2314"/>
      <c r="C24" s="1446" t="s">
        <v>195</v>
      </c>
      <c r="D24" s="1455"/>
      <c r="E24" s="1452"/>
      <c r="F24" s="2205"/>
      <c r="G24" s="2205"/>
      <c r="H24" s="2205"/>
      <c r="I24" s="2205"/>
      <c r="J24" s="2205"/>
      <c r="K24" s="2205"/>
      <c r="L24" s="2317" t="e">
        <f>SUMPRODUCT(F10:F18,L10:L18)</f>
        <v>#DIV/0!</v>
      </c>
      <c r="M24" s="2205"/>
      <c r="N24" s="2205"/>
      <c r="O24" s="2317" t="e">
        <f>SUMPRODUCT(F10:F18,O10:O18)</f>
        <v>#DIV/0!</v>
      </c>
    </row>
    <row r="25" spans="2:21">
      <c r="B25" s="2314"/>
      <c r="C25" s="1452"/>
      <c r="D25" s="1455"/>
      <c r="E25" s="147"/>
      <c r="F25" s="2205"/>
      <c r="G25" s="2205"/>
      <c r="H25" s="2205"/>
      <c r="I25" s="2205"/>
      <c r="J25" s="2205"/>
      <c r="K25" s="2205"/>
      <c r="L25" s="2318"/>
      <c r="M25" s="2205"/>
      <c r="N25" s="2205"/>
      <c r="O25" s="2319"/>
    </row>
    <row r="26" spans="2:21" hidden="1">
      <c r="B26" s="2314"/>
      <c r="C26" s="1452" t="s">
        <v>196</v>
      </c>
      <c r="D26" s="2205"/>
      <c r="E26" s="1455" t="s">
        <v>519</v>
      </c>
      <c r="F26" s="2400">
        <f>メイン!Y47</f>
        <v>0</v>
      </c>
      <c r="G26" s="2205"/>
      <c r="H26" s="2301">
        <f>IF(OR($F$20=$R$6,$F$20=$U$6),CO2データ!I203,IF($F$20=$S$6,CO2データ!L203,CO2データ!O203))</f>
        <v>60</v>
      </c>
      <c r="I26" s="2301">
        <f>IF(OR($F$20=$R$6,$F$20=$U$6),CO2データ!J203,IF($F$20=$S$6,CO2データ!M203,CO2データ!P203))</f>
        <v>60</v>
      </c>
      <c r="J26" s="2301">
        <f>IF(OR($F$20=$R$6,$F$20=$U$6),CO2データ!K203,IF($F$20=$S$6,CO2データ!N203,CO2データ!Q203))</f>
        <v>60</v>
      </c>
      <c r="K26" s="2320" t="e">
        <f t="shared" ref="K26:K34" si="3">K10</f>
        <v>#DIV/0!</v>
      </c>
      <c r="L26" s="2321">
        <f t="shared" ref="L26:L34" si="4">IF($F26=1,IF($K26&lt;4,$H26,IF($K26&lt;5,$I26,$J26)),0)</f>
        <v>0</v>
      </c>
      <c r="M26" s="2205"/>
      <c r="N26" s="2287">
        <v>3</v>
      </c>
      <c r="O26" s="2322">
        <f t="shared" ref="O26:O34" si="5">IF($F26=1,IF($N26&lt;4,$H26,IF($N26&lt;5,$I26,$J26)),0)</f>
        <v>0</v>
      </c>
      <c r="R26" t="str">
        <f t="shared" ref="R26:R34" si="6">IF($F26&lt;&gt;1,"",$E26&amp;"部分"&amp;L26&amp;"年,")</f>
        <v/>
      </c>
      <c r="U26" t="str">
        <f t="shared" ref="U26:U34" si="7">IF($F26&lt;&gt;1,"",$E26&amp;"部分"&amp;O26&amp;"年,")</f>
        <v/>
      </c>
    </row>
    <row r="27" spans="2:21" hidden="1">
      <c r="B27" s="2314"/>
      <c r="C27" s="1452"/>
      <c r="D27" s="2205"/>
      <c r="E27" s="1455" t="s">
        <v>521</v>
      </c>
      <c r="F27" s="2400">
        <f>メイン!Y49</f>
        <v>0</v>
      </c>
      <c r="G27" s="2205"/>
      <c r="H27" s="2301">
        <f>IF(OR($F$20=$R$6,$F$20=$U$6),CO2データ!I204,IF($F$20=$S$6,CO2データ!L204,CO2データ!O204))</f>
        <v>60</v>
      </c>
      <c r="I27" s="2301">
        <f>IF(OR($F$20=$R$6,$F$20=$U$6),CO2データ!J204,IF($F$20=$S$6,CO2データ!M204,CO2データ!P204))</f>
        <v>60</v>
      </c>
      <c r="J27" s="2301">
        <f>IF(OR($F$20=$R$6,$F$20=$U$6),CO2データ!K204,IF($F$20=$S$6,CO2データ!N204,CO2データ!Q204))</f>
        <v>60</v>
      </c>
      <c r="K27" s="2320" t="e">
        <f t="shared" si="3"/>
        <v>#DIV/0!</v>
      </c>
      <c r="L27" s="2321">
        <f t="shared" si="4"/>
        <v>0</v>
      </c>
      <c r="M27" s="2205"/>
      <c r="N27" s="2287">
        <v>3</v>
      </c>
      <c r="O27" s="2322">
        <f t="shared" si="5"/>
        <v>0</v>
      </c>
      <c r="R27" t="str">
        <f t="shared" si="6"/>
        <v/>
      </c>
      <c r="U27" t="str">
        <f t="shared" si="7"/>
        <v/>
      </c>
    </row>
    <row r="28" spans="2:21" hidden="1">
      <c r="B28" s="2314"/>
      <c r="C28" s="1452"/>
      <c r="D28" s="2205"/>
      <c r="E28" s="1455" t="s">
        <v>523</v>
      </c>
      <c r="F28" s="2400">
        <f>メイン!Y54</f>
        <v>0</v>
      </c>
      <c r="G28" s="2205"/>
      <c r="H28" s="2301">
        <f>IF(OR($F$20=$R$6,$F$20=$U$6),CO2データ!I205,IF($F$20=$S$6,CO2データ!L205,CO2データ!O205))</f>
        <v>30</v>
      </c>
      <c r="I28" s="2301">
        <f>IF(OR($F$20=$R$6,$F$20=$U$6),CO2データ!J205,IF($F$20=$S$6,CO2データ!M205,CO2データ!P205))</f>
        <v>30</v>
      </c>
      <c r="J28" s="2301">
        <f>IF(OR($F$20=$R$6,$F$20=$U$6),CO2データ!K205,IF($F$20=$S$6,CO2データ!N205,CO2データ!Q205))</f>
        <v>30</v>
      </c>
      <c r="K28" s="2320" t="e">
        <f t="shared" si="3"/>
        <v>#DIV/0!</v>
      </c>
      <c r="L28" s="2321">
        <f t="shared" si="4"/>
        <v>0</v>
      </c>
      <c r="M28" s="2205"/>
      <c r="N28" s="2287">
        <v>3</v>
      </c>
      <c r="O28" s="2322">
        <f t="shared" si="5"/>
        <v>0</v>
      </c>
      <c r="R28" t="str">
        <f t="shared" si="6"/>
        <v/>
      </c>
      <c r="U28" t="str">
        <f t="shared" si="7"/>
        <v/>
      </c>
    </row>
    <row r="29" spans="2:21" hidden="1">
      <c r="B29" s="2314"/>
      <c r="C29" s="1452"/>
      <c r="D29" s="2205"/>
      <c r="E29" s="1455" t="s">
        <v>525</v>
      </c>
      <c r="F29" s="2400">
        <f>メイン!Y56</f>
        <v>0</v>
      </c>
      <c r="G29" s="2205"/>
      <c r="H29" s="2301">
        <f>IF(OR($F$20=$R$6,$F$20=$U$6),CO2データ!I206,IF($F$20=$S$6,CO2データ!L206,CO2データ!O206))</f>
        <v>30</v>
      </c>
      <c r="I29" s="2301">
        <f>IF(OR($F$20=$R$6,$F$20=$U$6),CO2データ!J206,IF($F$20=$S$6,CO2データ!M206,CO2データ!P206))</f>
        <v>30</v>
      </c>
      <c r="J29" s="2301">
        <f>IF(OR($F$20=$R$6,$F$20=$U$6),CO2データ!K206,IF($F$20=$S$6,CO2データ!N206,CO2データ!Q206))</f>
        <v>30</v>
      </c>
      <c r="K29" s="2320" t="e">
        <f t="shared" si="3"/>
        <v>#DIV/0!</v>
      </c>
      <c r="L29" s="2321">
        <f t="shared" si="4"/>
        <v>0</v>
      </c>
      <c r="M29" s="2205"/>
      <c r="N29" s="2287">
        <v>3</v>
      </c>
      <c r="O29" s="2322">
        <f t="shared" si="5"/>
        <v>0</v>
      </c>
      <c r="R29" t="str">
        <f t="shared" si="6"/>
        <v/>
      </c>
      <c r="U29" t="str">
        <f t="shared" si="7"/>
        <v/>
      </c>
    </row>
    <row r="30" spans="2:21" hidden="1">
      <c r="B30" s="2314"/>
      <c r="C30" s="1452"/>
      <c r="D30" s="2205"/>
      <c r="E30" s="147" t="s">
        <v>819</v>
      </c>
      <c r="F30" s="2400">
        <f>メイン!Y57</f>
        <v>0</v>
      </c>
      <c r="G30" s="2205"/>
      <c r="H30" s="2301">
        <f>IF(OR($F$20=$R$6,$F$20=$U$6),CO2データ!I207,IF($F$20=$S$6,CO2データ!L207,CO2データ!O207))</f>
        <v>60</v>
      </c>
      <c r="I30" s="2301">
        <f>IF(OR($F$20=$R$6,$F$20=$U$6),CO2データ!J207,IF($F$20=$S$6,CO2データ!M207,CO2データ!P207))</f>
        <v>60</v>
      </c>
      <c r="J30" s="2301">
        <f>IF(OR($F$20=$R$6,$F$20=$U$6),CO2データ!K207,IF($F$20=$S$6,CO2データ!N207,CO2データ!Q207))</f>
        <v>60</v>
      </c>
      <c r="K30" s="2320" t="e">
        <f t="shared" si="3"/>
        <v>#DIV/0!</v>
      </c>
      <c r="L30" s="2321">
        <f t="shared" si="4"/>
        <v>0</v>
      </c>
      <c r="M30" s="2205"/>
      <c r="N30" s="2287">
        <v>3</v>
      </c>
      <c r="O30" s="2322">
        <f t="shared" si="5"/>
        <v>0</v>
      </c>
      <c r="R30" t="str">
        <f t="shared" si="6"/>
        <v/>
      </c>
      <c r="U30" t="str">
        <f t="shared" si="7"/>
        <v/>
      </c>
    </row>
    <row r="31" spans="2:21" hidden="1">
      <c r="B31" s="2314"/>
      <c r="C31" s="1452"/>
      <c r="D31" s="2205"/>
      <c r="E31" s="147" t="s">
        <v>535</v>
      </c>
      <c r="F31" s="2400">
        <f>メイン!Y63</f>
        <v>0</v>
      </c>
      <c r="G31" s="2205"/>
      <c r="H31" s="2301">
        <f>IF(OR($F$20=$R$6,$F$20=$U$6),CO2データ!I208,IF($F$20=$S$6,CO2データ!L208,CO2データ!O208))</f>
        <v>30</v>
      </c>
      <c r="I31" s="2301">
        <f>IF(OR($F$20=$R$6,$F$20=$U$6),CO2データ!J208,IF($F$20=$S$6,CO2データ!M208,CO2データ!P208))</f>
        <v>30</v>
      </c>
      <c r="J31" s="2301">
        <f>IF(OR($F$20=$R$6,$F$20=$U$6),CO2データ!K208,IF($F$20=$S$6,CO2データ!N208,CO2データ!Q208))</f>
        <v>30</v>
      </c>
      <c r="K31" s="2320" t="e">
        <f t="shared" si="3"/>
        <v>#DIV/0!</v>
      </c>
      <c r="L31" s="2321">
        <f t="shared" si="4"/>
        <v>0</v>
      </c>
      <c r="M31" s="2205"/>
      <c r="N31" s="2287">
        <v>3</v>
      </c>
      <c r="O31" s="2322">
        <f t="shared" si="5"/>
        <v>0</v>
      </c>
      <c r="R31" t="str">
        <f t="shared" si="6"/>
        <v/>
      </c>
      <c r="U31" t="str">
        <f t="shared" si="7"/>
        <v/>
      </c>
    </row>
    <row r="32" spans="2:21" hidden="1">
      <c r="B32" s="2314"/>
      <c r="C32" s="1452"/>
      <c r="D32" s="2205"/>
      <c r="E32" s="147" t="s">
        <v>529</v>
      </c>
      <c r="F32" s="2400">
        <f>メイン!Y60</f>
        <v>0</v>
      </c>
      <c r="G32" s="2205"/>
      <c r="H32" s="2301">
        <f>IF(OR($F$20=$R$6,$F$20=$U$6),CO2データ!I209,IF($F$20=$S$6,CO2データ!L209,CO2データ!O209))</f>
        <v>60</v>
      </c>
      <c r="I32" s="2301">
        <f>IF(OR($F$20=$R$6,$F$20=$U$6),CO2データ!J209,IF($F$20=$S$6,CO2データ!M209,CO2データ!P209))</f>
        <v>60</v>
      </c>
      <c r="J32" s="2301">
        <f>IF(OR($F$20=$R$6,$F$20=$U$6),CO2データ!K209,IF($F$20=$S$6,CO2データ!N209,CO2データ!Q209))</f>
        <v>60</v>
      </c>
      <c r="K32" s="2320" t="e">
        <f t="shared" si="3"/>
        <v>#DIV/0!</v>
      </c>
      <c r="L32" s="2321">
        <f t="shared" si="4"/>
        <v>0</v>
      </c>
      <c r="M32" s="2205"/>
      <c r="N32" s="2287">
        <v>3</v>
      </c>
      <c r="O32" s="2322">
        <f t="shared" si="5"/>
        <v>0</v>
      </c>
      <c r="R32" t="str">
        <f t="shared" si="6"/>
        <v/>
      </c>
      <c r="U32" t="str">
        <f t="shared" si="7"/>
        <v/>
      </c>
    </row>
    <row r="33" spans="2:21" hidden="1">
      <c r="B33" s="2314"/>
      <c r="C33" s="1452"/>
      <c r="D33" s="2205"/>
      <c r="E33" s="147" t="s">
        <v>820</v>
      </c>
      <c r="F33" s="2400">
        <f>メイン!Y61</f>
        <v>0</v>
      </c>
      <c r="G33" s="2205"/>
      <c r="H33" s="2301">
        <f>IF(OR($F$20=$R$6,$F$20=$U$6),CO2データ!I210,IF($F$20=$S$6,CO2データ!L210,CO2データ!O210))</f>
        <v>60</v>
      </c>
      <c r="I33" s="2301">
        <f>IF(OR($F$20=$R$6,$F$20=$U$6),CO2データ!J210,IF($F$20=$S$6,CO2データ!M210,CO2データ!P210))</f>
        <v>60</v>
      </c>
      <c r="J33" s="2301">
        <f>IF(OR($F$20=$R$6,$F$20=$U$6),CO2データ!K210,IF($F$20=$S$6,CO2データ!N210,CO2データ!Q210))</f>
        <v>60</v>
      </c>
      <c r="K33" s="2320" t="e">
        <f t="shared" si="3"/>
        <v>#DIV/0!</v>
      </c>
      <c r="L33" s="2321">
        <f t="shared" si="4"/>
        <v>0</v>
      </c>
      <c r="M33" s="2205"/>
      <c r="N33" s="2287">
        <v>3</v>
      </c>
      <c r="O33" s="2322">
        <f t="shared" si="5"/>
        <v>0</v>
      </c>
      <c r="R33" t="str">
        <f t="shared" si="6"/>
        <v/>
      </c>
      <c r="U33" t="str">
        <f t="shared" si="7"/>
        <v/>
      </c>
    </row>
    <row r="34" spans="2:21" ht="14.25" hidden="1" thickBot="1">
      <c r="B34" s="2314"/>
      <c r="C34" s="1452"/>
      <c r="D34" s="2205"/>
      <c r="E34" s="147" t="s">
        <v>533</v>
      </c>
      <c r="F34" s="2400">
        <f>メイン!Y62</f>
        <v>0</v>
      </c>
      <c r="G34" s="2205"/>
      <c r="H34" s="2301">
        <f>IF(OR($F$20=$R$6,$F$20=$U$6),CO2データ!I211,IF($F$20=$S$6,CO2データ!L211,CO2データ!O211))</f>
        <v>30</v>
      </c>
      <c r="I34" s="2301">
        <f>IF(OR($F$20=$R$6,$F$20=$U$6),CO2データ!J211,IF($F$20=$S$6,CO2データ!M211,CO2データ!P211))</f>
        <v>60</v>
      </c>
      <c r="J34" s="2301">
        <f>IF(OR($F$20=$R$6,$F$20=$U$6),CO2データ!K211,IF($F$20=$S$6,CO2データ!N211,CO2データ!Q211))</f>
        <v>90</v>
      </c>
      <c r="K34" s="2320" t="e">
        <f t="shared" si="3"/>
        <v>#DIV/0!</v>
      </c>
      <c r="L34" s="2321">
        <f t="shared" si="4"/>
        <v>0</v>
      </c>
      <c r="M34" s="2205"/>
      <c r="N34" s="2287">
        <v>3</v>
      </c>
      <c r="O34" s="2322">
        <f t="shared" si="5"/>
        <v>0</v>
      </c>
      <c r="R34" t="str">
        <f t="shared" si="6"/>
        <v/>
      </c>
      <c r="U34" t="str">
        <f t="shared" si="7"/>
        <v/>
      </c>
    </row>
    <row r="35" spans="2:21" ht="14.25" hidden="1" thickBot="1">
      <c r="B35" s="2314"/>
      <c r="C35" s="1452"/>
      <c r="D35" s="2205"/>
      <c r="E35" s="147"/>
      <c r="F35" s="147"/>
      <c r="G35" s="147"/>
      <c r="H35" s="147"/>
      <c r="I35" s="147"/>
      <c r="J35" s="147"/>
      <c r="K35" s="147"/>
      <c r="L35" s="2323" t="str">
        <f>R26&amp;R27&amp;R28&amp;R29&amp;R30&amp;R31&amp;R32&amp;R33&amp;R34&amp;R35</f>
        <v/>
      </c>
      <c r="M35" s="147"/>
      <c r="N35" s="147"/>
      <c r="O35" s="2323" t="str">
        <f>U26&amp;U27&amp;U28&amp;U29&amp;U30&amp;U31&amp;U32&amp;U33&amp;U34&amp;U35</f>
        <v/>
      </c>
      <c r="R35" t="str">
        <f>IF(SUM(F26:F34)&gt;1,"他","")</f>
        <v/>
      </c>
      <c r="U35" t="str">
        <f>IF(SUM(F26:F34)&gt;1,"他","")</f>
        <v/>
      </c>
    </row>
    <row r="36" spans="2:21" hidden="1">
      <c r="B36" s="2314"/>
      <c r="C36" s="1452"/>
      <c r="D36" s="2205"/>
      <c r="E36" s="147"/>
      <c r="F36" s="147"/>
      <c r="G36" s="147"/>
      <c r="H36" s="147"/>
      <c r="I36" s="147"/>
      <c r="J36" s="147"/>
      <c r="K36" s="147"/>
      <c r="L36" s="147"/>
      <c r="M36" s="147"/>
      <c r="N36" s="147"/>
      <c r="O36" s="2324"/>
    </row>
    <row r="37" spans="2:21" hidden="1">
      <c r="B37" s="2325"/>
      <c r="C37" s="2326" t="s">
        <v>125</v>
      </c>
      <c r="D37" s="2326"/>
      <c r="E37" s="2257"/>
      <c r="F37" s="2257"/>
      <c r="G37" s="2257"/>
      <c r="H37" s="2327"/>
      <c r="I37" s="2328" t="s">
        <v>197</v>
      </c>
      <c r="J37" s="2328" t="s">
        <v>198</v>
      </c>
      <c r="K37" s="2329"/>
      <c r="L37" s="2329"/>
      <c r="M37" s="2329"/>
      <c r="N37" s="2329"/>
      <c r="O37" s="2330"/>
    </row>
    <row r="38" spans="2:21" hidden="1">
      <c r="B38" s="2325"/>
      <c r="C38" s="2257"/>
      <c r="D38" s="2257" t="s">
        <v>199</v>
      </c>
      <c r="E38" s="2257"/>
      <c r="F38" s="2301" t="e">
        <f>F10</f>
        <v>#DIV/0!</v>
      </c>
      <c r="G38" s="2257"/>
      <c r="H38" s="2301">
        <f>IF(OR($F$20=$R$6,$F$20=$U$6),CO2データ!I214,IF($F$20=$S$6,CO2データ!L214,CO2データ!O214))</f>
        <v>0.56699999999999995</v>
      </c>
      <c r="I38" s="2301">
        <f>IF(OR($F$20=$R$6,$F$20=$U$6),CO2データ!J214,IF($F$20=$S$6,CO2データ!M214,CO2データ!P214))</f>
        <v>0</v>
      </c>
      <c r="J38" s="2301">
        <f>IF(OR($F$20=$R$6,$F$20=$U$6),CO2データ!K214,IF($F$20=$S$6,CO2データ!N214,CO2データ!Q214))</f>
        <v>0</v>
      </c>
      <c r="K38" s="2329"/>
      <c r="L38" s="2327">
        <f t="shared" ref="L38:L91" si="8">H38-(H38-I38)*$F$21-(H38-J38)*$F$22</f>
        <v>0.39689999999999998</v>
      </c>
      <c r="M38" s="2329"/>
      <c r="N38" s="2327"/>
      <c r="O38" s="2331">
        <f t="shared" ref="O38:O91" si="9">H38</f>
        <v>0.56699999999999995</v>
      </c>
      <c r="P38" t="s">
        <v>200</v>
      </c>
    </row>
    <row r="39" spans="2:21" hidden="1">
      <c r="B39" s="2325"/>
      <c r="C39" s="2257"/>
      <c r="D39" s="2257"/>
      <c r="E39" s="2257"/>
      <c r="F39" s="2301" t="e">
        <f>$F$38</f>
        <v>#DIV/0!</v>
      </c>
      <c r="G39" s="2257"/>
      <c r="H39" s="2301">
        <f>IF(OR($F$20=$R$6,$F$20=$U$6),CO2データ!I215,IF($F$20=$S$6,CO2データ!L215,CO2データ!O215))</f>
        <v>0</v>
      </c>
      <c r="I39" s="2301">
        <f>IF(OR($F$20=$R$6,$F$20=$U$6),CO2データ!J215,IF($F$20=$S$6,CO2データ!M215,CO2データ!P215))</f>
        <v>0</v>
      </c>
      <c r="J39" s="2301">
        <f>IF(OR($F$20=$R$6,$F$20=$U$6),CO2データ!K215,IF($F$20=$S$6,CO2データ!N215,CO2データ!Q215))</f>
        <v>0.56699999999999995</v>
      </c>
      <c r="K39" s="2329"/>
      <c r="L39" s="2327">
        <f t="shared" si="8"/>
        <v>0</v>
      </c>
      <c r="M39" s="2329"/>
      <c r="N39" s="2327"/>
      <c r="O39" s="2331">
        <f t="shared" si="9"/>
        <v>0</v>
      </c>
      <c r="P39" t="s">
        <v>200</v>
      </c>
    </row>
    <row r="40" spans="2:21" hidden="1">
      <c r="B40" s="2325"/>
      <c r="C40" s="2257"/>
      <c r="D40" s="2257"/>
      <c r="E40" s="2257"/>
      <c r="F40" s="2301" t="e">
        <f>$F$38</f>
        <v>#DIV/0!</v>
      </c>
      <c r="G40" s="2257"/>
      <c r="H40" s="2301">
        <f>IF(OR($F$20=$R$6,$F$20=$U$6),CO2データ!I216,IF($F$20=$S$6,CO2データ!L216,CO2データ!O216))</f>
        <v>0.13600000000000001</v>
      </c>
      <c r="I40" s="2301">
        <f>IF(OR($F$20=$R$6,$F$20=$U$6),CO2データ!J216,IF($F$20=$S$6,CO2データ!M216,CO2データ!P216))</f>
        <v>0</v>
      </c>
      <c r="J40" s="2301">
        <f>IF(OR($F$20=$R$6,$F$20=$U$6),CO2データ!K216,IF($F$20=$S$6,CO2データ!N216,CO2データ!Q216))</f>
        <v>0.13600000000000001</v>
      </c>
      <c r="K40" s="2329"/>
      <c r="L40" s="2327">
        <f t="shared" si="8"/>
        <v>9.5200000000000007E-2</v>
      </c>
      <c r="M40" s="2329"/>
      <c r="N40" s="2327"/>
      <c r="O40" s="2331">
        <f t="shared" si="9"/>
        <v>0.13600000000000001</v>
      </c>
      <c r="P40" t="s">
        <v>130</v>
      </c>
    </row>
    <row r="41" spans="2:21" hidden="1">
      <c r="B41" s="2325"/>
      <c r="C41" s="2257"/>
      <c r="D41" s="2257"/>
      <c r="E41" s="2257"/>
      <c r="F41" s="2301" t="e">
        <f>$F$38</f>
        <v>#DIV/0!</v>
      </c>
      <c r="G41" s="2257"/>
      <c r="H41" s="2301">
        <f>IF(OR($F$20=$R$6,$F$20=$U$6),CO2データ!I217,IF($F$20=$S$6,CO2データ!L217,CO2データ!O217))</f>
        <v>0</v>
      </c>
      <c r="I41" s="2301">
        <f>IF(OR($F$20=$R$6,$F$20=$U$6),CO2データ!J217,IF($F$20=$S$6,CO2データ!M217,CO2データ!P217))</f>
        <v>0</v>
      </c>
      <c r="J41" s="2301">
        <f>IF(OR($F$20=$R$6,$F$20=$U$6),CO2データ!K217,IF($F$20=$S$6,CO2データ!N217,CO2データ!Q217))</f>
        <v>0</v>
      </c>
      <c r="K41" s="2329"/>
      <c r="L41" s="2327">
        <f t="shared" si="8"/>
        <v>0</v>
      </c>
      <c r="M41" s="2329"/>
      <c r="N41" s="2327"/>
      <c r="O41" s="2331">
        <f t="shared" si="9"/>
        <v>0</v>
      </c>
      <c r="P41" t="s">
        <v>130</v>
      </c>
    </row>
    <row r="42" spans="2:21" hidden="1">
      <c r="B42" s="2325"/>
      <c r="C42" s="2257"/>
      <c r="D42" s="2257"/>
      <c r="E42" s="2257"/>
      <c r="F42" s="2301" t="e">
        <f>$F$38</f>
        <v>#DIV/0!</v>
      </c>
      <c r="G42" s="2257"/>
      <c r="H42" s="2301">
        <f>IF(OR($F$20=$R$6,$F$20=$U$6),CO2データ!I218,IF($F$20=$S$6,CO2データ!L218,CO2データ!O218))</f>
        <v>7.0000000000000007E-2</v>
      </c>
      <c r="I42" s="2301">
        <f>IF(OR($F$20=$R$6,$F$20=$U$6),CO2データ!J218,IF($F$20=$S$6,CO2データ!M218,CO2データ!P218))</f>
        <v>0</v>
      </c>
      <c r="J42" s="2301">
        <f>IF(OR($F$20=$R$6,$F$20=$U$6),CO2データ!K218,IF($F$20=$S$6,CO2データ!N218,CO2データ!Q218))</f>
        <v>7.0000000000000007E-2</v>
      </c>
      <c r="K42" s="2329"/>
      <c r="L42" s="2327">
        <f t="shared" si="8"/>
        <v>4.9000000000000002E-2</v>
      </c>
      <c r="M42" s="2329"/>
      <c r="N42" s="2327"/>
      <c r="O42" s="2331">
        <f t="shared" si="9"/>
        <v>7.0000000000000007E-2</v>
      </c>
      <c r="P42" t="s">
        <v>130</v>
      </c>
    </row>
    <row r="43" spans="2:21" hidden="1">
      <c r="B43" s="2325"/>
      <c r="C43" s="2257"/>
      <c r="D43" s="2257"/>
      <c r="E43" s="2257"/>
      <c r="F43" s="2301" t="e">
        <f>$F$38</f>
        <v>#DIV/0!</v>
      </c>
      <c r="G43" s="2257"/>
      <c r="H43" s="2301">
        <f>IF(OR($F$20=$R$6,$F$20=$U$6),CO2データ!I219,IF($F$20=$S$6,CO2データ!L219,CO2データ!O219))</f>
        <v>5.0000000000000001E-3</v>
      </c>
      <c r="I43" s="2301">
        <f>IF(OR($F$20=$R$6,$F$20=$U$6),CO2データ!J219,IF($F$20=$S$6,CO2データ!M219,CO2データ!P219))</f>
        <v>0</v>
      </c>
      <c r="J43" s="2301">
        <f>IF(OR($F$20=$R$6,$F$20=$U$6),CO2データ!K219,IF($F$20=$S$6,CO2データ!N219,CO2データ!Q219))</f>
        <v>5.0000000000000001E-3</v>
      </c>
      <c r="K43" s="2329"/>
      <c r="L43" s="2327">
        <f t="shared" si="8"/>
        <v>3.5000000000000001E-3</v>
      </c>
      <c r="M43" s="2329"/>
      <c r="N43" s="2327"/>
      <c r="O43" s="2331">
        <f t="shared" si="9"/>
        <v>5.0000000000000001E-3</v>
      </c>
      <c r="P43" t="s">
        <v>130</v>
      </c>
    </row>
    <row r="44" spans="2:21" hidden="1">
      <c r="B44" s="2325"/>
      <c r="C44" s="2257"/>
      <c r="D44" s="2257" t="s">
        <v>201</v>
      </c>
      <c r="E44" s="2257"/>
      <c r="F44" s="2301" t="e">
        <f>F11</f>
        <v>#DIV/0!</v>
      </c>
      <c r="G44" s="2257"/>
      <c r="H44" s="2301">
        <f>IF(OR($F$20=$R$6,$F$20=$U$6),CO2データ!I220,IF($F$20=$S$6,CO2データ!L220,CO2データ!O220))</f>
        <v>0.35199999999999998</v>
      </c>
      <c r="I44" s="2301">
        <f>IF(OR($F$20=$R$6,$F$20=$U$6),CO2データ!J220,IF($F$20=$S$6,CO2データ!M220,CO2データ!P220))</f>
        <v>0</v>
      </c>
      <c r="J44" s="2301">
        <f>IF(OR($F$20=$R$6,$F$20=$U$6),CO2データ!K220,IF($F$20=$S$6,CO2データ!N220,CO2データ!Q220))</f>
        <v>0</v>
      </c>
      <c r="K44" s="2329"/>
      <c r="L44" s="2327">
        <f t="shared" si="8"/>
        <v>0.24640000000000001</v>
      </c>
      <c r="M44" s="2329"/>
      <c r="N44" s="2327"/>
      <c r="O44" s="2331">
        <f t="shared" si="9"/>
        <v>0.35199999999999998</v>
      </c>
      <c r="P44" t="s">
        <v>200</v>
      </c>
    </row>
    <row r="45" spans="2:21" hidden="1">
      <c r="B45" s="2325"/>
      <c r="C45" s="2257"/>
      <c r="D45" s="2257"/>
      <c r="E45" s="2257"/>
      <c r="F45" s="2301" t="e">
        <f>$F$44</f>
        <v>#DIV/0!</v>
      </c>
      <c r="G45" s="2257"/>
      <c r="H45" s="2301">
        <f>IF(OR($F$20=$R$6,$F$20=$U$6),CO2データ!I221,IF($F$20=$S$6,CO2データ!L221,CO2データ!O221))</f>
        <v>0</v>
      </c>
      <c r="I45" s="2301">
        <f>IF(OR($F$20=$R$6,$F$20=$U$6),CO2データ!J221,IF($F$20=$S$6,CO2データ!M221,CO2データ!P221))</f>
        <v>0</v>
      </c>
      <c r="J45" s="2301">
        <f>IF(OR($F$20=$R$6,$F$20=$U$6),CO2データ!K221,IF($F$20=$S$6,CO2データ!N221,CO2データ!Q221))</f>
        <v>0.35199999999999998</v>
      </c>
      <c r="K45" s="2329"/>
      <c r="L45" s="2327">
        <f t="shared" si="8"/>
        <v>0</v>
      </c>
      <c r="M45" s="2329"/>
      <c r="N45" s="2327"/>
      <c r="O45" s="2331">
        <f t="shared" si="9"/>
        <v>0</v>
      </c>
      <c r="P45" t="s">
        <v>200</v>
      </c>
    </row>
    <row r="46" spans="2:21" hidden="1">
      <c r="B46" s="2325"/>
      <c r="C46" s="2257"/>
      <c r="D46" s="2257"/>
      <c r="E46" s="2257"/>
      <c r="F46" s="2301" t="e">
        <f>$F$44</f>
        <v>#DIV/0!</v>
      </c>
      <c r="G46" s="2257"/>
      <c r="H46" s="2301">
        <f>IF(OR($F$20=$R$6,$F$20=$U$6),CO2データ!I222,IF($F$20=$S$6,CO2データ!L222,CO2データ!O222))</f>
        <v>0.105</v>
      </c>
      <c r="I46" s="2301">
        <f>IF(OR($F$20=$R$6,$F$20=$U$6),CO2データ!J222,IF($F$20=$S$6,CO2データ!M222,CO2データ!P222))</f>
        <v>0</v>
      </c>
      <c r="J46" s="2301">
        <f>IF(OR($F$20=$R$6,$F$20=$U$6),CO2データ!K222,IF($F$20=$S$6,CO2データ!N222,CO2データ!Q222))</f>
        <v>0.105</v>
      </c>
      <c r="K46" s="2329"/>
      <c r="L46" s="2327">
        <f t="shared" si="8"/>
        <v>7.3499999999999996E-2</v>
      </c>
      <c r="M46" s="2329"/>
      <c r="N46" s="2327"/>
      <c r="O46" s="2331">
        <f t="shared" si="9"/>
        <v>0.105</v>
      </c>
      <c r="P46" t="s">
        <v>130</v>
      </c>
    </row>
    <row r="47" spans="2:21" hidden="1">
      <c r="B47" s="2325"/>
      <c r="C47" s="2257"/>
      <c r="D47" s="2257"/>
      <c r="E47" s="2257"/>
      <c r="F47" s="2301" t="e">
        <f>$F$44</f>
        <v>#DIV/0!</v>
      </c>
      <c r="G47" s="2257"/>
      <c r="H47" s="2301">
        <f>IF(OR($F$20=$R$6,$F$20=$U$6),CO2データ!I223,IF($F$20=$S$6,CO2データ!L223,CO2データ!O223))</f>
        <v>0</v>
      </c>
      <c r="I47" s="2301">
        <f>IF(OR($F$20=$R$6,$F$20=$U$6),CO2データ!J223,IF($F$20=$S$6,CO2データ!M223,CO2データ!P223))</f>
        <v>0</v>
      </c>
      <c r="J47" s="2301">
        <f>IF(OR($F$20=$R$6,$F$20=$U$6),CO2データ!K223,IF($F$20=$S$6,CO2データ!N223,CO2データ!Q223))</f>
        <v>0</v>
      </c>
      <c r="K47" s="2329"/>
      <c r="L47" s="2327">
        <f t="shared" si="8"/>
        <v>0</v>
      </c>
      <c r="M47" s="2329"/>
      <c r="N47" s="2327"/>
      <c r="O47" s="2331">
        <f t="shared" si="9"/>
        <v>0</v>
      </c>
      <c r="P47" t="s">
        <v>130</v>
      </c>
    </row>
    <row r="48" spans="2:21" hidden="1">
      <c r="B48" s="2325"/>
      <c r="C48" s="2257"/>
      <c r="D48" s="2257"/>
      <c r="E48" s="2257"/>
      <c r="F48" s="2301" t="e">
        <f>$F$44</f>
        <v>#DIV/0!</v>
      </c>
      <c r="G48" s="2257"/>
      <c r="H48" s="2301">
        <f>IF(OR($F$20=$R$6,$F$20=$U$6),CO2データ!I224,IF($F$20=$S$6,CO2データ!L224,CO2データ!O224))</f>
        <v>4.4999999999999998E-2</v>
      </c>
      <c r="I48" s="2301">
        <f>IF(OR($F$20=$R$6,$F$20=$U$6),CO2データ!J224,IF($F$20=$S$6,CO2データ!M224,CO2データ!P224))</f>
        <v>0</v>
      </c>
      <c r="J48" s="2301">
        <f>IF(OR($F$20=$R$6,$F$20=$U$6),CO2データ!K224,IF($F$20=$S$6,CO2データ!N224,CO2データ!Q224))</f>
        <v>4.4999999999999998E-2</v>
      </c>
      <c r="K48" s="2329"/>
      <c r="L48" s="2327">
        <f t="shared" si="8"/>
        <v>3.15E-2</v>
      </c>
      <c r="M48" s="2329"/>
      <c r="N48" s="2327"/>
      <c r="O48" s="2331">
        <f t="shared" si="9"/>
        <v>4.4999999999999998E-2</v>
      </c>
      <c r="P48" t="s">
        <v>130</v>
      </c>
    </row>
    <row r="49" spans="2:16" hidden="1">
      <c r="B49" s="2325"/>
      <c r="C49" s="2257"/>
      <c r="D49" s="2257"/>
      <c r="E49" s="2257"/>
      <c r="F49" s="2301" t="e">
        <f>$F$44</f>
        <v>#DIV/0!</v>
      </c>
      <c r="G49" s="2257"/>
      <c r="H49" s="2301">
        <f>IF(OR($F$20=$R$6,$F$20=$U$6),CO2データ!I225,IF($F$20=$S$6,CO2データ!L225,CO2データ!O225))</f>
        <v>2E-3</v>
      </c>
      <c r="I49" s="2301">
        <f>IF(OR($F$20=$R$6,$F$20=$U$6),CO2データ!J225,IF($F$20=$S$6,CO2データ!M225,CO2データ!P225))</f>
        <v>0</v>
      </c>
      <c r="J49" s="2301">
        <f>IF(OR($F$20=$R$6,$F$20=$U$6),CO2データ!K225,IF($F$20=$S$6,CO2データ!N225,CO2データ!Q225))</f>
        <v>2.3999999999999998E-3</v>
      </c>
      <c r="K49" s="2329"/>
      <c r="L49" s="2327">
        <f t="shared" si="8"/>
        <v>1.4000000000000002E-3</v>
      </c>
      <c r="M49" s="2329"/>
      <c r="N49" s="2327"/>
      <c r="O49" s="2331">
        <f t="shared" si="9"/>
        <v>2E-3</v>
      </c>
      <c r="P49" t="s">
        <v>130</v>
      </c>
    </row>
    <row r="50" spans="2:16" hidden="1">
      <c r="B50" s="2325"/>
      <c r="C50" s="2257"/>
      <c r="D50" s="2257" t="s">
        <v>202</v>
      </c>
      <c r="E50" s="2257"/>
      <c r="F50" s="2301" t="e">
        <f>F12</f>
        <v>#DIV/0!</v>
      </c>
      <c r="G50" s="2257"/>
      <c r="H50" s="2301">
        <f>IF(OR($F$20=$R$6,$F$20=$U$6),CO2データ!I226,IF($F$20=$S$6,CO2データ!L226,CO2データ!O226))</f>
        <v>0.34200000000000003</v>
      </c>
      <c r="I50" s="2301">
        <f>IF(OR($F$20=$R$6,$F$20=$U$6),CO2データ!J226,IF($F$20=$S$6,CO2データ!M226,CO2データ!P226))</f>
        <v>0</v>
      </c>
      <c r="J50" s="2301">
        <f>IF(OR($F$20=$R$6,$F$20=$U$6),CO2データ!K226,IF($F$20=$S$6,CO2データ!N226,CO2データ!Q226))</f>
        <v>0</v>
      </c>
      <c r="K50" s="2329"/>
      <c r="L50" s="2327">
        <f t="shared" si="8"/>
        <v>0.2394</v>
      </c>
      <c r="M50" s="2329"/>
      <c r="N50" s="2327"/>
      <c r="O50" s="2331">
        <f t="shared" si="9"/>
        <v>0.34200000000000003</v>
      </c>
      <c r="P50" t="s">
        <v>1392</v>
      </c>
    </row>
    <row r="51" spans="2:16" hidden="1">
      <c r="B51" s="2325"/>
      <c r="C51" s="2257"/>
      <c r="D51" s="2257"/>
      <c r="E51" s="2257"/>
      <c r="F51" s="2301" t="e">
        <f>$F$50</f>
        <v>#DIV/0!</v>
      </c>
      <c r="G51" s="2257"/>
      <c r="H51" s="2301">
        <f>IF(OR($F$20=$R$6,$F$20=$U$6),CO2データ!I227,IF($F$20=$S$6,CO2データ!L227,CO2データ!O227))</f>
        <v>0</v>
      </c>
      <c r="I51" s="2301">
        <f>IF(OR($F$20=$R$6,$F$20=$U$6),CO2データ!J227,IF($F$20=$S$6,CO2データ!M227,CO2データ!P227))</f>
        <v>0</v>
      </c>
      <c r="J51" s="2301">
        <f>IF(OR($F$20=$R$6,$F$20=$U$6),CO2データ!K227,IF($F$20=$S$6,CO2データ!N227,CO2データ!Q227))</f>
        <v>0.34200000000000003</v>
      </c>
      <c r="K51" s="2329"/>
      <c r="L51" s="2327">
        <f t="shared" si="8"/>
        <v>0</v>
      </c>
      <c r="M51" s="2329"/>
      <c r="N51" s="2327"/>
      <c r="O51" s="2331">
        <f t="shared" si="9"/>
        <v>0</v>
      </c>
      <c r="P51" t="s">
        <v>200</v>
      </c>
    </row>
    <row r="52" spans="2:16" hidden="1">
      <c r="B52" s="2325"/>
      <c r="C52" s="2257"/>
      <c r="D52" s="2257"/>
      <c r="E52" s="2257"/>
      <c r="F52" s="2301" t="e">
        <f>$F$50</f>
        <v>#DIV/0!</v>
      </c>
      <c r="G52" s="2257"/>
      <c r="H52" s="2301">
        <f>IF(OR($F$20=$R$6,$F$20=$U$6),CO2データ!I228,IF($F$20=$S$6,CO2データ!L228,CO2データ!O228))</f>
        <v>7.1999999999999995E-2</v>
      </c>
      <c r="I52" s="2301">
        <f>IF(OR($F$20=$R$6,$F$20=$U$6),CO2データ!J228,IF($F$20=$S$6,CO2データ!M228,CO2データ!P228))</f>
        <v>0</v>
      </c>
      <c r="J52" s="2301">
        <f>IF(OR($F$20=$R$6,$F$20=$U$6),CO2データ!K228,IF($F$20=$S$6,CO2データ!N228,CO2データ!Q228))</f>
        <v>7.1999999999999995E-2</v>
      </c>
      <c r="K52" s="2329"/>
      <c r="L52" s="2327">
        <f t="shared" si="8"/>
        <v>5.04E-2</v>
      </c>
      <c r="M52" s="2329"/>
      <c r="N52" s="2327"/>
      <c r="O52" s="2331">
        <f t="shared" si="9"/>
        <v>7.1999999999999995E-2</v>
      </c>
      <c r="P52" t="s">
        <v>130</v>
      </c>
    </row>
    <row r="53" spans="2:16" hidden="1">
      <c r="B53" s="2325"/>
      <c r="C53" s="2257"/>
      <c r="D53" s="2257"/>
      <c r="E53" s="2257"/>
      <c r="F53" s="2301" t="e">
        <f>$F$50</f>
        <v>#DIV/0!</v>
      </c>
      <c r="G53" s="2257"/>
      <c r="H53" s="2301">
        <f>IF(OR($F$20=$R$6,$F$20=$U$6),CO2データ!I229,IF($F$20=$S$6,CO2データ!L229,CO2データ!O229))</f>
        <v>0</v>
      </c>
      <c r="I53" s="2301">
        <f>IF(OR($F$20=$R$6,$F$20=$U$6),CO2データ!J229,IF($F$20=$S$6,CO2データ!M229,CO2データ!P229))</f>
        <v>0</v>
      </c>
      <c r="J53" s="2301">
        <f>IF(OR($F$20=$R$6,$F$20=$U$6),CO2データ!K229,IF($F$20=$S$6,CO2データ!N229,CO2データ!Q229))</f>
        <v>0</v>
      </c>
      <c r="K53" s="2329"/>
      <c r="L53" s="2327">
        <f t="shared" si="8"/>
        <v>0</v>
      </c>
      <c r="M53" s="2329"/>
      <c r="N53" s="2327"/>
      <c r="O53" s="2331">
        <f t="shared" si="9"/>
        <v>0</v>
      </c>
      <c r="P53" t="s">
        <v>130</v>
      </c>
    </row>
    <row r="54" spans="2:16" hidden="1">
      <c r="B54" s="2325"/>
      <c r="C54" s="2257"/>
      <c r="D54" s="2257"/>
      <c r="E54" s="2257"/>
      <c r="F54" s="2301" t="e">
        <f>$F$50</f>
        <v>#DIV/0!</v>
      </c>
      <c r="G54" s="2257"/>
      <c r="H54" s="2301">
        <f>IF(OR($F$20=$R$6,$F$20=$U$6),CO2データ!I230,IF($F$20=$S$6,CO2データ!L230,CO2データ!O230))</f>
        <v>2.4E-2</v>
      </c>
      <c r="I54" s="2301">
        <f>IF(OR($F$20=$R$6,$F$20=$U$6),CO2データ!J230,IF($F$20=$S$6,CO2データ!M230,CO2データ!P230))</f>
        <v>0</v>
      </c>
      <c r="J54" s="2301">
        <f>IF(OR($F$20=$R$6,$F$20=$U$6),CO2データ!K230,IF($F$20=$S$6,CO2データ!N230,CO2データ!Q230))</f>
        <v>2.4E-2</v>
      </c>
      <c r="K54" s="2329"/>
      <c r="L54" s="2327">
        <f t="shared" si="8"/>
        <v>1.6800000000000002E-2</v>
      </c>
      <c r="M54" s="2329"/>
      <c r="N54" s="2327"/>
      <c r="O54" s="2331">
        <f t="shared" si="9"/>
        <v>2.4E-2</v>
      </c>
      <c r="P54" t="s">
        <v>130</v>
      </c>
    </row>
    <row r="55" spans="2:16" hidden="1">
      <c r="B55" s="2325"/>
      <c r="C55" s="2257"/>
      <c r="D55" s="2257"/>
      <c r="E55" s="2257"/>
      <c r="F55" s="2301" t="e">
        <f>$F$50</f>
        <v>#DIV/0!</v>
      </c>
      <c r="G55" s="2257"/>
      <c r="H55" s="2301">
        <f>IF(OR($F$20=$R$6,$F$20=$U$6),CO2データ!I231,IF($F$20=$S$6,CO2データ!L231,CO2データ!O231))</f>
        <v>2E-3</v>
      </c>
      <c r="I55" s="2301">
        <f>IF(OR($F$20=$R$6,$F$20=$U$6),CO2データ!J231,IF($F$20=$S$6,CO2データ!M231,CO2データ!P231))</f>
        <v>0</v>
      </c>
      <c r="J55" s="2301">
        <f>IF(OR($F$20=$R$6,$F$20=$U$6),CO2データ!K231,IF($F$20=$S$6,CO2データ!N231,CO2データ!Q231))</f>
        <v>1.8600000000000001E-3</v>
      </c>
      <c r="K55" s="2329"/>
      <c r="L55" s="2327">
        <f t="shared" si="8"/>
        <v>1.4000000000000002E-3</v>
      </c>
      <c r="M55" s="2329"/>
      <c r="N55" s="2327"/>
      <c r="O55" s="2331">
        <f t="shared" si="9"/>
        <v>2E-3</v>
      </c>
      <c r="P55" t="s">
        <v>130</v>
      </c>
    </row>
    <row r="56" spans="2:16" hidden="1">
      <c r="B56" s="2325"/>
      <c r="C56" s="2257"/>
      <c r="D56" s="2257" t="s">
        <v>204</v>
      </c>
      <c r="E56" s="2257"/>
      <c r="F56" s="2301" t="e">
        <f>F13</f>
        <v>#DIV/0!</v>
      </c>
      <c r="G56" s="2257"/>
      <c r="H56" s="2301">
        <f>IF(OR($F$20=$R$6,$F$20=$U$6),CO2データ!I232,IF($F$20=$S$6,CO2データ!L232,CO2データ!O232))</f>
        <v>0.34200000000000003</v>
      </c>
      <c r="I56" s="2301">
        <f>IF(OR($F$20=$R$6,$F$20=$U$6),CO2データ!J232,IF($F$20=$S$6,CO2データ!M232,CO2データ!P232))</f>
        <v>0</v>
      </c>
      <c r="J56" s="2301">
        <f>IF(OR($F$20=$R$6,$F$20=$U$6),CO2データ!K232,IF($F$20=$S$6,CO2データ!N232,CO2データ!Q232))</f>
        <v>0</v>
      </c>
      <c r="K56" s="2329"/>
      <c r="L56" s="2327">
        <f t="shared" si="8"/>
        <v>0.2394</v>
      </c>
      <c r="M56" s="2329"/>
      <c r="N56" s="2327"/>
      <c r="O56" s="2331">
        <f t="shared" si="9"/>
        <v>0.34200000000000003</v>
      </c>
      <c r="P56" t="s">
        <v>200</v>
      </c>
    </row>
    <row r="57" spans="2:16" hidden="1">
      <c r="B57" s="2325"/>
      <c r="C57" s="2257"/>
      <c r="D57" s="2257"/>
      <c r="E57" s="2257"/>
      <c r="F57" s="2301" t="e">
        <f>$F$56</f>
        <v>#DIV/0!</v>
      </c>
      <c r="G57" s="2257"/>
      <c r="H57" s="2301">
        <f>IF(OR($F$20=$R$6,$F$20=$U$6),CO2データ!I233,IF($F$20=$S$6,CO2データ!L233,CO2データ!O233))</f>
        <v>0</v>
      </c>
      <c r="I57" s="2301">
        <f>IF(OR($F$20=$R$6,$F$20=$U$6),CO2データ!J233,IF($F$20=$S$6,CO2データ!M233,CO2データ!P233))</f>
        <v>0</v>
      </c>
      <c r="J57" s="2301">
        <f>IF(OR($F$20=$R$6,$F$20=$U$6),CO2データ!K233,IF($F$20=$S$6,CO2データ!N233,CO2データ!Q233))</f>
        <v>0.34200000000000003</v>
      </c>
      <c r="K57" s="2329"/>
      <c r="L57" s="2327">
        <f t="shared" si="8"/>
        <v>0</v>
      </c>
      <c r="M57" s="2329"/>
      <c r="N57" s="2327"/>
      <c r="O57" s="2331">
        <f t="shared" si="9"/>
        <v>0</v>
      </c>
      <c r="P57" t="s">
        <v>200</v>
      </c>
    </row>
    <row r="58" spans="2:16" hidden="1">
      <c r="B58" s="2325"/>
      <c r="C58" s="2257"/>
      <c r="D58" s="2257"/>
      <c r="E58" s="2257"/>
      <c r="F58" s="2301" t="e">
        <f>$F$56</f>
        <v>#DIV/0!</v>
      </c>
      <c r="G58" s="2257"/>
      <c r="H58" s="2301">
        <f>IF(OR($F$20=$R$6,$F$20=$U$6),CO2データ!I234,IF($F$20=$S$6,CO2データ!L234,CO2データ!O234))</f>
        <v>7.1999999999999995E-2</v>
      </c>
      <c r="I58" s="2301">
        <f>IF(OR($F$20=$R$6,$F$20=$U$6),CO2データ!J234,IF($F$20=$S$6,CO2データ!M234,CO2データ!P234))</f>
        <v>0</v>
      </c>
      <c r="J58" s="2301">
        <f>IF(OR($F$20=$R$6,$F$20=$U$6),CO2データ!K234,IF($F$20=$S$6,CO2データ!N234,CO2データ!Q234))</f>
        <v>7.1999999999999995E-2</v>
      </c>
      <c r="K58" s="2329"/>
      <c r="L58" s="2327">
        <f t="shared" si="8"/>
        <v>5.04E-2</v>
      </c>
      <c r="M58" s="2329"/>
      <c r="N58" s="2327"/>
      <c r="O58" s="2331">
        <f t="shared" si="9"/>
        <v>7.1999999999999995E-2</v>
      </c>
      <c r="P58" t="s">
        <v>130</v>
      </c>
    </row>
    <row r="59" spans="2:16" hidden="1">
      <c r="B59" s="2325"/>
      <c r="C59" s="2257"/>
      <c r="D59" s="2257"/>
      <c r="E59" s="2257"/>
      <c r="F59" s="2301" t="e">
        <f>$F$56</f>
        <v>#DIV/0!</v>
      </c>
      <c r="G59" s="2257"/>
      <c r="H59" s="2301">
        <f>IF(OR($F$20=$R$6,$F$20=$U$6),CO2データ!I235,IF($F$20=$S$6,CO2データ!L235,CO2データ!O235))</f>
        <v>0</v>
      </c>
      <c r="I59" s="2301">
        <f>IF(OR($F$20=$R$6,$F$20=$U$6),CO2データ!J235,IF($F$20=$S$6,CO2データ!M235,CO2データ!P235))</f>
        <v>0</v>
      </c>
      <c r="J59" s="2301">
        <f>IF(OR($F$20=$R$6,$F$20=$U$6),CO2データ!K235,IF($F$20=$S$6,CO2データ!N235,CO2データ!Q235))</f>
        <v>0</v>
      </c>
      <c r="K59" s="2329"/>
      <c r="L59" s="2327">
        <f t="shared" si="8"/>
        <v>0</v>
      </c>
      <c r="M59" s="2329"/>
      <c r="N59" s="2327"/>
      <c r="O59" s="2331">
        <f t="shared" si="9"/>
        <v>0</v>
      </c>
      <c r="P59" t="s">
        <v>130</v>
      </c>
    </row>
    <row r="60" spans="2:16" hidden="1">
      <c r="B60" s="2325"/>
      <c r="C60" s="2257"/>
      <c r="D60" s="2257"/>
      <c r="E60" s="2257"/>
      <c r="F60" s="2301" t="e">
        <f>$F$56</f>
        <v>#DIV/0!</v>
      </c>
      <c r="G60" s="2257"/>
      <c r="H60" s="2301">
        <f>IF(OR($F$20=$R$6,$F$20=$U$6),CO2データ!I236,IF($F$20=$S$6,CO2データ!L236,CO2データ!O236))</f>
        <v>2.4E-2</v>
      </c>
      <c r="I60" s="2301">
        <f>IF(OR($F$20=$R$6,$F$20=$U$6),CO2データ!J236,IF($F$20=$S$6,CO2データ!M236,CO2データ!P236))</f>
        <v>0</v>
      </c>
      <c r="J60" s="2301">
        <f>IF(OR($F$20=$R$6,$F$20=$U$6),CO2データ!K236,IF($F$20=$S$6,CO2データ!N236,CO2データ!Q236))</f>
        <v>2.4E-2</v>
      </c>
      <c r="K60" s="2329"/>
      <c r="L60" s="2327">
        <f t="shared" si="8"/>
        <v>1.6800000000000002E-2</v>
      </c>
      <c r="M60" s="2329"/>
      <c r="N60" s="2327"/>
      <c r="O60" s="2331">
        <f t="shared" si="9"/>
        <v>2.4E-2</v>
      </c>
      <c r="P60" t="s">
        <v>130</v>
      </c>
    </row>
    <row r="61" spans="2:16" hidden="1">
      <c r="B61" s="2325"/>
      <c r="C61" s="2257"/>
      <c r="D61" s="2257"/>
      <c r="E61" s="2257"/>
      <c r="F61" s="2301" t="e">
        <f>$F$56</f>
        <v>#DIV/0!</v>
      </c>
      <c r="G61" s="2257"/>
      <c r="H61" s="2301">
        <f>IF(OR($F$20=$R$6,$F$20=$U$6),CO2データ!I237,IF($F$20=$S$6,CO2データ!L237,CO2データ!O237))</f>
        <v>2E-3</v>
      </c>
      <c r="I61" s="2301">
        <f>IF(OR($F$20=$R$6,$F$20=$U$6),CO2データ!J237,IF($F$20=$S$6,CO2データ!M237,CO2データ!P237))</f>
        <v>0</v>
      </c>
      <c r="J61" s="2301">
        <f>IF(OR($F$20=$R$6,$F$20=$U$6),CO2データ!K237,IF($F$20=$S$6,CO2データ!N237,CO2データ!Q237))</f>
        <v>1.8600000000000001E-3</v>
      </c>
      <c r="K61" s="2329"/>
      <c r="L61" s="2327">
        <f t="shared" si="8"/>
        <v>1.4000000000000002E-3</v>
      </c>
      <c r="M61" s="2329"/>
      <c r="N61" s="2327"/>
      <c r="O61" s="2331">
        <f t="shared" si="9"/>
        <v>2E-3</v>
      </c>
      <c r="P61" t="s">
        <v>130</v>
      </c>
    </row>
    <row r="62" spans="2:16" hidden="1">
      <c r="B62" s="2325"/>
      <c r="C62" s="2257"/>
      <c r="D62" s="2257" t="s">
        <v>205</v>
      </c>
      <c r="E62" s="2257"/>
      <c r="F62" s="2301" t="e">
        <f>F14</f>
        <v>#DIV/0!</v>
      </c>
      <c r="G62" s="2257"/>
      <c r="H62" s="2301">
        <f>IF(OR($F$20=$R$6,$F$20=$U$6),CO2データ!I238,IF($F$20=$S$6,CO2データ!L238,CO2データ!O238))</f>
        <v>0.34499999999999997</v>
      </c>
      <c r="I62" s="2301">
        <f>IF(OR($F$20=$R$6,$F$20=$U$6),CO2データ!J238,IF($F$20=$S$6,CO2データ!M238,CO2データ!P238))</f>
        <v>0</v>
      </c>
      <c r="J62" s="2301">
        <f>IF(OR($F$20=$R$6,$F$20=$U$6),CO2データ!K238,IF($F$20=$S$6,CO2データ!N238,CO2データ!Q238))</f>
        <v>0</v>
      </c>
      <c r="K62" s="2329"/>
      <c r="L62" s="2327">
        <f t="shared" si="8"/>
        <v>0.24149999999999999</v>
      </c>
      <c r="M62" s="2329"/>
      <c r="N62" s="2327"/>
      <c r="O62" s="2331">
        <f t="shared" si="9"/>
        <v>0.34499999999999997</v>
      </c>
      <c r="P62" t="s">
        <v>200</v>
      </c>
    </row>
    <row r="63" spans="2:16" hidden="1">
      <c r="B63" s="2325"/>
      <c r="C63" s="2257"/>
      <c r="D63" s="2257"/>
      <c r="E63" s="2257"/>
      <c r="F63" s="2301" t="e">
        <f>$F$62</f>
        <v>#DIV/0!</v>
      </c>
      <c r="G63" s="2257"/>
      <c r="H63" s="2301">
        <f>IF(OR($F$20=$R$6,$F$20=$U$6),CO2データ!I239,IF($F$20=$S$6,CO2データ!L239,CO2データ!O239))</f>
        <v>0</v>
      </c>
      <c r="I63" s="2301">
        <f>IF(OR($F$20=$R$6,$F$20=$U$6),CO2データ!J239,IF($F$20=$S$6,CO2データ!M239,CO2データ!P239))</f>
        <v>0</v>
      </c>
      <c r="J63" s="2301">
        <f>IF(OR($F$20=$R$6,$F$20=$U$6),CO2データ!K239,IF($F$20=$S$6,CO2データ!N239,CO2データ!Q239))</f>
        <v>0.34499999999999997</v>
      </c>
      <c r="K63" s="2329"/>
      <c r="L63" s="2327">
        <f t="shared" si="8"/>
        <v>0</v>
      </c>
      <c r="M63" s="2329"/>
      <c r="N63" s="2327"/>
      <c r="O63" s="2331">
        <f t="shared" si="9"/>
        <v>0</v>
      </c>
      <c r="P63" t="s">
        <v>200</v>
      </c>
    </row>
    <row r="64" spans="2:16" hidden="1">
      <c r="B64" s="2325"/>
      <c r="C64" s="2257"/>
      <c r="D64" s="2257"/>
      <c r="E64" s="2257"/>
      <c r="F64" s="2301" t="e">
        <f>$F$62</f>
        <v>#DIV/0!</v>
      </c>
      <c r="G64" s="2257"/>
      <c r="H64" s="2301">
        <f>IF(OR($F$20=$R$6,$F$20=$U$6),CO2データ!I240,IF($F$20=$S$6,CO2データ!L240,CO2データ!O240))</f>
        <v>0.13900000000000001</v>
      </c>
      <c r="I64" s="2301">
        <f>IF(OR($F$20=$R$6,$F$20=$U$6),CO2データ!J240,IF($F$20=$S$6,CO2データ!M240,CO2データ!P240))</f>
        <v>0</v>
      </c>
      <c r="J64" s="2301">
        <f>IF(OR($F$20=$R$6,$F$20=$U$6),CO2データ!K240,IF($F$20=$S$6,CO2データ!N240,CO2データ!Q240))</f>
        <v>0.13900000000000001</v>
      </c>
      <c r="K64" s="2329"/>
      <c r="L64" s="2327">
        <f t="shared" si="8"/>
        <v>9.7300000000000011E-2</v>
      </c>
      <c r="M64" s="2329"/>
      <c r="N64" s="2327"/>
      <c r="O64" s="2331">
        <f t="shared" si="9"/>
        <v>0.13900000000000001</v>
      </c>
      <c r="P64" t="s">
        <v>130</v>
      </c>
    </row>
    <row r="65" spans="2:16" hidden="1">
      <c r="B65" s="2325"/>
      <c r="C65" s="2257"/>
      <c r="D65" s="2257"/>
      <c r="E65" s="2257"/>
      <c r="F65" s="2301" t="e">
        <f>$F$62</f>
        <v>#DIV/0!</v>
      </c>
      <c r="G65" s="2257"/>
      <c r="H65" s="2301">
        <f>IF(OR($F$20=$R$6,$F$20=$U$6),CO2データ!I241,IF($F$20=$S$6,CO2データ!L241,CO2データ!O241))</f>
        <v>0</v>
      </c>
      <c r="I65" s="2301">
        <f>IF(OR($F$20=$R$6,$F$20=$U$6),CO2データ!J241,IF($F$20=$S$6,CO2データ!M241,CO2データ!P241))</f>
        <v>0</v>
      </c>
      <c r="J65" s="2301">
        <f>IF(OR($F$20=$R$6,$F$20=$U$6),CO2データ!K241,IF($F$20=$S$6,CO2データ!N241,CO2データ!Q241))</f>
        <v>0</v>
      </c>
      <c r="K65" s="2329"/>
      <c r="L65" s="2327">
        <f t="shared" si="8"/>
        <v>0</v>
      </c>
      <c r="M65" s="2329"/>
      <c r="N65" s="2327"/>
      <c r="O65" s="2331">
        <f t="shared" si="9"/>
        <v>0</v>
      </c>
      <c r="P65" t="s">
        <v>130</v>
      </c>
    </row>
    <row r="66" spans="2:16" hidden="1">
      <c r="B66" s="2325"/>
      <c r="C66" s="2257"/>
      <c r="D66" s="2257"/>
      <c r="E66" s="2257"/>
      <c r="F66" s="2301" t="e">
        <f>$F$62</f>
        <v>#DIV/0!</v>
      </c>
      <c r="G66" s="2257"/>
      <c r="H66" s="2301">
        <f>IF(OR($F$20=$R$6,$F$20=$U$6),CO2データ!I242,IF($F$20=$S$6,CO2データ!L242,CO2データ!O242))</f>
        <v>0.04</v>
      </c>
      <c r="I66" s="2301">
        <f>IF(OR($F$20=$R$6,$F$20=$U$6),CO2データ!J242,IF($F$20=$S$6,CO2データ!M242,CO2データ!P242))</f>
        <v>0</v>
      </c>
      <c r="J66" s="2301">
        <f>IF(OR($F$20=$R$6,$F$20=$U$6),CO2データ!K242,IF($F$20=$S$6,CO2データ!N242,CO2データ!Q242))</f>
        <v>0.04</v>
      </c>
      <c r="K66" s="2329"/>
      <c r="L66" s="2327">
        <f t="shared" si="8"/>
        <v>2.8000000000000001E-2</v>
      </c>
      <c r="M66" s="2329"/>
      <c r="N66" s="2327"/>
      <c r="O66" s="2331">
        <f t="shared" si="9"/>
        <v>0.04</v>
      </c>
      <c r="P66" t="s">
        <v>130</v>
      </c>
    </row>
    <row r="67" spans="2:16" hidden="1">
      <c r="B67" s="2325"/>
      <c r="C67" s="2257"/>
      <c r="D67" s="2257"/>
      <c r="E67" s="2257"/>
      <c r="F67" s="2301" t="e">
        <f>$F$62</f>
        <v>#DIV/0!</v>
      </c>
      <c r="G67" s="2257"/>
      <c r="H67" s="2301">
        <f>IF(OR($F$20=$R$6,$F$20=$U$6),CO2データ!I243,IF($F$20=$S$6,CO2データ!L243,CO2データ!O243))</f>
        <v>4.0000000000000001E-3</v>
      </c>
      <c r="I67" s="2301">
        <f>IF(OR($F$20=$R$6,$F$20=$U$6),CO2データ!J243,IF($F$20=$S$6,CO2データ!M243,CO2データ!P243))</f>
        <v>0</v>
      </c>
      <c r="J67" s="2301">
        <f>IF(OR($F$20=$R$6,$F$20=$U$6),CO2データ!K243,IF($F$20=$S$6,CO2データ!N243,CO2データ!Q243))</f>
        <v>4.3499999999999997E-3</v>
      </c>
      <c r="K67" s="2329"/>
      <c r="L67" s="2327">
        <f t="shared" si="8"/>
        <v>2.8000000000000004E-3</v>
      </c>
      <c r="M67" s="2329"/>
      <c r="N67" s="2327"/>
      <c r="O67" s="2331">
        <f t="shared" si="9"/>
        <v>4.0000000000000001E-3</v>
      </c>
      <c r="P67" t="s">
        <v>130</v>
      </c>
    </row>
    <row r="68" spans="2:16" hidden="1">
      <c r="B68" s="2325"/>
      <c r="C68" s="2257"/>
      <c r="D68" s="2257" t="s">
        <v>535</v>
      </c>
      <c r="E68" s="2257"/>
      <c r="F68" s="2301" t="e">
        <f>F15</f>
        <v>#DIV/0!</v>
      </c>
      <c r="G68" s="2257"/>
      <c r="H68" s="2301">
        <f>IF(OR($F$20=$R$6,$F$20=$U$6),CO2データ!I244,IF($F$20=$S$6,CO2データ!L244,CO2データ!O244))</f>
        <v>0.35399999999999998</v>
      </c>
      <c r="I68" s="2301">
        <f>IF(OR($F$20=$R$6,$F$20=$U$6),CO2データ!J244,IF($F$20=$S$6,CO2データ!M244,CO2データ!P244))</f>
        <v>0</v>
      </c>
      <c r="J68" s="2301">
        <f>IF(OR($F$20=$R$6,$F$20=$U$6),CO2データ!K244,IF($F$20=$S$6,CO2データ!N244,CO2データ!Q244))</f>
        <v>0</v>
      </c>
      <c r="K68" s="2329"/>
      <c r="L68" s="2327">
        <f t="shared" si="8"/>
        <v>0.24779999999999999</v>
      </c>
      <c r="M68" s="2329"/>
      <c r="N68" s="2327"/>
      <c r="O68" s="2331">
        <f t="shared" si="9"/>
        <v>0.35399999999999998</v>
      </c>
      <c r="P68" t="s">
        <v>200</v>
      </c>
    </row>
    <row r="69" spans="2:16" hidden="1">
      <c r="B69" s="2325"/>
      <c r="C69" s="2257"/>
      <c r="D69" s="2257"/>
      <c r="E69" s="2257"/>
      <c r="F69" s="2301" t="e">
        <f>$F$68</f>
        <v>#DIV/0!</v>
      </c>
      <c r="G69" s="2257"/>
      <c r="H69" s="2301">
        <f>IF(OR($F$20=$R$6,$F$20=$U$6),CO2データ!I245,IF($F$20=$S$6,CO2データ!L245,CO2データ!O245))</f>
        <v>0</v>
      </c>
      <c r="I69" s="2301">
        <f>IF(OR($F$20=$R$6,$F$20=$U$6),CO2データ!J245,IF($F$20=$S$6,CO2データ!M245,CO2データ!P245))</f>
        <v>0</v>
      </c>
      <c r="J69" s="2301">
        <f>IF(OR($F$20=$R$6,$F$20=$U$6),CO2データ!K245,IF($F$20=$S$6,CO2データ!N245,CO2データ!Q245))</f>
        <v>0.35399999999999998</v>
      </c>
      <c r="K69" s="2329"/>
      <c r="L69" s="2327">
        <f t="shared" si="8"/>
        <v>0</v>
      </c>
      <c r="M69" s="2329"/>
      <c r="N69" s="2327"/>
      <c r="O69" s="2331">
        <f t="shared" si="9"/>
        <v>0</v>
      </c>
      <c r="P69" t="s">
        <v>200</v>
      </c>
    </row>
    <row r="70" spans="2:16" hidden="1">
      <c r="B70" s="2325"/>
      <c r="C70" s="2257"/>
      <c r="D70" s="2257"/>
      <c r="E70" s="2257"/>
      <c r="F70" s="2301" t="e">
        <f>$F$68</f>
        <v>#DIV/0!</v>
      </c>
      <c r="G70" s="2257"/>
      <c r="H70" s="2301">
        <f>IF(OR($F$20=$R$6,$F$20=$U$6),CO2データ!I246,IF($F$20=$S$6,CO2データ!L246,CO2データ!O246))</f>
        <v>8.7999999999999995E-2</v>
      </c>
      <c r="I70" s="2301">
        <f>IF(OR($F$20=$R$6,$F$20=$U$6),CO2データ!J246,IF($F$20=$S$6,CO2データ!M246,CO2データ!P246))</f>
        <v>0</v>
      </c>
      <c r="J70" s="2301">
        <f>IF(OR($F$20=$R$6,$F$20=$U$6),CO2データ!K246,IF($F$20=$S$6,CO2データ!N246,CO2データ!Q246))</f>
        <v>8.7999999999999995E-2</v>
      </c>
      <c r="K70" s="2329"/>
      <c r="L70" s="2327">
        <f t="shared" si="8"/>
        <v>6.1600000000000002E-2</v>
      </c>
      <c r="M70" s="2329"/>
      <c r="N70" s="2327"/>
      <c r="O70" s="2331">
        <f t="shared" si="9"/>
        <v>8.7999999999999995E-2</v>
      </c>
      <c r="P70" t="s">
        <v>130</v>
      </c>
    </row>
    <row r="71" spans="2:16" hidden="1">
      <c r="B71" s="2325"/>
      <c r="C71" s="2257"/>
      <c r="D71" s="2257"/>
      <c r="E71" s="2257"/>
      <c r="F71" s="2301" t="e">
        <f>$F$68</f>
        <v>#DIV/0!</v>
      </c>
      <c r="G71" s="2257"/>
      <c r="H71" s="2301">
        <f>IF(OR($F$20=$R$6,$F$20=$U$6),CO2データ!I247,IF($F$20=$S$6,CO2データ!L247,CO2データ!O247))</f>
        <v>0</v>
      </c>
      <c r="I71" s="2301">
        <f>IF(OR($F$20=$R$6,$F$20=$U$6),CO2データ!J247,IF($F$20=$S$6,CO2データ!M247,CO2データ!P247))</f>
        <v>0</v>
      </c>
      <c r="J71" s="2301">
        <f>IF(OR($F$20=$R$6,$F$20=$U$6),CO2データ!K247,IF($F$20=$S$6,CO2データ!N247,CO2データ!Q247))</f>
        <v>0</v>
      </c>
      <c r="K71" s="2329"/>
      <c r="L71" s="2327">
        <f t="shared" si="8"/>
        <v>0</v>
      </c>
      <c r="M71" s="2329"/>
      <c r="N71" s="2327"/>
      <c r="O71" s="2331">
        <f t="shared" si="9"/>
        <v>0</v>
      </c>
      <c r="P71" t="s">
        <v>130</v>
      </c>
    </row>
    <row r="72" spans="2:16" hidden="1">
      <c r="B72" s="2325"/>
      <c r="C72" s="2257"/>
      <c r="D72" s="2257"/>
      <c r="E72" s="2257"/>
      <c r="F72" s="2301" t="e">
        <f>$F$68</f>
        <v>#DIV/0!</v>
      </c>
      <c r="G72" s="2257"/>
      <c r="H72" s="2301">
        <f>IF(OR($F$20=$R$6,$F$20=$U$6),CO2データ!I248,IF($F$20=$S$6,CO2データ!L248,CO2データ!O248))</f>
        <v>3.1E-2</v>
      </c>
      <c r="I72" s="2301">
        <f>IF(OR($F$20=$R$6,$F$20=$U$6),CO2データ!J248,IF($F$20=$S$6,CO2データ!M248,CO2データ!P248))</f>
        <v>0</v>
      </c>
      <c r="J72" s="2301">
        <f>IF(OR($F$20=$R$6,$F$20=$U$6),CO2データ!K248,IF($F$20=$S$6,CO2データ!N248,CO2データ!Q248))</f>
        <v>3.1E-2</v>
      </c>
      <c r="K72" s="2329"/>
      <c r="L72" s="2327">
        <f t="shared" si="8"/>
        <v>2.1700000000000001E-2</v>
      </c>
      <c r="M72" s="2329"/>
      <c r="N72" s="2327"/>
      <c r="O72" s="2331">
        <f t="shared" si="9"/>
        <v>3.1E-2</v>
      </c>
      <c r="P72" t="s">
        <v>130</v>
      </c>
    </row>
    <row r="73" spans="2:16" hidden="1">
      <c r="B73" s="2325"/>
      <c r="C73" s="2257"/>
      <c r="D73" s="2257"/>
      <c r="E73" s="2257"/>
      <c r="F73" s="2301" t="e">
        <f>$F$68</f>
        <v>#DIV/0!</v>
      </c>
      <c r="G73" s="2257"/>
      <c r="H73" s="2301">
        <f>IF(OR($F$20=$R$6,$F$20=$U$6),CO2データ!I249,IF($F$20=$S$6,CO2データ!L249,CO2データ!O249))</f>
        <v>2E-3</v>
      </c>
      <c r="I73" s="2301">
        <f>IF(OR($F$20=$R$6,$F$20=$U$6),CO2データ!J249,IF($F$20=$S$6,CO2データ!M249,CO2データ!P249))</f>
        <v>0</v>
      </c>
      <c r="J73" s="2301">
        <f>IF(OR($F$20=$R$6,$F$20=$U$6),CO2データ!K249,IF($F$20=$S$6,CO2データ!N249,CO2データ!Q249))</f>
        <v>2.0999999999999999E-3</v>
      </c>
      <c r="K73" s="2329"/>
      <c r="L73" s="2327">
        <f t="shared" si="8"/>
        <v>1.4000000000000002E-3</v>
      </c>
      <c r="M73" s="2329"/>
      <c r="N73" s="2327"/>
      <c r="O73" s="2331">
        <f t="shared" si="9"/>
        <v>2E-3</v>
      </c>
      <c r="P73" t="s">
        <v>130</v>
      </c>
    </row>
    <row r="74" spans="2:16" hidden="1">
      <c r="B74" s="2325"/>
      <c r="C74" s="2257"/>
      <c r="D74" s="2257" t="s">
        <v>206</v>
      </c>
      <c r="E74" s="2257"/>
      <c r="F74" s="2301" t="e">
        <f>F16</f>
        <v>#DIV/0!</v>
      </c>
      <c r="G74" s="2257"/>
      <c r="H74" s="2301">
        <f>IF(OR($F$20=$R$6,$F$20=$U$6),CO2データ!I250,IF($F$20=$S$6,CO2データ!L250,CO2データ!O250))</f>
        <v>0.317</v>
      </c>
      <c r="I74" s="2301">
        <f>IF(OR($F$20=$R$6,$F$20=$U$6),CO2データ!J250,IF($F$20=$S$6,CO2データ!M250,CO2データ!P250))</f>
        <v>0</v>
      </c>
      <c r="J74" s="2301">
        <f>IF(OR($F$20=$R$6,$F$20=$U$6),CO2データ!K250,IF($F$20=$S$6,CO2データ!N250,CO2データ!Q250))</f>
        <v>0</v>
      </c>
      <c r="K74" s="2329"/>
      <c r="L74" s="2327">
        <f t="shared" si="8"/>
        <v>0.22189999999999999</v>
      </c>
      <c r="M74" s="2329"/>
      <c r="N74" s="2327"/>
      <c r="O74" s="2331">
        <f t="shared" si="9"/>
        <v>0.317</v>
      </c>
      <c r="P74" t="s">
        <v>200</v>
      </c>
    </row>
    <row r="75" spans="2:16" hidden="1">
      <c r="B75" s="2325"/>
      <c r="C75" s="2257"/>
      <c r="D75" s="2257"/>
      <c r="E75" s="2257"/>
      <c r="F75" s="2301" t="e">
        <f>$F$74</f>
        <v>#DIV/0!</v>
      </c>
      <c r="G75" s="2257"/>
      <c r="H75" s="2301">
        <f>IF(OR($F$20=$R$6,$F$20=$U$6),CO2データ!I251,IF($F$20=$S$6,CO2データ!L251,CO2データ!O251))</f>
        <v>0</v>
      </c>
      <c r="I75" s="2301">
        <f>IF(OR($F$20=$R$6,$F$20=$U$6),CO2データ!J251,IF($F$20=$S$6,CO2データ!M251,CO2データ!P251))</f>
        <v>0</v>
      </c>
      <c r="J75" s="2301">
        <f>IF(OR($F$20=$R$6,$F$20=$U$6),CO2データ!K251,IF($F$20=$S$6,CO2データ!N251,CO2データ!Q251))</f>
        <v>0.317</v>
      </c>
      <c r="K75" s="2329"/>
      <c r="L75" s="2327">
        <f t="shared" si="8"/>
        <v>0</v>
      </c>
      <c r="M75" s="2329"/>
      <c r="N75" s="2327"/>
      <c r="O75" s="2331">
        <f t="shared" si="9"/>
        <v>0</v>
      </c>
      <c r="P75" t="s">
        <v>200</v>
      </c>
    </row>
    <row r="76" spans="2:16" hidden="1">
      <c r="B76" s="2325"/>
      <c r="C76" s="2257"/>
      <c r="D76" s="2257"/>
      <c r="E76" s="2257"/>
      <c r="F76" s="2301" t="e">
        <f>$F$74</f>
        <v>#DIV/0!</v>
      </c>
      <c r="G76" s="2257"/>
      <c r="H76" s="2301">
        <f>IF(OR($F$20=$R$6,$F$20=$U$6),CO2データ!I252,IF($F$20=$S$6,CO2データ!L252,CO2データ!O252))</f>
        <v>7.3999999999999996E-2</v>
      </c>
      <c r="I76" s="2301">
        <f>IF(OR($F$20=$R$6,$F$20=$U$6),CO2データ!J252,IF($F$20=$S$6,CO2データ!M252,CO2データ!P252))</f>
        <v>0</v>
      </c>
      <c r="J76" s="2301">
        <f>IF(OR($F$20=$R$6,$F$20=$U$6),CO2データ!K252,IF($F$20=$S$6,CO2データ!N252,CO2データ!Q252))</f>
        <v>7.3999999999999996E-2</v>
      </c>
      <c r="K76" s="2329"/>
      <c r="L76" s="2327">
        <f t="shared" si="8"/>
        <v>5.1799999999999999E-2</v>
      </c>
      <c r="M76" s="2329"/>
      <c r="N76" s="2327"/>
      <c r="O76" s="2331">
        <f t="shared" si="9"/>
        <v>7.3999999999999996E-2</v>
      </c>
      <c r="P76" t="s">
        <v>130</v>
      </c>
    </row>
    <row r="77" spans="2:16" hidden="1">
      <c r="B77" s="2325"/>
      <c r="C77" s="2257"/>
      <c r="D77" s="2257"/>
      <c r="E77" s="2257"/>
      <c r="F77" s="2301" t="e">
        <f>$F$74</f>
        <v>#DIV/0!</v>
      </c>
      <c r="G77" s="2257"/>
      <c r="H77" s="2301">
        <f>IF(OR($F$20=$R$6,$F$20=$U$6),CO2データ!I253,IF($F$20=$S$6,CO2データ!L253,CO2データ!O253))</f>
        <v>0</v>
      </c>
      <c r="I77" s="2301">
        <f>IF(OR($F$20=$R$6,$F$20=$U$6),CO2データ!J253,IF($F$20=$S$6,CO2データ!M253,CO2データ!P253))</f>
        <v>0</v>
      </c>
      <c r="J77" s="2301">
        <f>IF(OR($F$20=$R$6,$F$20=$U$6),CO2データ!K253,IF($F$20=$S$6,CO2データ!N253,CO2データ!Q253))</f>
        <v>0</v>
      </c>
      <c r="K77" s="2329"/>
      <c r="L77" s="2327">
        <f t="shared" si="8"/>
        <v>0</v>
      </c>
      <c r="M77" s="2329"/>
      <c r="N77" s="2327"/>
      <c r="O77" s="2331">
        <f t="shared" si="9"/>
        <v>0</v>
      </c>
      <c r="P77" t="s">
        <v>130</v>
      </c>
    </row>
    <row r="78" spans="2:16" hidden="1">
      <c r="B78" s="2325"/>
      <c r="C78" s="2257"/>
      <c r="D78" s="2257"/>
      <c r="E78" s="2257"/>
      <c r="F78" s="2301" t="e">
        <f>$F$74</f>
        <v>#DIV/0!</v>
      </c>
      <c r="G78" s="2257"/>
      <c r="H78" s="2301">
        <f>IF(OR($F$20=$R$6,$F$20=$U$6),CO2データ!I254,IF($F$20=$S$6,CO2データ!L254,CO2データ!O254))</f>
        <v>3.4000000000000002E-2</v>
      </c>
      <c r="I78" s="2301">
        <f>IF(OR($F$20=$R$6,$F$20=$U$6),CO2データ!J254,IF($F$20=$S$6,CO2データ!M254,CO2データ!P254))</f>
        <v>0</v>
      </c>
      <c r="J78" s="2301">
        <f>IF(OR($F$20=$R$6,$F$20=$U$6),CO2データ!K254,IF($F$20=$S$6,CO2データ!N254,CO2データ!Q254))</f>
        <v>3.4000000000000002E-2</v>
      </c>
      <c r="K78" s="2329"/>
      <c r="L78" s="2327">
        <f t="shared" si="8"/>
        <v>2.3800000000000002E-2</v>
      </c>
      <c r="M78" s="2329"/>
      <c r="N78" s="2327"/>
      <c r="O78" s="2331">
        <f t="shared" si="9"/>
        <v>3.4000000000000002E-2</v>
      </c>
      <c r="P78" t="s">
        <v>130</v>
      </c>
    </row>
    <row r="79" spans="2:16" hidden="1">
      <c r="B79" s="2325"/>
      <c r="C79" s="2257"/>
      <c r="D79" s="2257"/>
      <c r="E79" s="2257"/>
      <c r="F79" s="2301" t="e">
        <f>$F$74</f>
        <v>#DIV/0!</v>
      </c>
      <c r="G79" s="2257"/>
      <c r="H79" s="2301">
        <f>IF(OR($F$20=$R$6,$F$20=$U$6),CO2データ!I255,IF($F$20=$S$6,CO2データ!L255,CO2データ!O255))</f>
        <v>2E-3</v>
      </c>
      <c r="I79" s="2301">
        <f>IF(OR($F$20=$R$6,$F$20=$U$6),CO2データ!J255,IF($F$20=$S$6,CO2データ!M255,CO2データ!P255))</f>
        <v>0</v>
      </c>
      <c r="J79" s="2301">
        <f>IF(OR($F$20=$R$6,$F$20=$U$6),CO2データ!K255,IF($F$20=$S$6,CO2データ!N255,CO2データ!Q255))</f>
        <v>2E-3</v>
      </c>
      <c r="K79" s="2329"/>
      <c r="L79" s="2327">
        <f t="shared" si="8"/>
        <v>1.4000000000000002E-3</v>
      </c>
      <c r="M79" s="2329"/>
      <c r="N79" s="2327"/>
      <c r="O79" s="2331">
        <f t="shared" si="9"/>
        <v>2E-3</v>
      </c>
      <c r="P79" t="s">
        <v>130</v>
      </c>
    </row>
    <row r="80" spans="2:16" hidden="1">
      <c r="B80" s="2325"/>
      <c r="C80" s="2257"/>
      <c r="D80" s="2257" t="s">
        <v>1393</v>
      </c>
      <c r="E80" s="2257"/>
      <c r="F80" s="2301" t="e">
        <f>F17</f>
        <v>#DIV/0!</v>
      </c>
      <c r="G80" s="2257"/>
      <c r="H80" s="2301">
        <f>IF(OR($F$20=$R$6,$F$20=$U$6),CO2データ!I256,IF($F$20=$S$6,CO2データ!L256,CO2データ!O256))</f>
        <v>0.436</v>
      </c>
      <c r="I80" s="2301">
        <f>IF(OR($F$20=$R$6,$F$20=$U$6),CO2データ!J256,IF($F$20=$S$6,CO2データ!M256,CO2データ!P256))</f>
        <v>0</v>
      </c>
      <c r="J80" s="2301">
        <f>IF(OR($F$20=$R$6,$F$20=$U$6),CO2データ!K256,IF($F$20=$S$6,CO2データ!N256,CO2データ!Q256))</f>
        <v>0</v>
      </c>
      <c r="K80" s="2329"/>
      <c r="L80" s="2327">
        <f t="shared" si="8"/>
        <v>0.30520000000000003</v>
      </c>
      <c r="M80" s="2329"/>
      <c r="N80" s="2327"/>
      <c r="O80" s="2331">
        <f t="shared" si="9"/>
        <v>0.436</v>
      </c>
      <c r="P80" t="s">
        <v>200</v>
      </c>
    </row>
    <row r="81" spans="2:16" hidden="1">
      <c r="B81" s="2325"/>
      <c r="C81" s="2257"/>
      <c r="D81" s="2257"/>
      <c r="E81" s="2257"/>
      <c r="F81" s="2301" t="e">
        <f>$F$80</f>
        <v>#DIV/0!</v>
      </c>
      <c r="G81" s="2257"/>
      <c r="H81" s="2301">
        <f>IF(OR($F$20=$R$6,$F$20=$U$6),CO2データ!I257,IF($F$20=$S$6,CO2データ!L257,CO2データ!O257))</f>
        <v>0</v>
      </c>
      <c r="I81" s="2301">
        <f>IF(OR($F$20=$R$6,$F$20=$U$6),CO2データ!J257,IF($F$20=$S$6,CO2データ!M257,CO2データ!P257))</f>
        <v>0</v>
      </c>
      <c r="J81" s="2301">
        <f>IF(OR($F$20=$R$6,$F$20=$U$6),CO2データ!K257,IF($F$20=$S$6,CO2データ!N257,CO2データ!Q257))</f>
        <v>0.436</v>
      </c>
      <c r="K81" s="2329"/>
      <c r="L81" s="2327">
        <f t="shared" si="8"/>
        <v>0</v>
      </c>
      <c r="M81" s="2329"/>
      <c r="N81" s="2327"/>
      <c r="O81" s="2331">
        <f t="shared" si="9"/>
        <v>0</v>
      </c>
      <c r="P81" t="s">
        <v>200</v>
      </c>
    </row>
    <row r="82" spans="2:16" hidden="1">
      <c r="B82" s="2325"/>
      <c r="C82" s="2257"/>
      <c r="D82" s="2257"/>
      <c r="E82" s="2257"/>
      <c r="F82" s="2301" t="e">
        <f>$F$80</f>
        <v>#DIV/0!</v>
      </c>
      <c r="G82" s="2257"/>
      <c r="H82" s="2301">
        <f>IF(OR($F$20=$R$6,$F$20=$U$6),CO2データ!I258,IF($F$20=$S$6,CO2データ!L258,CO2データ!O258))</f>
        <v>0.10299999999999999</v>
      </c>
      <c r="I82" s="2301">
        <f>IF(OR($F$20=$R$6,$F$20=$U$6),CO2データ!J258,IF($F$20=$S$6,CO2データ!M258,CO2データ!P258))</f>
        <v>0</v>
      </c>
      <c r="J82" s="2301">
        <f>IF(OR($F$20=$R$6,$F$20=$U$6),CO2データ!K258,IF($F$20=$S$6,CO2データ!N258,CO2データ!Q258))</f>
        <v>0.10299999999999999</v>
      </c>
      <c r="K82" s="2329"/>
      <c r="L82" s="2327">
        <f t="shared" si="8"/>
        <v>7.2099999999999997E-2</v>
      </c>
      <c r="M82" s="2329"/>
      <c r="N82" s="2327"/>
      <c r="O82" s="2331">
        <f t="shared" si="9"/>
        <v>0.10299999999999999</v>
      </c>
      <c r="P82" t="s">
        <v>130</v>
      </c>
    </row>
    <row r="83" spans="2:16" hidden="1">
      <c r="B83" s="2325"/>
      <c r="C83" s="2257"/>
      <c r="D83" s="2257"/>
      <c r="E83" s="2257"/>
      <c r="F83" s="2301" t="e">
        <f>$F$80</f>
        <v>#DIV/0!</v>
      </c>
      <c r="G83" s="2257"/>
      <c r="H83" s="2301">
        <f>IF(OR($F$20=$R$6,$F$20=$U$6),CO2データ!I259,IF($F$20=$S$6,CO2データ!L259,CO2データ!O259))</f>
        <v>0</v>
      </c>
      <c r="I83" s="2301">
        <f>IF(OR($F$20=$R$6,$F$20=$U$6),CO2データ!J259,IF($F$20=$S$6,CO2データ!M259,CO2データ!P259))</f>
        <v>0</v>
      </c>
      <c r="J83" s="2301">
        <f>IF(OR($F$20=$R$6,$F$20=$U$6),CO2データ!K259,IF($F$20=$S$6,CO2データ!N259,CO2データ!Q259))</f>
        <v>0</v>
      </c>
      <c r="K83" s="2329"/>
      <c r="L83" s="2327">
        <f t="shared" si="8"/>
        <v>0</v>
      </c>
      <c r="M83" s="2329"/>
      <c r="N83" s="2327"/>
      <c r="O83" s="2331">
        <f t="shared" si="9"/>
        <v>0</v>
      </c>
      <c r="P83" t="s">
        <v>130</v>
      </c>
    </row>
    <row r="84" spans="2:16" hidden="1">
      <c r="B84" s="2325"/>
      <c r="C84" s="2257"/>
      <c r="D84" s="2257"/>
      <c r="E84" s="2257"/>
      <c r="F84" s="2301" t="e">
        <f>$F$80</f>
        <v>#DIV/0!</v>
      </c>
      <c r="G84" s="2257"/>
      <c r="H84" s="2301">
        <f>IF(OR($F$20=$R$6,$F$20=$U$6),CO2データ!I260,IF($F$20=$S$6,CO2データ!L260,CO2データ!O260))</f>
        <v>3.4000000000000002E-2</v>
      </c>
      <c r="I84" s="2301">
        <f>IF(OR($F$20=$R$6,$F$20=$U$6),CO2データ!J260,IF($F$20=$S$6,CO2データ!M260,CO2データ!P260))</f>
        <v>0</v>
      </c>
      <c r="J84" s="2301">
        <f>IF(OR($F$20=$R$6,$F$20=$U$6),CO2データ!K260,IF($F$20=$S$6,CO2データ!N260,CO2データ!Q260))</f>
        <v>3.4000000000000002E-2</v>
      </c>
      <c r="K84" s="2329"/>
      <c r="L84" s="2327">
        <f t="shared" si="8"/>
        <v>2.3800000000000002E-2</v>
      </c>
      <c r="M84" s="2329"/>
      <c r="N84" s="2327"/>
      <c r="O84" s="2331">
        <f t="shared" si="9"/>
        <v>3.4000000000000002E-2</v>
      </c>
      <c r="P84" t="s">
        <v>130</v>
      </c>
    </row>
    <row r="85" spans="2:16" hidden="1">
      <c r="B85" s="2325"/>
      <c r="C85" s="2257"/>
      <c r="D85" s="2257"/>
      <c r="E85" s="2257"/>
      <c r="F85" s="2301" t="e">
        <f>$F$80</f>
        <v>#DIV/0!</v>
      </c>
      <c r="G85" s="2257"/>
      <c r="H85" s="2301">
        <f>IF(OR($F$20=$R$6,$F$20=$U$6),CO2データ!I261,IF($F$20=$S$6,CO2データ!L261,CO2データ!O261))</f>
        <v>5.0000000000000001E-3</v>
      </c>
      <c r="I85" s="2301">
        <f>IF(OR($F$20=$R$6,$F$20=$U$6),CO2データ!J261,IF($F$20=$S$6,CO2データ!M261,CO2データ!P261))</f>
        <v>0</v>
      </c>
      <c r="J85" s="2301">
        <f>IF(OR($F$20=$R$6,$F$20=$U$6),CO2データ!K261,IF($F$20=$S$6,CO2データ!N261,CO2データ!Q261))</f>
        <v>4.7099999999999998E-3</v>
      </c>
      <c r="K85" s="2329"/>
      <c r="L85" s="2327">
        <f t="shared" si="8"/>
        <v>3.5000000000000001E-3</v>
      </c>
      <c r="M85" s="2329"/>
      <c r="N85" s="2327"/>
      <c r="O85" s="2331">
        <f t="shared" si="9"/>
        <v>5.0000000000000001E-3</v>
      </c>
      <c r="P85" t="s">
        <v>130</v>
      </c>
    </row>
    <row r="86" spans="2:16" hidden="1">
      <c r="B86" s="2325"/>
      <c r="C86" s="2257"/>
      <c r="D86" s="2257" t="s">
        <v>816</v>
      </c>
      <c r="E86" s="2257"/>
      <c r="F86" s="2301" t="e">
        <f>F18</f>
        <v>#DIV/0!</v>
      </c>
      <c r="G86" s="2257"/>
      <c r="H86" s="2301">
        <f>IF(OR($F$20=$R$6,$F$20=$U$6),CO2データ!I262,IF($F$20=$S$6,CO2データ!L262,CO2データ!O262))</f>
        <v>0.32300000000000001</v>
      </c>
      <c r="I86" s="2301">
        <f>IF(OR($F$20=$R$6,$F$20=$U$6),CO2データ!J262,IF($F$20=$S$6,CO2データ!M262,CO2データ!P262))</f>
        <v>0</v>
      </c>
      <c r="J86" s="2301">
        <f>IF(OR($F$20=$R$6,$F$20=$U$6),CO2データ!K262,IF($F$20=$S$6,CO2データ!N262,CO2データ!Q262))</f>
        <v>0</v>
      </c>
      <c r="K86" s="2329"/>
      <c r="L86" s="2327">
        <f t="shared" si="8"/>
        <v>0.22610000000000002</v>
      </c>
      <c r="M86" s="2329"/>
      <c r="N86" s="2327"/>
      <c r="O86" s="2331">
        <f t="shared" si="9"/>
        <v>0.32300000000000001</v>
      </c>
      <c r="P86" t="s">
        <v>200</v>
      </c>
    </row>
    <row r="87" spans="2:16" hidden="1">
      <c r="B87" s="2325"/>
      <c r="C87" s="2257"/>
      <c r="D87" s="2257"/>
      <c r="E87" s="2257"/>
      <c r="F87" s="2301" t="e">
        <f>$F$86</f>
        <v>#DIV/0!</v>
      </c>
      <c r="G87" s="2257"/>
      <c r="H87" s="2301">
        <f>IF(OR($F$20=$R$6,$F$20=$U$6),CO2データ!I263,IF($F$20=$S$6,CO2データ!L263,CO2データ!O263))</f>
        <v>0</v>
      </c>
      <c r="I87" s="2301">
        <f>IF(OR($F$20=$R$6,$F$20=$U$6),CO2データ!J263,IF($F$20=$S$6,CO2データ!M263,CO2データ!P263))</f>
        <v>0</v>
      </c>
      <c r="J87" s="2301">
        <f>IF(OR($F$20=$R$6,$F$20=$U$6),CO2データ!K263,IF($F$20=$S$6,CO2データ!N263,CO2データ!Q263))</f>
        <v>0.32300000000000001</v>
      </c>
      <c r="K87" s="2329"/>
      <c r="L87" s="2327">
        <f t="shared" si="8"/>
        <v>0</v>
      </c>
      <c r="M87" s="2329"/>
      <c r="N87" s="2327"/>
      <c r="O87" s="2331">
        <f t="shared" si="9"/>
        <v>0</v>
      </c>
      <c r="P87" t="s">
        <v>200</v>
      </c>
    </row>
    <row r="88" spans="2:16" hidden="1">
      <c r="B88" s="2325"/>
      <c r="C88" s="2257"/>
      <c r="D88" s="2257"/>
      <c r="E88" s="2257"/>
      <c r="F88" s="2301" t="e">
        <f>$F$86</f>
        <v>#DIV/0!</v>
      </c>
      <c r="G88" s="2257"/>
      <c r="H88" s="2301">
        <f>IF(OR($F$20=$R$6,$F$20=$U$6),CO2データ!I264,IF($F$20=$S$6,CO2データ!L264,CO2データ!O264))</f>
        <v>4.8000000000000001E-2</v>
      </c>
      <c r="I88" s="2301">
        <f>IF(OR($F$20=$R$6,$F$20=$U$6),CO2データ!J264,IF($F$20=$S$6,CO2データ!M264,CO2データ!P264))</f>
        <v>0</v>
      </c>
      <c r="J88" s="2301">
        <f>IF(OR($F$20=$R$6,$F$20=$U$6),CO2データ!K264,IF($F$20=$S$6,CO2データ!N264,CO2データ!Q264))</f>
        <v>4.8000000000000001E-2</v>
      </c>
      <c r="K88" s="2329"/>
      <c r="L88" s="2327">
        <f t="shared" si="8"/>
        <v>3.3600000000000005E-2</v>
      </c>
      <c r="M88" s="2329"/>
      <c r="N88" s="2327"/>
      <c r="O88" s="2331">
        <f t="shared" si="9"/>
        <v>4.8000000000000001E-2</v>
      </c>
      <c r="P88" t="s">
        <v>130</v>
      </c>
    </row>
    <row r="89" spans="2:16" hidden="1">
      <c r="B89" s="2325"/>
      <c r="C89" s="2257"/>
      <c r="D89" s="2257"/>
      <c r="E89" s="2257"/>
      <c r="F89" s="2301" t="e">
        <f>$F$86</f>
        <v>#DIV/0!</v>
      </c>
      <c r="G89" s="2257"/>
      <c r="H89" s="2301">
        <f>IF(OR($F$20=$R$6,$F$20=$U$6),CO2データ!I265,IF($F$20=$S$6,CO2データ!L265,CO2データ!O265))</f>
        <v>0</v>
      </c>
      <c r="I89" s="2301">
        <f>IF(OR($F$20=$R$6,$F$20=$U$6),CO2データ!J265,IF($F$20=$S$6,CO2データ!M265,CO2データ!P265))</f>
        <v>0</v>
      </c>
      <c r="J89" s="2301">
        <f>IF(OR($F$20=$R$6,$F$20=$U$6),CO2データ!K265,IF($F$20=$S$6,CO2データ!N265,CO2データ!Q265))</f>
        <v>0</v>
      </c>
      <c r="K89" s="2329"/>
      <c r="L89" s="2327">
        <f t="shared" si="8"/>
        <v>0</v>
      </c>
      <c r="M89" s="2329"/>
      <c r="N89" s="2327"/>
      <c r="O89" s="2331">
        <f t="shared" si="9"/>
        <v>0</v>
      </c>
      <c r="P89" t="s">
        <v>130</v>
      </c>
    </row>
    <row r="90" spans="2:16" hidden="1">
      <c r="B90" s="2325"/>
      <c r="C90" s="2257"/>
      <c r="D90" s="2257"/>
      <c r="E90" s="2257"/>
      <c r="F90" s="2301" t="e">
        <f>$F$86</f>
        <v>#DIV/0!</v>
      </c>
      <c r="G90" s="2257"/>
      <c r="H90" s="2301">
        <f>IF(OR($F$20=$R$6,$F$20=$U$6),CO2データ!I266,IF($F$20=$S$6,CO2データ!L266,CO2データ!O266))</f>
        <v>1.9E-2</v>
      </c>
      <c r="I90" s="2301">
        <f>IF(OR($F$20=$R$6,$F$20=$U$6),CO2データ!J266,IF($F$20=$S$6,CO2データ!M266,CO2データ!P266))</f>
        <v>0</v>
      </c>
      <c r="J90" s="2301">
        <f>IF(OR($F$20=$R$6,$F$20=$U$6),CO2データ!K266,IF($F$20=$S$6,CO2データ!N266,CO2データ!Q266))</f>
        <v>1.9E-2</v>
      </c>
      <c r="K90" s="2329"/>
      <c r="L90" s="2327">
        <f t="shared" si="8"/>
        <v>1.3299999999999999E-2</v>
      </c>
      <c r="M90" s="2329"/>
      <c r="N90" s="2327"/>
      <c r="O90" s="2331">
        <f t="shared" si="9"/>
        <v>1.9E-2</v>
      </c>
      <c r="P90" t="s">
        <v>130</v>
      </c>
    </row>
    <row r="91" spans="2:16" hidden="1">
      <c r="B91" s="2325"/>
      <c r="C91" s="2257"/>
      <c r="D91" s="2257"/>
      <c r="E91" s="2257"/>
      <c r="F91" s="2301" t="e">
        <f>$F$86</f>
        <v>#DIV/0!</v>
      </c>
      <c r="G91" s="2257"/>
      <c r="H91" s="2301">
        <f>IF(OR($F$20=$R$6,$F$20=$U$6),CO2データ!I267,IF($F$20=$S$6,CO2データ!L267,CO2データ!O267))</f>
        <v>2E-3</v>
      </c>
      <c r="I91" s="2301">
        <f>IF(OR($F$20=$R$6,$F$20=$U$6),CO2データ!J267,IF($F$20=$S$6,CO2データ!M267,CO2データ!P267))</f>
        <v>0</v>
      </c>
      <c r="J91" s="2301">
        <f>IF(OR($F$20=$R$6,$F$20=$U$6),CO2データ!K267,IF($F$20=$S$6,CO2データ!N267,CO2データ!Q267))</f>
        <v>1.98E-3</v>
      </c>
      <c r="K91" s="2329"/>
      <c r="L91" s="2327">
        <f t="shared" si="8"/>
        <v>1.4000000000000002E-3</v>
      </c>
      <c r="M91" s="2329"/>
      <c r="N91" s="2327"/>
      <c r="O91" s="2331">
        <f t="shared" si="9"/>
        <v>2E-3</v>
      </c>
      <c r="P91" t="s">
        <v>130</v>
      </c>
    </row>
    <row r="92" spans="2:16" ht="14.25" hidden="1" thickBot="1">
      <c r="B92" s="2314"/>
      <c r="C92" s="2205"/>
      <c r="D92" s="2205"/>
      <c r="E92" s="2205"/>
      <c r="F92" s="2205"/>
      <c r="G92" s="2205"/>
      <c r="H92" s="2205"/>
      <c r="I92" s="2205"/>
      <c r="J92" s="2205"/>
      <c r="K92" s="2205"/>
      <c r="L92" s="2205"/>
      <c r="M92" s="2205"/>
      <c r="N92" s="2205"/>
      <c r="O92" s="2206"/>
    </row>
    <row r="93" spans="2:16" hidden="1">
      <c r="B93" s="2325"/>
      <c r="C93" s="2257" t="s">
        <v>1394</v>
      </c>
      <c r="D93" s="2257" t="s">
        <v>537</v>
      </c>
      <c r="E93" s="2257"/>
      <c r="F93" s="2205"/>
      <c r="G93" s="2205"/>
      <c r="H93" s="2205"/>
      <c r="I93" s="2205"/>
      <c r="J93" s="2205"/>
      <c r="K93" s="2329"/>
      <c r="L93" s="2332" t="e">
        <f t="shared" ref="L93:L98" si="10">$F38*L38+$F44*L44+$F50*L50+$F56*L56+$F62*L62+$F68*L68+$F74*L74+$F80*L80+$F86*L86</f>
        <v>#DIV/0!</v>
      </c>
      <c r="M93" s="2329"/>
      <c r="N93" s="2333"/>
      <c r="O93" s="2332" t="e">
        <f t="shared" ref="O93:O98" si="11">$F38*O38+$F44*O44+$F50*O50+$F56*O56+$F62*O62+$F68*O68+$F74*O74+$F80*O80+$F86*O86</f>
        <v>#DIV/0!</v>
      </c>
      <c r="P93" t="s">
        <v>200</v>
      </c>
    </row>
    <row r="94" spans="2:16" hidden="1">
      <c r="B94" s="2325"/>
      <c r="C94" s="2257"/>
      <c r="D94" s="2257"/>
      <c r="E94" s="2257"/>
      <c r="F94" s="2205"/>
      <c r="G94" s="2205"/>
      <c r="H94" s="2205"/>
      <c r="I94" s="2205"/>
      <c r="J94" s="2205"/>
      <c r="K94" s="2329"/>
      <c r="L94" s="2334" t="e">
        <f t="shared" si="10"/>
        <v>#DIV/0!</v>
      </c>
      <c r="M94" s="2329"/>
      <c r="N94" s="2333"/>
      <c r="O94" s="2334" t="e">
        <f t="shared" si="11"/>
        <v>#DIV/0!</v>
      </c>
      <c r="P94" t="s">
        <v>200</v>
      </c>
    </row>
    <row r="95" spans="2:16" hidden="1">
      <c r="B95" s="2325"/>
      <c r="C95" s="2257"/>
      <c r="D95" s="2257"/>
      <c r="E95" s="2257"/>
      <c r="F95" s="2205"/>
      <c r="G95" s="2205"/>
      <c r="H95" s="2205"/>
      <c r="I95" s="2205"/>
      <c r="J95" s="2205"/>
      <c r="K95" s="2329"/>
      <c r="L95" s="2334" t="e">
        <f t="shared" si="10"/>
        <v>#DIV/0!</v>
      </c>
      <c r="M95" s="2329"/>
      <c r="N95" s="2333"/>
      <c r="O95" s="2334" t="e">
        <f t="shared" si="11"/>
        <v>#DIV/0!</v>
      </c>
      <c r="P95" t="s">
        <v>130</v>
      </c>
    </row>
    <row r="96" spans="2:16" hidden="1">
      <c r="B96" s="2325"/>
      <c r="C96" s="2257"/>
      <c r="D96" s="2257"/>
      <c r="E96" s="2257"/>
      <c r="F96" s="2205"/>
      <c r="G96" s="2205"/>
      <c r="H96" s="2205"/>
      <c r="I96" s="2205"/>
      <c r="J96" s="2205"/>
      <c r="K96" s="2329"/>
      <c r="L96" s="2334" t="e">
        <f t="shared" si="10"/>
        <v>#DIV/0!</v>
      </c>
      <c r="M96" s="2329"/>
      <c r="N96" s="2333"/>
      <c r="O96" s="2334" t="e">
        <f t="shared" si="11"/>
        <v>#DIV/0!</v>
      </c>
      <c r="P96" t="s">
        <v>130</v>
      </c>
    </row>
    <row r="97" spans="2:16" hidden="1">
      <c r="B97" s="2325"/>
      <c r="C97" s="2257"/>
      <c r="D97" s="2257"/>
      <c r="E97" s="2257"/>
      <c r="F97" s="2205"/>
      <c r="G97" s="2205"/>
      <c r="H97" s="2205"/>
      <c r="I97" s="2205"/>
      <c r="J97" s="2205"/>
      <c r="K97" s="2329"/>
      <c r="L97" s="2334" t="e">
        <f t="shared" si="10"/>
        <v>#DIV/0!</v>
      </c>
      <c r="M97" s="2329"/>
      <c r="N97" s="2333"/>
      <c r="O97" s="2334" t="e">
        <f t="shared" si="11"/>
        <v>#DIV/0!</v>
      </c>
      <c r="P97" t="s">
        <v>130</v>
      </c>
    </row>
    <row r="98" spans="2:16" ht="14.25" hidden="1" thickBot="1">
      <c r="B98" s="2325"/>
      <c r="C98" s="2257"/>
      <c r="D98" s="2257"/>
      <c r="E98" s="2257"/>
      <c r="F98" s="2205"/>
      <c r="G98" s="2205"/>
      <c r="H98" s="2205"/>
      <c r="I98" s="2205"/>
      <c r="J98" s="2205"/>
      <c r="K98" s="2329"/>
      <c r="L98" s="2335" t="e">
        <f t="shared" si="10"/>
        <v>#DIV/0!</v>
      </c>
      <c r="M98" s="2329"/>
      <c r="N98" s="2333"/>
      <c r="O98" s="2335" t="e">
        <f t="shared" si="11"/>
        <v>#DIV/0!</v>
      </c>
      <c r="P98" t="s">
        <v>130</v>
      </c>
    </row>
    <row r="99" spans="2:16" hidden="1">
      <c r="B99" s="2314"/>
      <c r="C99" s="2205"/>
      <c r="D99" s="2205"/>
      <c r="E99" s="2205"/>
      <c r="F99" s="2205"/>
      <c r="G99" s="2205"/>
      <c r="H99" s="2205"/>
      <c r="I99" s="2205"/>
      <c r="J99" s="2205"/>
      <c r="K99" s="2205"/>
      <c r="L99" s="2205"/>
      <c r="M99" s="2205"/>
      <c r="N99" s="2205"/>
      <c r="O99" s="2206"/>
    </row>
    <row r="100" spans="2:16" ht="16.5">
      <c r="B100" s="1442" t="s">
        <v>207</v>
      </c>
      <c r="C100" s="1452"/>
      <c r="D100" s="1455"/>
      <c r="E100" s="1452"/>
      <c r="F100" s="2205"/>
      <c r="G100" s="2205"/>
      <c r="H100" s="1443"/>
      <c r="I100" s="1444"/>
      <c r="J100" s="1444"/>
      <c r="K100" s="1444"/>
      <c r="L100" s="1444"/>
      <c r="M100" s="1444"/>
      <c r="N100" s="1444"/>
      <c r="O100" s="1458"/>
    </row>
    <row r="101" spans="2:16" ht="14.25">
      <c r="B101" s="1442"/>
      <c r="C101" s="1446" t="s">
        <v>208</v>
      </c>
      <c r="D101" s="1455"/>
      <c r="E101" s="1452"/>
      <c r="F101" s="2205"/>
      <c r="G101" s="2205"/>
      <c r="H101" s="1443"/>
      <c r="I101" s="1444"/>
      <c r="J101" s="1443" t="s">
        <v>182</v>
      </c>
      <c r="K101" s="1444"/>
      <c r="L101" s="1443" t="s">
        <v>182</v>
      </c>
      <c r="M101" s="1444"/>
      <c r="N101" s="1444"/>
      <c r="O101" s="1445" t="s">
        <v>182</v>
      </c>
    </row>
    <row r="102" spans="2:16">
      <c r="B102" s="2204"/>
      <c r="C102" s="1455"/>
      <c r="D102" s="1455" t="s">
        <v>189</v>
      </c>
      <c r="E102" s="1452"/>
      <c r="F102" s="2300" t="s">
        <v>184</v>
      </c>
      <c r="G102" s="1452"/>
      <c r="H102" s="1449" t="s">
        <v>185</v>
      </c>
      <c r="I102" s="1449" t="s">
        <v>186</v>
      </c>
      <c r="J102" s="1449" t="s">
        <v>187</v>
      </c>
      <c r="K102" s="1450" t="s">
        <v>188</v>
      </c>
      <c r="L102" s="1451" t="s">
        <v>117</v>
      </c>
      <c r="M102" s="1452"/>
      <c r="N102" s="1450" t="s">
        <v>188</v>
      </c>
      <c r="O102" s="1453" t="s">
        <v>117</v>
      </c>
    </row>
    <row r="103" spans="2:16">
      <c r="B103" s="2204"/>
      <c r="C103" s="1455"/>
      <c r="D103" s="1455"/>
      <c r="E103" s="1455" t="s">
        <v>519</v>
      </c>
      <c r="F103" s="2301" t="e">
        <f t="shared" ref="F103:F111" si="12">F10</f>
        <v>#DIV/0!</v>
      </c>
      <c r="G103" s="1452"/>
      <c r="H103" s="2301">
        <f>IF(OR($F$20=$R$6,$F$20=$U$6),CO2データ!I67,IF($F$20=$S$6,CO2データ!L67,CO2データ!O67))</f>
        <v>15.990999999999998</v>
      </c>
      <c r="I103" s="2301">
        <f>IF(OR($F$20=$R$6,$F$20=$U$6),CO2データ!J67,IF($F$20=$S$6,CO2データ!M67,CO2データ!P67))</f>
        <v>15.990999999999998</v>
      </c>
      <c r="J103" s="2301">
        <f>IF(OR($F$20=$R$6,$F$20=$U$6),CO2データ!K67,IF($F$20=$S$6,CO2データ!N67,CO2データ!Q67))</f>
        <v>15.990999999999998</v>
      </c>
      <c r="K103" s="2287" t="e">
        <f>スコア表示!M80</f>
        <v>#DIV/0!</v>
      </c>
      <c r="L103" s="2303" t="e">
        <f t="shared" ref="L103:L111" si="13">IF(K103&gt;=5,$J103,IF(K103&gt;=4,$I103,$H103))</f>
        <v>#DIV/0!</v>
      </c>
      <c r="M103" s="1452"/>
      <c r="N103" s="2287">
        <v>3</v>
      </c>
      <c r="O103" s="2304">
        <f>IF(OR($F$20=$R$6,$F$20=$U$6),CO2データ!I65,IF($F$20=$S$6,CO2データ!L65,CO2データ!O65))</f>
        <v>15.990999999999998</v>
      </c>
    </row>
    <row r="104" spans="2:16">
      <c r="B104" s="2204"/>
      <c r="C104" s="1452"/>
      <c r="D104" s="1455"/>
      <c r="E104" s="1455" t="s">
        <v>521</v>
      </c>
      <c r="F104" s="2301" t="e">
        <f t="shared" si="12"/>
        <v>#DIV/0!</v>
      </c>
      <c r="G104" s="1452"/>
      <c r="H104" s="2301">
        <f>IF(OR($F$20=$R$6,$F$20=$U$6),CO2データ!I70,IF($F$20=$S$6,CO2データ!L70,CO2データ!O70))</f>
        <v>11.802</v>
      </c>
      <c r="I104" s="2301">
        <f>IF(OR($F$20=$R$6,$F$20=$U$6),CO2データ!J70,IF($F$20=$S$6,CO2データ!M70,CO2データ!P70))</f>
        <v>11.802</v>
      </c>
      <c r="J104" s="2301">
        <f>IF(OR($F$20=$R$6,$F$20=$U$6),CO2データ!K70,IF($F$20=$S$6,CO2データ!N70,CO2データ!Q70))</f>
        <v>11.802</v>
      </c>
      <c r="K104" s="2287" t="e">
        <f t="shared" ref="K104:K111" si="14">K$103</f>
        <v>#DIV/0!</v>
      </c>
      <c r="L104" s="2303" t="e">
        <f t="shared" si="13"/>
        <v>#DIV/0!</v>
      </c>
      <c r="M104" s="1452"/>
      <c r="N104" s="2287">
        <v>3</v>
      </c>
      <c r="O104" s="2304">
        <f>IF(OR($F$20=$R$6,$F$20=$U$6),CO2データ!I68,IF($F$20=$S$6,CO2データ!L68,CO2データ!O68))</f>
        <v>11.802</v>
      </c>
    </row>
    <row r="105" spans="2:16">
      <c r="B105" s="2204"/>
      <c r="C105" s="1452"/>
      <c r="D105" s="2205"/>
      <c r="E105" s="1455" t="s">
        <v>523</v>
      </c>
      <c r="F105" s="2301" t="e">
        <f t="shared" si="12"/>
        <v>#DIV/0!</v>
      </c>
      <c r="G105" s="1452"/>
      <c r="H105" s="2301">
        <f>IF(OR($F$20=$R$6,$F$20=$U$6),CO2データ!I73,IF($F$20=$S$6,CO2データ!L73,CO2データ!O73))</f>
        <v>6.88</v>
      </c>
      <c r="I105" s="2301">
        <f>IF(OR($F$20=$R$6,$F$20=$U$6),CO2データ!J73,IF($F$20=$S$6,CO2データ!M73,CO2データ!P73))</f>
        <v>6.88</v>
      </c>
      <c r="J105" s="2301">
        <f>IF(OR($F$20=$R$6,$F$20=$U$6),CO2データ!K73,IF($F$20=$S$6,CO2データ!N73,CO2データ!Q73))</f>
        <v>6.88</v>
      </c>
      <c r="K105" s="2287" t="e">
        <f t="shared" si="14"/>
        <v>#DIV/0!</v>
      </c>
      <c r="L105" s="2303" t="e">
        <f t="shared" si="13"/>
        <v>#DIV/0!</v>
      </c>
      <c r="M105" s="1452"/>
      <c r="N105" s="2287">
        <v>3</v>
      </c>
      <c r="O105" s="2304">
        <f>IF(OR($F$20=$R$6,$F$20=$U$6),CO2データ!I71,IF($F$20=$S$6,CO2データ!L71,CO2データ!O71))</f>
        <v>6.88</v>
      </c>
    </row>
    <row r="106" spans="2:16">
      <c r="B106" s="2204"/>
      <c r="C106" s="1452"/>
      <c r="D106" s="1455"/>
      <c r="E106" s="1455" t="s">
        <v>525</v>
      </c>
      <c r="F106" s="2301" t="e">
        <f t="shared" si="12"/>
        <v>#DIV/0!</v>
      </c>
      <c r="G106" s="1452"/>
      <c r="H106" s="2301">
        <f>IF(OR($F$20=$R$6,$F$20=$U$6),CO2データ!I76,IF($F$20=$S$6,CO2データ!L76,CO2データ!O76))</f>
        <v>6.88</v>
      </c>
      <c r="I106" s="2301">
        <f>IF(OR($F$20=$R$6,$F$20=$U$6),CO2データ!J76,IF($F$20=$S$6,CO2データ!M76,CO2データ!P76))</f>
        <v>6.88</v>
      </c>
      <c r="J106" s="2301">
        <f>IF(OR($F$20=$R$6,$F$20=$U$6),CO2データ!K76,IF($F$20=$S$6,CO2データ!N76,CO2データ!Q76))</f>
        <v>6.88</v>
      </c>
      <c r="K106" s="2287" t="e">
        <f t="shared" si="14"/>
        <v>#DIV/0!</v>
      </c>
      <c r="L106" s="2303" t="e">
        <f t="shared" si="13"/>
        <v>#DIV/0!</v>
      </c>
      <c r="M106" s="1452"/>
      <c r="N106" s="2287">
        <v>3</v>
      </c>
      <c r="O106" s="2304">
        <f>IF(OR($F$20=$R$6,$F$20=$U$6),CO2データ!I74,IF($F$20=$S$6,CO2データ!L74,CO2データ!O74))</f>
        <v>6.88</v>
      </c>
    </row>
    <row r="107" spans="2:16">
      <c r="B107" s="2204"/>
      <c r="C107" s="2205"/>
      <c r="D107" s="2205"/>
      <c r="E107" s="147" t="s">
        <v>819</v>
      </c>
      <c r="F107" s="2301" t="e">
        <f t="shared" si="12"/>
        <v>#DIV/0!</v>
      </c>
      <c r="G107" s="1452"/>
      <c r="H107" s="2301">
        <f>IF(OR($F$20=$R$6,$F$20=$U$6),CO2データ!I79,IF($F$20=$S$6,CO2データ!L79,CO2データ!O79))</f>
        <v>12.809999999999999</v>
      </c>
      <c r="I107" s="2301">
        <f>IF(OR($F$20=$R$6,$F$20=$U$6),CO2データ!J79,IF($F$20=$S$6,CO2データ!M79,CO2データ!P79))</f>
        <v>12.809999999999999</v>
      </c>
      <c r="J107" s="2301">
        <f>IF(OR($F$20=$R$6,$F$20=$U$6),CO2データ!K79,IF($F$20=$S$6,CO2データ!N79,CO2データ!Q79))</f>
        <v>12.809999999999999</v>
      </c>
      <c r="K107" s="2287" t="e">
        <f t="shared" si="14"/>
        <v>#DIV/0!</v>
      </c>
      <c r="L107" s="2303" t="e">
        <f t="shared" si="13"/>
        <v>#DIV/0!</v>
      </c>
      <c r="M107" s="1452"/>
      <c r="N107" s="2287">
        <v>3</v>
      </c>
      <c r="O107" s="2304">
        <f>IF(OR($F$20=$R$6,$F$20=$U$6),CO2データ!I77,IF($F$20=$S$6,CO2データ!L77,CO2データ!O77))</f>
        <v>12.809999999999999</v>
      </c>
    </row>
    <row r="108" spans="2:16">
      <c r="B108" s="2204"/>
      <c r="C108" s="2205"/>
      <c r="D108" s="2205"/>
      <c r="E108" s="147" t="s">
        <v>535</v>
      </c>
      <c r="F108" s="2301" t="e">
        <f t="shared" si="12"/>
        <v>#DIV/0!</v>
      </c>
      <c r="G108" s="1452"/>
      <c r="H108" s="2301">
        <f>IF(OR($F$20=$R$6,$F$20=$U$6),CO2データ!I82,IF($F$20=$S$6,CO2データ!L82,CO2データ!O82))</f>
        <v>8.6499999999999986</v>
      </c>
      <c r="I108" s="2301">
        <f>IF(OR($F$20=$R$6,$F$20=$U$6),CO2データ!J82,IF($F$20=$S$6,CO2データ!M82,CO2データ!P82))</f>
        <v>8.6499999999999986</v>
      </c>
      <c r="J108" s="2301">
        <f>IF(OR($F$20=$R$6,$F$20=$U$6),CO2データ!K82,IF($F$20=$S$6,CO2データ!N82,CO2データ!Q82))</f>
        <v>8.6499999999999986</v>
      </c>
      <c r="K108" s="2287" t="e">
        <f t="shared" si="14"/>
        <v>#DIV/0!</v>
      </c>
      <c r="L108" s="2303" t="e">
        <f t="shared" si="13"/>
        <v>#DIV/0!</v>
      </c>
      <c r="M108" s="1452"/>
      <c r="N108" s="2287">
        <v>3</v>
      </c>
      <c r="O108" s="2304">
        <f>IF(OR($F$20=$R$6,$F$20=$U$6),CO2データ!I80,IF($F$20=$S$6,CO2データ!L80,CO2データ!O80))</f>
        <v>8.6499999999999986</v>
      </c>
    </row>
    <row r="109" spans="2:16">
      <c r="B109" s="2204"/>
      <c r="C109" s="2205"/>
      <c r="D109" s="2205"/>
      <c r="E109" s="147" t="s">
        <v>529</v>
      </c>
      <c r="F109" s="2301" t="e">
        <f t="shared" si="12"/>
        <v>#DIV/0!</v>
      </c>
      <c r="G109" s="1452"/>
      <c r="H109" s="2301">
        <f>IF(OR($F$20=$R$6,$F$20=$U$6),CO2データ!I85,IF($F$20=$S$6,CO2データ!L85,CO2データ!O85))</f>
        <v>15.425999999999998</v>
      </c>
      <c r="I109" s="2301">
        <f>IF(OR($F$20=$R$6,$F$20=$U$6),CO2データ!J85,IF($F$20=$S$6,CO2データ!M85,CO2データ!P85))</f>
        <v>15.425999999999998</v>
      </c>
      <c r="J109" s="2301">
        <f>IF(OR($F$20=$R$6,$F$20=$U$6),CO2データ!K85,IF($F$20=$S$6,CO2データ!N85,CO2データ!Q85))</f>
        <v>15.425999999999998</v>
      </c>
      <c r="K109" s="2287" t="e">
        <f t="shared" si="14"/>
        <v>#DIV/0!</v>
      </c>
      <c r="L109" s="2303" t="e">
        <f t="shared" si="13"/>
        <v>#DIV/0!</v>
      </c>
      <c r="M109" s="1452"/>
      <c r="N109" s="2287">
        <v>3</v>
      </c>
      <c r="O109" s="2304">
        <f>IF(OR($F$20=$R$6,$F$20=$U$6),CO2データ!I83,IF($F$20=$S$6,CO2データ!L83,CO2データ!O83))</f>
        <v>15.425999999999998</v>
      </c>
    </row>
    <row r="110" spans="2:16">
      <c r="B110" s="2204"/>
      <c r="C110" s="2205"/>
      <c r="D110" s="2205"/>
      <c r="E110" s="147" t="s">
        <v>820</v>
      </c>
      <c r="F110" s="2301" t="e">
        <f t="shared" si="12"/>
        <v>#DIV/0!</v>
      </c>
      <c r="G110" s="1452"/>
      <c r="H110" s="2301">
        <f>IF(OR($F$20=$R$6,$F$20=$U$6),CO2データ!I88,IF($F$20=$S$6,CO2データ!L88,CO2データ!O88))</f>
        <v>13.297999999999998</v>
      </c>
      <c r="I110" s="2301">
        <f>IF(OR($F$20=$R$6,$F$20=$U$6),CO2データ!J88,IF($F$20=$S$6,CO2データ!M88,CO2データ!P88))</f>
        <v>13.297999999999998</v>
      </c>
      <c r="J110" s="2301">
        <f>IF(OR($F$20=$R$6,$F$20=$U$6),CO2データ!K88,IF($F$20=$S$6,CO2データ!N88,CO2データ!Q88))</f>
        <v>13.297999999999998</v>
      </c>
      <c r="K110" s="2287" t="e">
        <f t="shared" si="14"/>
        <v>#DIV/0!</v>
      </c>
      <c r="L110" s="2303" t="e">
        <f t="shared" si="13"/>
        <v>#DIV/0!</v>
      </c>
      <c r="M110" s="1452"/>
      <c r="N110" s="2287">
        <v>3</v>
      </c>
      <c r="O110" s="2304">
        <f>IF(OR($F$20=$R$6,$F$20=$U$6),CO2データ!I86,IF($F$20=$S$6,CO2データ!L86,CO2データ!O86))</f>
        <v>13.297999999999998</v>
      </c>
    </row>
    <row r="111" spans="2:16">
      <c r="B111" s="2204"/>
      <c r="C111" s="2205"/>
      <c r="D111" s="2205"/>
      <c r="E111" s="147" t="s">
        <v>533</v>
      </c>
      <c r="F111" s="2301" t="e">
        <f t="shared" si="12"/>
        <v>#DIV/0!</v>
      </c>
      <c r="G111" s="1452"/>
      <c r="H111" s="2301">
        <f>IF(OR($F$20=$R$6,$F$20=$U$6),CO2データ!I91,IF($F$20=$S$6,CO2データ!L91,CO2データ!O91))</f>
        <v>8.0190000000000001</v>
      </c>
      <c r="I111" s="2301">
        <f>IF(OR($F$20=$R$6,$F$20=$U$6),CO2データ!J91,IF($F$20=$S$6,CO2データ!M91,CO2データ!P91))</f>
        <v>9.7210000000000001</v>
      </c>
      <c r="J111" s="2301">
        <f>IF(OR($F$20=$R$6,$F$20=$U$6),CO2データ!K91,IF($F$20=$S$6,CO2データ!N91,CO2データ!Q91))</f>
        <v>10.979000000000001</v>
      </c>
      <c r="K111" s="2287" t="e">
        <f t="shared" si="14"/>
        <v>#DIV/0!</v>
      </c>
      <c r="L111" s="2303" t="e">
        <f t="shared" si="13"/>
        <v>#DIV/0!</v>
      </c>
      <c r="M111" s="1452"/>
      <c r="N111" s="2287">
        <v>3</v>
      </c>
      <c r="O111" s="2304">
        <f>IF(OR($F$20=$R$6,$F$20=$U$6),CO2データ!I89,IF($F$20=$S$6,CO2データ!L89,CO2データ!O89))</f>
        <v>8.0190000000000001</v>
      </c>
    </row>
    <row r="112" spans="2:16" ht="14.25" thickBot="1">
      <c r="B112" s="2204"/>
      <c r="C112" s="2205"/>
      <c r="D112" s="2205"/>
      <c r="E112" s="2205"/>
      <c r="F112" s="2205"/>
      <c r="G112" s="2205"/>
      <c r="H112" s="2205"/>
      <c r="I112" s="2205"/>
      <c r="J112" s="2205"/>
      <c r="K112" s="2205"/>
      <c r="L112" s="2205"/>
      <c r="M112" s="2205"/>
      <c r="N112" s="2205"/>
      <c r="O112" s="2206"/>
    </row>
    <row r="113" spans="2:18" ht="14.25" thickBot="1">
      <c r="B113" s="2314"/>
      <c r="C113" s="1446" t="s">
        <v>209</v>
      </c>
      <c r="D113" s="1455"/>
      <c r="E113" s="147"/>
      <c r="F113" s="2205"/>
      <c r="G113" s="2205"/>
      <c r="H113" s="2205"/>
      <c r="I113" s="2205"/>
      <c r="J113" s="2205"/>
      <c r="K113" s="2205"/>
      <c r="L113" s="2317" t="e">
        <f>SUMPRODUCT(F103:F111,L103:L111)</f>
        <v>#DIV/0!</v>
      </c>
      <c r="M113" s="2205"/>
      <c r="N113" s="2205"/>
      <c r="O113" s="2317" t="e">
        <f>SUMPRODUCT(F103:F111,O103:O111)</f>
        <v>#DIV/0!</v>
      </c>
    </row>
    <row r="114" spans="2:18">
      <c r="B114" s="2204"/>
      <c r="C114" s="2205"/>
      <c r="D114" s="2205"/>
      <c r="E114" s="2205"/>
      <c r="F114" s="2205"/>
      <c r="G114" s="2205"/>
      <c r="H114" s="2205"/>
      <c r="I114" s="2205"/>
      <c r="J114" s="2205"/>
      <c r="K114" s="2205"/>
      <c r="L114" s="2205"/>
      <c r="M114" s="2205"/>
      <c r="N114" s="2205"/>
      <c r="O114" s="2206"/>
    </row>
    <row r="115" spans="2:18" ht="17.25" thickBot="1">
      <c r="B115" s="1442" t="s">
        <v>210</v>
      </c>
      <c r="C115" s="2205"/>
      <c r="D115" s="2205"/>
      <c r="E115" s="2205"/>
      <c r="F115" s="2205"/>
      <c r="G115" s="2205"/>
      <c r="H115" s="2205"/>
      <c r="I115" s="2205"/>
      <c r="J115" s="2205"/>
      <c r="K115" s="2205"/>
      <c r="L115" s="1443" t="s">
        <v>182</v>
      </c>
      <c r="M115" s="1452"/>
      <c r="N115" s="1452"/>
      <c r="O115" s="1445" t="s">
        <v>182</v>
      </c>
      <c r="R115" t="s">
        <v>1395</v>
      </c>
    </row>
    <row r="116" spans="2:18" ht="14.25" thickBot="1">
      <c r="B116" s="1442"/>
      <c r="C116" s="1446" t="s">
        <v>1812</v>
      </c>
      <c r="D116" s="2205"/>
      <c r="E116" s="2205"/>
      <c r="F116" s="2205" t="s">
        <v>1306</v>
      </c>
      <c r="G116" s="2205"/>
      <c r="H116" s="2205" t="s">
        <v>1396</v>
      </c>
      <c r="I116" s="2205"/>
      <c r="J116" s="2205" t="s">
        <v>1209</v>
      </c>
      <c r="K116" s="2205"/>
      <c r="L116" s="1985">
        <f>SUM(L118:L121)</f>
        <v>0</v>
      </c>
      <c r="M116" s="1452"/>
      <c r="N116" s="1986" t="s">
        <v>1125</v>
      </c>
      <c r="O116" s="1985">
        <f>SUM(O118:O121)</f>
        <v>0</v>
      </c>
    </row>
    <row r="117" spans="2:18">
      <c r="B117" s="1442"/>
      <c r="C117" s="1446"/>
      <c r="D117" s="2205"/>
      <c r="E117" s="2205"/>
      <c r="F117" s="2336" t="s">
        <v>1308</v>
      </c>
      <c r="G117" s="2205"/>
      <c r="H117" s="1439" t="s">
        <v>1397</v>
      </c>
      <c r="I117" s="1439" t="s">
        <v>1398</v>
      </c>
      <c r="J117" s="1455" t="s">
        <v>1399</v>
      </c>
      <c r="K117" s="2205"/>
      <c r="L117" s="1991"/>
      <c r="M117" s="1452"/>
      <c r="N117" s="1986"/>
      <c r="O117" s="2284"/>
    </row>
    <row r="118" spans="2:18">
      <c r="B118" s="1442"/>
      <c r="C118" s="1446"/>
      <c r="D118" s="2205"/>
      <c r="E118" s="2205" t="s">
        <v>1370</v>
      </c>
      <c r="F118" s="2337">
        <f>計画書_後!I29</f>
        <v>0</v>
      </c>
      <c r="G118" s="2205"/>
      <c r="H118" s="2337">
        <f>計画書_後!Q74</f>
        <v>0</v>
      </c>
      <c r="I118" s="2337" t="e">
        <f>計画書_後!N74</f>
        <v>#VALUE!</v>
      </c>
      <c r="J118" s="2214" t="e">
        <f>計画書_後!L94</f>
        <v>#VALUE!</v>
      </c>
      <c r="K118" s="2205"/>
      <c r="L118" s="2338">
        <f>IF(F118=0,0,I118*J118/F118*1000)</f>
        <v>0</v>
      </c>
      <c r="M118" s="1452"/>
      <c r="N118" s="1986"/>
      <c r="O118" s="2339">
        <f>IF(F118=0,0,H118*J118/F118*1000)</f>
        <v>0</v>
      </c>
    </row>
    <row r="119" spans="2:18" hidden="1">
      <c r="B119" s="1442"/>
      <c r="C119" s="1446"/>
      <c r="D119" s="2205"/>
      <c r="E119" s="2205"/>
      <c r="F119" s="2337"/>
      <c r="G119" s="2205"/>
      <c r="H119" s="2337"/>
      <c r="I119" s="2337"/>
      <c r="J119" s="2214"/>
      <c r="K119" s="2205"/>
      <c r="L119" s="2338"/>
      <c r="M119" s="1452"/>
      <c r="N119" s="1986"/>
      <c r="O119" s="2339"/>
    </row>
    <row r="120" spans="2:18">
      <c r="B120" s="1442"/>
      <c r="C120" s="1446"/>
      <c r="D120" s="2205"/>
      <c r="E120" s="2205" t="s">
        <v>1400</v>
      </c>
      <c r="F120" s="2337">
        <f>計画書_後!N29</f>
        <v>0</v>
      </c>
      <c r="G120" s="2205"/>
      <c r="H120" s="2337">
        <f>計画書_後!Q108</f>
        <v>0</v>
      </c>
      <c r="I120" s="2337">
        <f>計画書_後!N108</f>
        <v>0</v>
      </c>
      <c r="J120" s="2214" t="e">
        <f>CO2データ!R168</f>
        <v>#VALUE!</v>
      </c>
      <c r="K120" s="2205"/>
      <c r="L120" s="2338">
        <f>IF(F120=0,0,I120*J120/F120*1000)</f>
        <v>0</v>
      </c>
      <c r="M120" s="1452"/>
      <c r="N120" s="1986"/>
      <c r="O120" s="2339">
        <f>IF(F120=0,0,H120*J120/F120*1000)</f>
        <v>0</v>
      </c>
    </row>
    <row r="121" spans="2:18">
      <c r="B121" s="1442"/>
      <c r="C121" s="1446"/>
      <c r="D121" s="2205"/>
      <c r="E121" s="2205" t="s">
        <v>1401</v>
      </c>
      <c r="F121" s="2337">
        <f>計画書_後!M29</f>
        <v>0</v>
      </c>
      <c r="G121" s="2205"/>
      <c r="H121" s="2337">
        <f>計画書_後!Q112</f>
        <v>0</v>
      </c>
      <c r="I121" s="2337">
        <f>計画書_後!N112</f>
        <v>0</v>
      </c>
      <c r="J121" s="2214" t="e">
        <f>CO2データ!R169</f>
        <v>#VALUE!</v>
      </c>
      <c r="K121" s="2205"/>
      <c r="L121" s="2338">
        <f>IF(F121=0,0,I121*J121/F121*1000)</f>
        <v>0</v>
      </c>
      <c r="M121" s="1452"/>
      <c r="N121" s="1986"/>
      <c r="O121" s="2339">
        <f>IF(F121=0,0,H121*J121/F121*1000)</f>
        <v>0</v>
      </c>
    </row>
    <row r="122" spans="2:18" ht="14.25" thickBot="1">
      <c r="B122" s="1442"/>
      <c r="C122" s="2205"/>
      <c r="D122" s="2205"/>
      <c r="E122" s="2205"/>
      <c r="F122" s="2205"/>
      <c r="G122" s="2205"/>
      <c r="H122" s="2205"/>
      <c r="I122" s="2205"/>
      <c r="J122" s="2205"/>
      <c r="K122" s="2205"/>
      <c r="L122" s="1443"/>
      <c r="M122" s="1452"/>
      <c r="N122" s="1452"/>
      <c r="O122" s="1445"/>
    </row>
    <row r="123" spans="2:18" ht="14.25" thickBot="1">
      <c r="B123" s="2204"/>
      <c r="C123" s="1446" t="s">
        <v>1126</v>
      </c>
      <c r="D123" s="2205"/>
      <c r="E123" s="2205"/>
      <c r="F123" s="2205" t="s">
        <v>1306</v>
      </c>
      <c r="G123" s="2205"/>
      <c r="H123" s="2205" t="s">
        <v>1396</v>
      </c>
      <c r="I123" s="2205"/>
      <c r="J123" s="2205" t="s">
        <v>1209</v>
      </c>
      <c r="K123" s="2205"/>
      <c r="L123" s="1985">
        <f>SUM(L125:L127)</f>
        <v>0</v>
      </c>
      <c r="M123" s="2205"/>
      <c r="N123" s="2205"/>
      <c r="O123" s="2206"/>
    </row>
    <row r="124" spans="2:18">
      <c r="B124" s="2204"/>
      <c r="C124" s="1446"/>
      <c r="D124" s="2205"/>
      <c r="E124" s="2205"/>
      <c r="F124" s="2212" t="s">
        <v>1308</v>
      </c>
      <c r="G124" s="2205"/>
      <c r="H124" s="2340" t="s">
        <v>1402</v>
      </c>
      <c r="I124" s="1439" t="s">
        <v>1403</v>
      </c>
      <c r="J124" s="1455" t="s">
        <v>1399</v>
      </c>
      <c r="K124" s="2205"/>
      <c r="L124" s="2205"/>
      <c r="M124" s="2205"/>
      <c r="N124" s="2205"/>
      <c r="O124" s="2206"/>
    </row>
    <row r="125" spans="2:18">
      <c r="B125" s="2204"/>
      <c r="C125" s="1446"/>
      <c r="D125" s="2205"/>
      <c r="E125" s="2205" t="s">
        <v>1370</v>
      </c>
      <c r="F125" s="2337">
        <f>F118</f>
        <v>0</v>
      </c>
      <c r="G125" s="2205"/>
      <c r="H125" s="2337">
        <f>計画書_後!I43</f>
        <v>0</v>
      </c>
      <c r="I125" s="2337" t="e">
        <f>I118-H125</f>
        <v>#VALUE!</v>
      </c>
      <c r="J125" s="2214" t="e">
        <f>J118</f>
        <v>#VALUE!</v>
      </c>
      <c r="K125" s="2205"/>
      <c r="L125" s="2338">
        <f>IF(F125=0,0,I125*J125/F125*1000)</f>
        <v>0</v>
      </c>
      <c r="M125" s="2205"/>
      <c r="N125" s="2205"/>
      <c r="O125" s="2206"/>
    </row>
    <row r="126" spans="2:18">
      <c r="B126" s="2204"/>
      <c r="C126" s="1446"/>
      <c r="D126" s="2205"/>
      <c r="E126" s="2205" t="s">
        <v>1400</v>
      </c>
      <c r="F126" s="2337">
        <f>F120</f>
        <v>0</v>
      </c>
      <c r="G126" s="2205"/>
      <c r="H126" s="2337">
        <f>計画書_後!N43</f>
        <v>0</v>
      </c>
      <c r="I126" s="2337">
        <f>I120-H126</f>
        <v>0</v>
      </c>
      <c r="J126" s="2214" t="e">
        <f>J120</f>
        <v>#VALUE!</v>
      </c>
      <c r="K126" s="2205"/>
      <c r="L126" s="2338">
        <f>IF(F126=0,0,I126*J126/F126*1000)</f>
        <v>0</v>
      </c>
      <c r="M126" s="2205"/>
      <c r="N126" s="2205"/>
      <c r="O126" s="2206"/>
    </row>
    <row r="127" spans="2:18">
      <c r="B127" s="2204"/>
      <c r="C127" s="1446"/>
      <c r="D127" s="2205"/>
      <c r="E127" s="2205" t="s">
        <v>1401</v>
      </c>
      <c r="F127" s="2337">
        <f>F121</f>
        <v>0</v>
      </c>
      <c r="G127" s="2205"/>
      <c r="H127" s="2337">
        <f>計画書_後!M43</f>
        <v>0</v>
      </c>
      <c r="I127" s="2337">
        <f>I121-H127</f>
        <v>0</v>
      </c>
      <c r="J127" s="2214" t="e">
        <f>J121</f>
        <v>#VALUE!</v>
      </c>
      <c r="K127" s="2205"/>
      <c r="L127" s="2338">
        <f>IF(F127=0,0,I127*J127/F127*1000)</f>
        <v>0</v>
      </c>
      <c r="M127" s="2205"/>
      <c r="N127" s="2205"/>
      <c r="O127" s="2206"/>
    </row>
    <row r="128" spans="2:18">
      <c r="B128" s="2204"/>
      <c r="C128" s="1446"/>
      <c r="D128" s="2205"/>
      <c r="E128" s="2205"/>
      <c r="F128" s="2205"/>
      <c r="G128" s="2205"/>
      <c r="H128" s="2205"/>
      <c r="I128" s="2205"/>
      <c r="J128" s="2205"/>
      <c r="K128" s="2205"/>
      <c r="L128" s="2205"/>
      <c r="M128" s="2205"/>
      <c r="N128" s="2205"/>
      <c r="O128" s="2206"/>
    </row>
    <row r="129" spans="2:15" hidden="1">
      <c r="B129" s="2204"/>
      <c r="C129" s="1446"/>
      <c r="D129" s="2205"/>
      <c r="E129" s="2205"/>
      <c r="F129" s="2205" t="s">
        <v>1128</v>
      </c>
      <c r="G129" s="2205"/>
      <c r="H129" s="2337"/>
      <c r="I129" s="2214"/>
      <c r="J129" s="2262"/>
      <c r="K129" s="2205"/>
      <c r="L129" s="2205"/>
      <c r="M129" s="2205"/>
      <c r="N129" s="2205"/>
      <c r="O129" s="2206"/>
    </row>
    <row r="130" spans="2:15" hidden="1">
      <c r="B130" s="2204"/>
      <c r="C130" s="1446"/>
      <c r="D130" s="2205"/>
      <c r="E130" s="2205"/>
      <c r="F130" s="2205"/>
      <c r="G130" s="2205"/>
      <c r="H130" s="1452"/>
      <c r="I130" s="2205"/>
      <c r="J130" s="2205"/>
      <c r="K130" s="2205"/>
      <c r="L130" s="2297"/>
      <c r="M130" s="2205"/>
      <c r="N130" s="2205"/>
      <c r="O130" s="2206"/>
    </row>
    <row r="131" spans="2:15" ht="16.5">
      <c r="B131" s="1442" t="s">
        <v>211</v>
      </c>
      <c r="C131" s="1452"/>
      <c r="D131" s="1455"/>
      <c r="E131" s="1452"/>
      <c r="F131" s="1444"/>
      <c r="G131" s="1452"/>
      <c r="H131" s="1452"/>
      <c r="I131" s="1452"/>
      <c r="J131" s="1452"/>
      <c r="K131" s="2341"/>
      <c r="L131" s="1443" t="s">
        <v>182</v>
      </c>
      <c r="M131" s="1452"/>
      <c r="N131" s="1452"/>
      <c r="O131" s="1445" t="s">
        <v>182</v>
      </c>
    </row>
    <row r="132" spans="2:15">
      <c r="B132" s="2255"/>
      <c r="C132" s="1452"/>
      <c r="D132" s="1455"/>
      <c r="E132" s="1452"/>
      <c r="F132" s="1444"/>
      <c r="G132" s="1452"/>
      <c r="H132" s="1452"/>
      <c r="I132" s="1452"/>
      <c r="J132" s="1452"/>
      <c r="K132" s="2341"/>
      <c r="L132" s="1451" t="s">
        <v>117</v>
      </c>
      <c r="M132" s="1452"/>
      <c r="N132" s="1459"/>
      <c r="O132" s="1453" t="s">
        <v>117</v>
      </c>
    </row>
    <row r="133" spans="2:15">
      <c r="B133" s="2255"/>
      <c r="C133" s="1460" t="s">
        <v>1010</v>
      </c>
      <c r="D133" s="1461"/>
      <c r="E133" s="1461"/>
      <c r="F133" s="1462"/>
      <c r="G133" s="1452"/>
      <c r="H133" s="1452"/>
      <c r="I133" s="1452"/>
      <c r="J133" s="1452"/>
      <c r="K133" s="2341"/>
      <c r="L133" s="1463" t="e">
        <f>L24</f>
        <v>#DIV/0!</v>
      </c>
      <c r="M133" s="1452"/>
      <c r="N133" s="1452"/>
      <c r="O133" s="1464" t="e">
        <f>O24</f>
        <v>#DIV/0!</v>
      </c>
    </row>
    <row r="134" spans="2:15">
      <c r="B134" s="2255"/>
      <c r="C134" s="1460" t="s">
        <v>212</v>
      </c>
      <c r="D134" s="1461"/>
      <c r="E134" s="1461"/>
      <c r="F134" s="1462"/>
      <c r="G134" s="1452"/>
      <c r="H134" s="1452"/>
      <c r="I134" s="1452"/>
      <c r="J134" s="1452"/>
      <c r="K134" s="2341"/>
      <c r="L134" s="1463" t="e">
        <f>L113</f>
        <v>#DIV/0!</v>
      </c>
      <c r="M134" s="1452"/>
      <c r="N134" s="1452"/>
      <c r="O134" s="1464" t="e">
        <f>O113</f>
        <v>#DIV/0!</v>
      </c>
    </row>
    <row r="135" spans="2:15">
      <c r="B135" s="2255"/>
      <c r="C135" s="1460" t="s">
        <v>1012</v>
      </c>
      <c r="D135" s="1461"/>
      <c r="E135" s="1461"/>
      <c r="F135" s="1462"/>
      <c r="G135" s="1452"/>
      <c r="H135" s="1452"/>
      <c r="I135" s="1452"/>
      <c r="J135" s="1452"/>
      <c r="K135" s="2341"/>
      <c r="L135" s="1465">
        <f>L123</f>
        <v>0</v>
      </c>
      <c r="M135" s="1452"/>
      <c r="N135" s="1452"/>
      <c r="O135" s="2342">
        <f>O116</f>
        <v>0</v>
      </c>
    </row>
    <row r="136" spans="2:15">
      <c r="B136" s="2255"/>
      <c r="C136" s="1466" t="s">
        <v>537</v>
      </c>
      <c r="D136" s="1467"/>
      <c r="E136" s="1468"/>
      <c r="F136" s="2380"/>
      <c r="G136" s="1452"/>
      <c r="H136" s="1452"/>
      <c r="I136" s="1452"/>
      <c r="J136" s="1452"/>
      <c r="K136" s="2341"/>
      <c r="L136" s="1469" t="e">
        <f>IF(COUNTIF(L133:L135,$R$115)&gt;0,$R$115,SUM(L133:L135))</f>
        <v>#DIV/0!</v>
      </c>
      <c r="M136" s="1452"/>
      <c r="N136" s="1452"/>
      <c r="O136" s="1470" t="e">
        <f>IF(COUNTIF(O133:O135,$R$115)&gt;0,$R$115,SUM(O133:O135))</f>
        <v>#DIV/0!</v>
      </c>
    </row>
    <row r="137" spans="2:15">
      <c r="B137" s="1442"/>
      <c r="C137" s="2377" t="s">
        <v>213</v>
      </c>
      <c r="D137" s="2378"/>
      <c r="E137" s="2378"/>
      <c r="F137" s="2379"/>
      <c r="G137" s="1452"/>
      <c r="H137" s="1452"/>
      <c r="I137" s="1452"/>
      <c r="J137" s="1452"/>
      <c r="K137" s="2341"/>
      <c r="L137" s="1471" t="e">
        <f>IF(O136=R115,R115,L136/O136)</f>
        <v>#DIV/0!</v>
      </c>
      <c r="M137" s="1452"/>
      <c r="N137" s="1452"/>
      <c r="O137" s="1472">
        <v>1</v>
      </c>
    </row>
    <row r="138" spans="2:15" ht="14.25" thickBot="1">
      <c r="B138" s="1442"/>
      <c r="C138" s="1448"/>
      <c r="D138" s="1448"/>
      <c r="E138" s="1448"/>
      <c r="F138" s="1448"/>
      <c r="G138" s="1452"/>
      <c r="H138" s="1452"/>
      <c r="I138" s="1452"/>
      <c r="J138" s="1452"/>
      <c r="K138" s="2341"/>
      <c r="L138" s="2375"/>
      <c r="M138" s="1452"/>
      <c r="N138" s="1452"/>
      <c r="O138" s="1473"/>
    </row>
    <row r="139" spans="2:15" ht="17.25" thickBot="1">
      <c r="B139" s="1442" t="s">
        <v>216</v>
      </c>
      <c r="C139" s="1448"/>
      <c r="D139" s="1448"/>
      <c r="E139" s="1448"/>
      <c r="F139" s="1448"/>
      <c r="G139" s="1448"/>
      <c r="H139" s="1448"/>
      <c r="I139" s="1448"/>
      <c r="J139" s="1448"/>
      <c r="K139" s="1474" t="s">
        <v>217</v>
      </c>
      <c r="L139" s="1988" t="e">
        <f>ROUNDDOWN(IF(L137=R115,0,IF(L137&lt;0.5,5,IF(L137&gt;1.25,1,IF(L137&gt;1,-8*L137+11,3+(1-L137)*4)))),1)</f>
        <v>#DIV/0!</v>
      </c>
      <c r="M139" s="1452"/>
      <c r="N139" s="1448"/>
      <c r="O139" s="1473"/>
    </row>
    <row r="140" spans="2:15" ht="14.25" thickBot="1">
      <c r="B140" s="1475"/>
      <c r="C140" s="1476"/>
      <c r="D140" s="1476"/>
      <c r="E140" s="1476"/>
      <c r="F140" s="1476"/>
      <c r="G140" s="1476"/>
      <c r="H140" s="1476"/>
      <c r="I140" s="1476"/>
      <c r="J140" s="1476"/>
      <c r="K140" s="1476"/>
      <c r="L140" s="1476"/>
      <c r="M140" s="1476"/>
      <c r="N140" s="1476"/>
      <c r="O140" s="1477"/>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CC47" sheet="1" objects="1" scenarios="1"/>
  <mergeCells count="5">
    <mergeCell ref="L2:M2"/>
    <mergeCell ref="N2:O2"/>
    <mergeCell ref="L3:M3"/>
    <mergeCell ref="B3:E3"/>
    <mergeCell ref="N3:O3"/>
  </mergeCells>
  <phoneticPr fontId="20"/>
  <conditionalFormatting sqref="E135 E133">
    <cfRule type="cellIs" dxfId="38" priority="4" stopIfTrue="1" operator="equal">
      <formula>5</formula>
    </cfRule>
    <cfRule type="cellIs" dxfId="37" priority="5" stopIfTrue="1" operator="equal">
      <formula>4</formula>
    </cfRule>
    <cfRule type="cellIs" dxfId="36" priority="6" stopIfTrue="1" operator="equal">
      <formula>2</formula>
    </cfRule>
  </conditionalFormatting>
  <conditionalFormatting sqref="E137">
    <cfRule type="cellIs" dxfId="35" priority="1" stopIfTrue="1" operator="equal">
      <formula>5</formula>
    </cfRule>
    <cfRule type="cellIs" dxfId="34" priority="2" stopIfTrue="1" operator="equal">
      <formula>4</formula>
    </cfRule>
    <cfRule type="cellIs" dxfId="33"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4.xml><?xml version="1.0" encoding="utf-8"?>
<worksheet xmlns="http://schemas.openxmlformats.org/spreadsheetml/2006/main" xmlns:r="http://schemas.openxmlformats.org/officeDocument/2006/relationships">
  <sheetPr codeName="Sheet18">
    <pageSetUpPr fitToPage="1"/>
  </sheetPr>
  <dimension ref="A1:AA184"/>
  <sheetViews>
    <sheetView showGridLines="0" workbookViewId="0">
      <selection activeCell="N3" sqref="N3:O3"/>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4.625" customWidth="1"/>
    <col min="17" max="18" width="4.625" hidden="1" customWidth="1"/>
    <col min="19" max="19" width="5.75" hidden="1" customWidth="1"/>
    <col min="20" max="20" width="6.875" hidden="1" customWidth="1"/>
    <col min="21" max="21" width="15.6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s>
  <sheetData>
    <row r="1" spans="1:21" ht="14.25" thickBot="1">
      <c r="A1" s="1912"/>
    </row>
    <row r="2" spans="1:21" ht="14.25">
      <c r="B2" s="1420" t="str">
        <f>メイン!C6</f>
        <v>CASBEE京都-改修（2015年版）</v>
      </c>
      <c r="C2" s="1421"/>
      <c r="D2" s="1422"/>
      <c r="E2" s="1423"/>
      <c r="F2" s="1924"/>
      <c r="G2" s="1924"/>
      <c r="H2" s="1924"/>
      <c r="I2" s="1924"/>
      <c r="J2" s="1924"/>
      <c r="K2" s="1924"/>
      <c r="L2" s="3033" t="s">
        <v>456</v>
      </c>
      <c r="M2" s="3033"/>
      <c r="N2" s="3034" t="str">
        <f>メイン!C6</f>
        <v>CASBEE京都-改修（2015年版）</v>
      </c>
      <c r="O2" s="3035"/>
    </row>
    <row r="3" spans="1:21" ht="14.25" thickBot="1">
      <c r="B3" s="3037">
        <f>メイン!C11</f>
        <v>0</v>
      </c>
      <c r="C3" s="3038"/>
      <c r="D3" s="3038"/>
      <c r="E3" s="3039"/>
      <c r="F3" s="1924"/>
      <c r="G3" s="1924"/>
      <c r="H3" s="1924"/>
      <c r="I3" s="1924"/>
      <c r="J3" s="1924"/>
      <c r="K3" s="1924"/>
      <c r="L3" s="3033" t="s">
        <v>915</v>
      </c>
      <c r="M3" s="3036"/>
      <c r="N3" s="3034" t="str">
        <f>メイン!C5</f>
        <v>CASBEE京都-改修2015（v.1.0）</v>
      </c>
      <c r="O3" s="3035"/>
    </row>
    <row r="4" spans="1:21" ht="6.75" customHeight="1" thickBot="1">
      <c r="B4" s="1924"/>
      <c r="C4" s="1924"/>
      <c r="D4" s="1924"/>
      <c r="E4" s="1924"/>
      <c r="F4" s="1924"/>
      <c r="G4" s="1924"/>
      <c r="H4" s="1924"/>
      <c r="I4" s="1924"/>
      <c r="J4" s="1924"/>
      <c r="K4" s="1924"/>
      <c r="L4" s="1924"/>
      <c r="M4" s="1924"/>
      <c r="N4" s="1924"/>
      <c r="O4" s="1924"/>
    </row>
    <row r="5" spans="1:21" ht="18.75">
      <c r="B5" s="1424" t="s">
        <v>179</v>
      </c>
      <c r="C5" s="1425"/>
      <c r="D5" s="1426"/>
      <c r="E5" s="1427"/>
      <c r="F5" s="1428"/>
      <c r="G5" s="1428"/>
      <c r="H5" s="1428"/>
      <c r="I5" s="1428"/>
      <c r="J5" s="1428"/>
      <c r="K5" s="1425"/>
      <c r="L5" s="1429"/>
      <c r="M5" s="1430"/>
      <c r="N5" s="1431"/>
      <c r="O5" s="1432"/>
    </row>
    <row r="6" spans="1:21" ht="14.25">
      <c r="B6" s="1434"/>
      <c r="C6" s="1435"/>
      <c r="D6" s="1436"/>
      <c r="E6" s="1437"/>
      <c r="F6" s="1438"/>
      <c r="G6" s="1438"/>
      <c r="H6" s="1438"/>
      <c r="I6" s="1438"/>
      <c r="J6" s="1438"/>
      <c r="K6" s="1435"/>
      <c r="L6" s="2210" t="s">
        <v>111</v>
      </c>
      <c r="M6" s="1440"/>
      <c r="N6" s="1441"/>
      <c r="O6" s="2299" t="s">
        <v>180</v>
      </c>
      <c r="R6" t="s">
        <v>484</v>
      </c>
      <c r="S6" t="s">
        <v>485</v>
      </c>
      <c r="T6" t="s">
        <v>486</v>
      </c>
      <c r="U6" t="s">
        <v>305</v>
      </c>
    </row>
    <row r="7" spans="1:21" ht="16.5">
      <c r="B7" s="1442" t="s">
        <v>181</v>
      </c>
      <c r="C7" s="1435"/>
      <c r="D7" s="1436"/>
      <c r="E7" s="1437"/>
      <c r="F7" s="1438"/>
      <c r="G7" s="1438"/>
      <c r="H7" s="1438"/>
      <c r="I7" s="1438"/>
      <c r="J7" s="1438"/>
      <c r="K7" s="1435"/>
      <c r="L7" s="1443"/>
      <c r="M7" s="1440"/>
      <c r="N7" s="1441"/>
      <c r="O7" s="1445"/>
    </row>
    <row r="8" spans="1:21" ht="14.25">
      <c r="B8" s="2204"/>
      <c r="C8" s="1446" t="s">
        <v>183</v>
      </c>
      <c r="D8" s="1447"/>
      <c r="E8" s="1437"/>
      <c r="F8" s="1438"/>
      <c r="G8" s="1438"/>
      <c r="H8" s="1443"/>
      <c r="I8" s="1444"/>
      <c r="J8" s="1443" t="s">
        <v>182</v>
      </c>
      <c r="K8" s="1444"/>
      <c r="L8" s="1443" t="s">
        <v>182</v>
      </c>
      <c r="M8" s="1444"/>
      <c r="N8" s="1444"/>
      <c r="O8" s="1445" t="s">
        <v>182</v>
      </c>
    </row>
    <row r="9" spans="1:21">
      <c r="B9" s="2204"/>
      <c r="C9" s="1455"/>
      <c r="D9" s="1455" t="s">
        <v>189</v>
      </c>
      <c r="E9" s="1452"/>
      <c r="F9" s="2300" t="s">
        <v>184</v>
      </c>
      <c r="G9" s="1452"/>
      <c r="H9" s="1449" t="s">
        <v>185</v>
      </c>
      <c r="I9" s="1449" t="s">
        <v>186</v>
      </c>
      <c r="J9" s="1449" t="s">
        <v>187</v>
      </c>
      <c r="K9" s="1450" t="s">
        <v>188</v>
      </c>
      <c r="L9" s="1451" t="s">
        <v>117</v>
      </c>
      <c r="M9" s="1452"/>
      <c r="N9" s="1450" t="s">
        <v>188</v>
      </c>
      <c r="O9" s="1453" t="s">
        <v>117</v>
      </c>
    </row>
    <row r="10" spans="1:21">
      <c r="B10" s="2255"/>
      <c r="C10" s="1455"/>
      <c r="D10" s="1455"/>
      <c r="E10" s="1455" t="s">
        <v>519</v>
      </c>
      <c r="F10" s="2301" t="e">
        <f>メイン!P47</f>
        <v>#DIV/0!</v>
      </c>
      <c r="G10" s="1452"/>
      <c r="H10" s="2301">
        <f>IF(OR($F$20=$R$6,$F$20=$U$6),CO2データ!I12,IF($F$20=$S$6,CO2データ!L12,CO2データ!O12))</f>
        <v>11.739099999999999</v>
      </c>
      <c r="I10" s="2301">
        <f>IF(OR($F$20=$R$6,$F$20=$U$6),CO2データ!J12,IF($F$20=$S$6,CO2データ!M12,CO2データ!P12))</f>
        <v>11.739099999999999</v>
      </c>
      <c r="J10" s="2302">
        <f>IF(OR($F$20=$R$6,$F$20=$U$6),CO2データ!K12,IF($F$20=$S$6,CO2データ!N12,CO2データ!Q12))</f>
        <v>11.739099999999999</v>
      </c>
      <c r="K10" s="2287" t="e">
        <f>スコア表示!L80</f>
        <v>#DIV/0!</v>
      </c>
      <c r="L10" s="2303" t="e">
        <f t="shared" ref="L10:L18" si="0">IF(K10&gt;=5,$J10,IF(K10&gt;=4,$I10,$H10))</f>
        <v>#DIV/0!</v>
      </c>
      <c r="M10" s="1452"/>
      <c r="N10" s="2287">
        <v>3</v>
      </c>
      <c r="O10" s="2304">
        <f>IF(OR($F$20=$R$6,$F$20=$U$6),CO2データ!I7,IF($F$20=$S$6,CO2データ!L7,CO2データ!O7))</f>
        <v>14.004999999999999</v>
      </c>
    </row>
    <row r="11" spans="1:21">
      <c r="B11" s="2255"/>
      <c r="C11" s="1455"/>
      <c r="D11" s="2305"/>
      <c r="E11" s="1455" t="s">
        <v>201</v>
      </c>
      <c r="F11" s="2301" t="e">
        <f>メイン!P49</f>
        <v>#DIV/0!</v>
      </c>
      <c r="G11" s="1452"/>
      <c r="H11" s="2301">
        <f>IF(OR($F$20=$R$6,$F$20=$U$6),CO2データ!I18,IF($F$20=$S$6,CO2データ!L18,CO2データ!O18))</f>
        <v>8.8994999999999997</v>
      </c>
      <c r="I11" s="2301">
        <f>IF(OR($F$20=$R$6,$F$20=$U$6),CO2データ!J18,IF($F$20=$S$6,CO2データ!M18,CO2データ!P18))</f>
        <v>8.8994999999999997</v>
      </c>
      <c r="J11" s="2302">
        <f>IF(OR($F$20=$R$6,$F$20=$U$6),CO2データ!K18,IF($F$20=$S$6,CO2データ!N18,CO2データ!Q18))</f>
        <v>8.8994999999999997</v>
      </c>
      <c r="K11" s="2287" t="e">
        <f t="shared" ref="K11:K18" si="1">K$10</f>
        <v>#DIV/0!</v>
      </c>
      <c r="L11" s="2303" t="e">
        <f t="shared" si="0"/>
        <v>#DIV/0!</v>
      </c>
      <c r="M11" s="1452"/>
      <c r="N11" s="2287">
        <f t="shared" ref="N11:N18" si="2">N$10</f>
        <v>3</v>
      </c>
      <c r="O11" s="2304">
        <f>IF(OR($F$20=$R$6,$F$20=$U$6),CO2データ!I13,IF($F$20=$S$6,CO2データ!L13,CO2データ!O13))</f>
        <v>10.473000000000001</v>
      </c>
    </row>
    <row r="12" spans="1:21">
      <c r="B12" s="2255"/>
      <c r="C12" s="1455"/>
      <c r="D12" s="1455"/>
      <c r="E12" s="1455" t="s">
        <v>523</v>
      </c>
      <c r="F12" s="2301" t="e">
        <f>メイン!P54</f>
        <v>#DIV/0!</v>
      </c>
      <c r="G12" s="1452"/>
      <c r="H12" s="2301">
        <f>IF(OR($F$20=$R$6,$F$20=$U$6),CO2データ!I24,IF($F$20=$S$6,CO2データ!L24,CO2データ!O24))</f>
        <v>14.121600000000003</v>
      </c>
      <c r="I12" s="2301">
        <f>IF(OR($F$20=$R$6,$F$20=$U$6),CO2データ!J24,IF($F$20=$S$6,CO2データ!M24,CO2データ!P24))</f>
        <v>14.121600000000003</v>
      </c>
      <c r="J12" s="2302">
        <f>IF(OR($F$20=$R$6,$F$20=$U$6),CO2データ!K24,IF($F$20=$S$6,CO2データ!N24,CO2データ!Q24))</f>
        <v>14.121600000000003</v>
      </c>
      <c r="K12" s="2287" t="e">
        <f t="shared" si="1"/>
        <v>#DIV/0!</v>
      </c>
      <c r="L12" s="2303" t="e">
        <f t="shared" si="0"/>
        <v>#DIV/0!</v>
      </c>
      <c r="M12" s="1452"/>
      <c r="N12" s="2287">
        <f t="shared" si="2"/>
        <v>3</v>
      </c>
      <c r="O12" s="2304">
        <f>IF(OR($F$20=$R$6,$F$20=$U$6),CO2データ!I19,IF($F$20=$S$6,CO2データ!L19,CO2データ!O19))</f>
        <v>16.572000000000003</v>
      </c>
    </row>
    <row r="13" spans="1:21">
      <c r="B13" s="2255"/>
      <c r="C13" s="1455"/>
      <c r="D13" s="1455"/>
      <c r="E13" s="1455" t="s">
        <v>525</v>
      </c>
      <c r="F13" s="2301" t="e">
        <f>メイン!P56</f>
        <v>#DIV/0!</v>
      </c>
      <c r="G13" s="1452"/>
      <c r="H13" s="2301">
        <f>IF(OR($F$20=$R$6,$F$20=$U$6),CO2データ!I30,IF($F$20=$S$6,CO2データ!L30,CO2データ!O30))</f>
        <v>14.121599999999999</v>
      </c>
      <c r="I13" s="2301">
        <f>IF(OR($F$20=$R$6,$F$20=$U$6),CO2データ!J30,IF($F$20=$S$6,CO2データ!M30,CO2データ!P30))</f>
        <v>14.121600000000003</v>
      </c>
      <c r="J13" s="2302">
        <f>IF(OR($F$20=$R$6,$F$20=$U$6),CO2データ!K30,IF($F$20=$S$6,CO2データ!N30,CO2データ!Q30))</f>
        <v>14.121600000000003</v>
      </c>
      <c r="K13" s="2287" t="e">
        <f t="shared" si="1"/>
        <v>#DIV/0!</v>
      </c>
      <c r="L13" s="2303" t="e">
        <f t="shared" si="0"/>
        <v>#DIV/0!</v>
      </c>
      <c r="M13" s="1452"/>
      <c r="N13" s="2287">
        <f t="shared" si="2"/>
        <v>3</v>
      </c>
      <c r="O13" s="2304">
        <f>IF(OR($F$20=$R$6,$F$20=$U$6),CO2データ!I25,IF($F$20=$S$6,CO2データ!L25,CO2データ!O25))</f>
        <v>16.571999999999999</v>
      </c>
    </row>
    <row r="14" spans="1:21">
      <c r="B14" s="2255"/>
      <c r="C14" s="1455"/>
      <c r="D14" s="1455"/>
      <c r="E14" s="147" t="s">
        <v>819</v>
      </c>
      <c r="F14" s="2301" t="e">
        <f>メイン!P57</f>
        <v>#DIV/0!</v>
      </c>
      <c r="G14" s="1452"/>
      <c r="H14" s="2301">
        <f>IF(OR($F$20=$R$6,$F$20=$U$6),CO2データ!I36,IF($F$20=$S$6,CO2データ!L36,CO2データ!O36))</f>
        <v>9.7101000000000006</v>
      </c>
      <c r="I14" s="2301">
        <f>IF(OR($F$20=$R$6,$F$20=$U$6),CO2データ!J36,IF($F$20=$S$6,CO2データ!M36,CO2データ!P36))</f>
        <v>9.7101000000000006</v>
      </c>
      <c r="J14" s="2302">
        <f>IF(OR($F$20=$R$6,$F$20=$U$6),CO2データ!K36,IF($F$20=$S$6,CO2データ!N36,CO2データ!Q36))</f>
        <v>9.7101000000000006</v>
      </c>
      <c r="K14" s="2287" t="e">
        <f t="shared" si="1"/>
        <v>#DIV/0!</v>
      </c>
      <c r="L14" s="2303" t="e">
        <f t="shared" si="0"/>
        <v>#DIV/0!</v>
      </c>
      <c r="M14" s="1452"/>
      <c r="N14" s="2287">
        <f t="shared" si="2"/>
        <v>3</v>
      </c>
      <c r="O14" s="2304">
        <f>IF(OR($F$20=$R$6,$F$20=$U$6),CO2データ!I31,IF($F$20=$S$6,CO2データ!L31,CO2データ!O31))</f>
        <v>11.535</v>
      </c>
    </row>
    <row r="15" spans="1:21">
      <c r="B15" s="2255"/>
      <c r="C15" s="1455"/>
      <c r="D15" s="1455"/>
      <c r="E15" s="147" t="s">
        <v>535</v>
      </c>
      <c r="F15" s="2301" t="e">
        <f>メイン!P63</f>
        <v>#DIV/0!</v>
      </c>
      <c r="G15" s="1452"/>
      <c r="H15" s="2301">
        <f>IF(OR($F$20=$R$6,$F$20=$U$6),CO2データ!I42,IF($F$20=$S$6,CO2データ!L42,CO2データ!O42))</f>
        <v>16.688899999999997</v>
      </c>
      <c r="I15" s="2301">
        <f>IF(OR($F$20=$R$6,$F$20=$U$6),CO2データ!J42,IF($F$20=$S$6,CO2データ!M42,CO2データ!P42))</f>
        <v>16.688899999999997</v>
      </c>
      <c r="J15" s="2302">
        <f>IF(OR($F$20=$R$6,$F$20=$U$6),CO2データ!K42,IF($F$20=$S$6,CO2データ!N42,CO2データ!Q42))</f>
        <v>16.688899999999997</v>
      </c>
      <c r="K15" s="2287" t="e">
        <f t="shared" si="1"/>
        <v>#DIV/0!</v>
      </c>
      <c r="L15" s="2303" t="e">
        <f t="shared" si="0"/>
        <v>#DIV/0!</v>
      </c>
      <c r="M15" s="1452"/>
      <c r="N15" s="2287">
        <f t="shared" si="2"/>
        <v>3</v>
      </c>
      <c r="O15" s="2304">
        <f>IF(OR($F$20=$R$6,$F$20=$U$6),CO2データ!I37,IF($F$20=$S$6,CO2データ!L37,CO2データ!O37))</f>
        <v>19.561999999999998</v>
      </c>
    </row>
    <row r="16" spans="1:21">
      <c r="B16" s="2255"/>
      <c r="C16" s="1455"/>
      <c r="D16" s="1455"/>
      <c r="E16" s="147" t="s">
        <v>529</v>
      </c>
      <c r="F16" s="2301" t="e">
        <f>メイン!P60</f>
        <v>#DIV/0!</v>
      </c>
      <c r="G16" s="1452"/>
      <c r="H16" s="2301">
        <f>IF(OR($F$20=$R$6,$F$20=$U$6),CO2データ!I48,IF($F$20=$S$6,CO2データ!L48,CO2データ!O48))</f>
        <v>9.1732000000000014</v>
      </c>
      <c r="I16" s="2301">
        <f>IF(OR($F$20=$R$6,$F$20=$U$6),CO2データ!J48,IF($F$20=$S$6,CO2データ!M48,CO2データ!P48))</f>
        <v>9.1732000000000014</v>
      </c>
      <c r="J16" s="2302">
        <f>IF(OR($F$20=$R$6,$F$20=$U$6),CO2データ!K48,IF($F$20=$S$6,CO2データ!N48,CO2データ!Q48))</f>
        <v>9.1732000000000014</v>
      </c>
      <c r="K16" s="2287" t="e">
        <f t="shared" si="1"/>
        <v>#DIV/0!</v>
      </c>
      <c r="L16" s="2303" t="e">
        <f t="shared" si="0"/>
        <v>#DIV/0!</v>
      </c>
      <c r="M16" s="1452"/>
      <c r="N16" s="2287">
        <f t="shared" si="2"/>
        <v>3</v>
      </c>
      <c r="O16" s="2304">
        <f>IF(OR($F$20=$R$6,$F$20=$U$6),CO2データ!I43,IF($F$20=$S$6,CO2データ!L43,CO2データ!O43))</f>
        <v>10.405000000000001</v>
      </c>
    </row>
    <row r="17" spans="2:21">
      <c r="B17" s="2255"/>
      <c r="C17" s="1455"/>
      <c r="D17" s="1455"/>
      <c r="E17" s="147" t="s">
        <v>820</v>
      </c>
      <c r="F17" s="2301" t="e">
        <f>メイン!P61</f>
        <v>#DIV/0!</v>
      </c>
      <c r="G17" s="1452"/>
      <c r="H17" s="2301">
        <f>IF(OR($F$20=$R$6,$F$20=$U$6),CO2データ!I54,IF($F$20=$S$6,CO2データ!L54,CO2データ!O54))</f>
        <v>9.4504000000000019</v>
      </c>
      <c r="I17" s="2301">
        <f>IF(OR($F$20=$R$6,$F$20=$U$6),CO2データ!J54,IF($F$20=$S$6,CO2データ!M54,CO2データ!P54))</f>
        <v>9.4504000000000019</v>
      </c>
      <c r="J17" s="2302">
        <f>IF(OR($F$20=$R$6,$F$20=$U$6),CO2データ!K54,IF($F$20=$S$6,CO2データ!N54,CO2データ!Q54))</f>
        <v>9.4504000000000019</v>
      </c>
      <c r="K17" s="2287" t="e">
        <f t="shared" si="1"/>
        <v>#DIV/0!</v>
      </c>
      <c r="L17" s="2303" t="e">
        <f t="shared" si="0"/>
        <v>#DIV/0!</v>
      </c>
      <c r="M17" s="1452"/>
      <c r="N17" s="2287">
        <f t="shared" si="2"/>
        <v>3</v>
      </c>
      <c r="O17" s="2304">
        <f>IF(OR($F$20=$R$6,$F$20=$U$6),CO2データ!I49,IF($F$20=$S$6,CO2データ!L49,CO2データ!O49))</f>
        <v>11.119000000000002</v>
      </c>
    </row>
    <row r="18" spans="2:21">
      <c r="B18" s="2255"/>
      <c r="C18" s="1455"/>
      <c r="D18" s="1455"/>
      <c r="E18" s="147" t="s">
        <v>1391</v>
      </c>
      <c r="F18" s="2301" t="e">
        <f>メイン!P62</f>
        <v>#DIV/0!</v>
      </c>
      <c r="G18" s="1452"/>
      <c r="H18" s="2301">
        <f>IF(OR($F$20=$R$6,$F$20=$U$6),CO2データ!I60,IF($F$20=$S$6,CO2データ!L60,CO2データ!O60))</f>
        <v>13.6769</v>
      </c>
      <c r="I18" s="2301">
        <f>IF(OR($F$20=$R$6,$F$20=$U$6),CO2データ!J60,IF($F$20=$S$6,CO2データ!M60,CO2データ!P60))</f>
        <v>6.8385000000000007</v>
      </c>
      <c r="J18" s="2302">
        <f>IF(OR($F$20=$R$6,$F$20=$U$6),CO2データ!K60,IF($F$20=$S$6,CO2データ!N60,CO2データ!Q60))</f>
        <v>4.5590999999999999</v>
      </c>
      <c r="K18" s="2287" t="e">
        <f t="shared" si="1"/>
        <v>#DIV/0!</v>
      </c>
      <c r="L18" s="2303" t="e">
        <f t="shared" si="0"/>
        <v>#DIV/0!</v>
      </c>
      <c r="M18" s="1452"/>
      <c r="N18" s="2287">
        <f t="shared" si="2"/>
        <v>3</v>
      </c>
      <c r="O18" s="2304">
        <f>IF(OR($F$20=$R$6,$F$20=$U$6),CO2データ!I55,IF($F$20=$S$6,CO2データ!L55,CO2データ!O55))</f>
        <v>15.641</v>
      </c>
    </row>
    <row r="19" spans="2:21">
      <c r="B19" s="2255"/>
      <c r="C19" s="1455"/>
      <c r="D19" s="1455"/>
      <c r="E19" s="1455"/>
      <c r="F19" s="1455"/>
      <c r="G19" s="1455"/>
      <c r="H19" s="1455"/>
      <c r="I19" s="2306"/>
      <c r="J19" s="2306"/>
      <c r="K19" s="2307"/>
      <c r="L19" s="2308"/>
      <c r="M19" s="1452"/>
      <c r="N19" s="2307"/>
      <c r="O19" s="2309"/>
    </row>
    <row r="20" spans="2:21">
      <c r="B20" s="2255"/>
      <c r="C20" s="1452"/>
      <c r="D20" s="1452" t="s">
        <v>192</v>
      </c>
      <c r="E20" s="1452"/>
      <c r="F20" s="2310" t="str">
        <f>メイン!C23</f>
        <v>S造</v>
      </c>
      <c r="G20" s="1452"/>
      <c r="H20" s="2311"/>
      <c r="I20" s="2311"/>
      <c r="J20" s="2311"/>
      <c r="K20" s="2312"/>
      <c r="L20" s="1452"/>
      <c r="M20" s="1452"/>
      <c r="N20" s="2312"/>
      <c r="O20" s="2313"/>
    </row>
    <row r="21" spans="2:21">
      <c r="B21" s="2314"/>
      <c r="C21" s="2205"/>
      <c r="D21" s="2205" t="s">
        <v>193</v>
      </c>
      <c r="E21" s="2205"/>
      <c r="F21" s="2315">
        <f>'条件(標準)_後'!E31</f>
        <v>0.3</v>
      </c>
      <c r="G21" s="2205"/>
      <c r="H21" s="2205"/>
      <c r="I21" s="2205"/>
      <c r="J21" s="2205"/>
      <c r="K21" s="2205"/>
      <c r="L21" s="2205"/>
      <c r="M21" s="2205"/>
      <c r="N21" s="2316">
        <v>0</v>
      </c>
      <c r="O21" s="2206"/>
    </row>
    <row r="22" spans="2:21">
      <c r="B22" s="2314"/>
      <c r="C22" s="2205"/>
      <c r="D22" s="2205" t="s">
        <v>194</v>
      </c>
      <c r="E22" s="2205"/>
      <c r="F22" s="2315">
        <f>'条件(標準)_後'!E30</f>
        <v>0</v>
      </c>
      <c r="G22" s="2205"/>
      <c r="H22" s="2205"/>
      <c r="I22" s="2205"/>
      <c r="J22" s="2205"/>
      <c r="K22" s="2205"/>
      <c r="L22" s="2205"/>
      <c r="M22" s="2205"/>
      <c r="N22" s="2316">
        <v>0</v>
      </c>
      <c r="O22" s="2206"/>
    </row>
    <row r="23" spans="2:21" ht="5.25" customHeight="1" thickBot="1">
      <c r="B23" s="2314"/>
      <c r="C23" s="2205"/>
      <c r="D23" s="2205"/>
      <c r="E23" s="2205"/>
      <c r="F23" s="2205"/>
      <c r="G23" s="2205"/>
      <c r="H23" s="2205"/>
      <c r="I23" s="2205"/>
      <c r="J23" s="2205"/>
      <c r="K23" s="2205"/>
      <c r="L23" s="2205"/>
      <c r="M23" s="2205"/>
      <c r="N23" s="2205"/>
      <c r="O23" s="2206"/>
    </row>
    <row r="24" spans="2:21" ht="14.25" thickBot="1">
      <c r="B24" s="2314"/>
      <c r="C24" s="1446" t="s">
        <v>195</v>
      </c>
      <c r="D24" s="1455"/>
      <c r="E24" s="1452"/>
      <c r="F24" s="2205"/>
      <c r="G24" s="2205"/>
      <c r="H24" s="2205"/>
      <c r="I24" s="2205"/>
      <c r="J24" s="2205"/>
      <c r="K24" s="2205"/>
      <c r="L24" s="2317" t="e">
        <f>SUMPRODUCT(F10:F18,L10:L18)</f>
        <v>#DIV/0!</v>
      </c>
      <c r="M24" s="2205"/>
      <c r="N24" s="2205"/>
      <c r="O24" s="2317" t="e">
        <f>SUMPRODUCT(F10:F18,O10:O18)</f>
        <v>#DIV/0!</v>
      </c>
    </row>
    <row r="25" spans="2:21">
      <c r="B25" s="2314"/>
      <c r="C25" s="1452"/>
      <c r="D25" s="1455"/>
      <c r="E25" s="147"/>
      <c r="F25" s="2205"/>
      <c r="G25" s="2205"/>
      <c r="H25" s="2205"/>
      <c r="I25" s="2205"/>
      <c r="J25" s="2205"/>
      <c r="K25" s="2205"/>
      <c r="L25" s="2318"/>
      <c r="M25" s="2205"/>
      <c r="N25" s="2205"/>
      <c r="O25" s="2319"/>
    </row>
    <row r="26" spans="2:21" hidden="1">
      <c r="B26" s="2314"/>
      <c r="C26" s="1452" t="s">
        <v>196</v>
      </c>
      <c r="D26" s="2205"/>
      <c r="E26" s="1455" t="s">
        <v>519</v>
      </c>
      <c r="F26" s="2400">
        <f>メイン!R47</f>
        <v>0</v>
      </c>
      <c r="G26" s="2205"/>
      <c r="H26" s="2301">
        <f>IF(OR($F$20=$R$6,$F$20=$U$6),CO2データ!I203,IF($F$20=$S$6,CO2データ!L203,CO2データ!O203))</f>
        <v>60</v>
      </c>
      <c r="I26" s="2301">
        <f>IF(OR($F$20=$R$6,$F$20=$U$6),CO2データ!J203,IF($F$20=$S$6,CO2データ!M203,CO2データ!P203))</f>
        <v>60</v>
      </c>
      <c r="J26" s="2301">
        <f>IF(OR($F$20=$R$6,$F$20=$U$6),CO2データ!K203,IF($F$20=$S$6,CO2データ!N203,CO2データ!Q203))</f>
        <v>60</v>
      </c>
      <c r="K26" s="2320" t="e">
        <f t="shared" ref="K26:K34" si="3">K10</f>
        <v>#DIV/0!</v>
      </c>
      <c r="L26" s="2321">
        <f>IF($F26=1,IF($K26&lt;4,$H26,IF($K26&lt;5,$I26,$J26)),0)</f>
        <v>0</v>
      </c>
      <c r="M26" s="2205"/>
      <c r="N26" s="2287">
        <v>3</v>
      </c>
      <c r="O26" s="2322">
        <f t="shared" ref="O26:O34" si="4">IF($F26=1,IF($N26&lt;4,$H26,IF($N26&lt;5,$I26,$J26)),0)</f>
        <v>0</v>
      </c>
      <c r="R26" t="str">
        <f t="shared" ref="R26:R34" si="5">IF($F26&lt;&gt;1,"",$E26&amp;"部分"&amp;L26&amp;"年,")</f>
        <v/>
      </c>
      <c r="U26" t="str">
        <f t="shared" ref="U26:U34" si="6">IF($F26&lt;&gt;1,"",$E26&amp;"部分"&amp;O26&amp;"年,")</f>
        <v/>
      </c>
    </row>
    <row r="27" spans="2:21" hidden="1">
      <c r="B27" s="2314"/>
      <c r="C27" s="1452"/>
      <c r="D27" s="2205"/>
      <c r="E27" s="1455" t="s">
        <v>521</v>
      </c>
      <c r="F27" s="2400">
        <f>メイン!R49</f>
        <v>0</v>
      </c>
      <c r="G27" s="2205"/>
      <c r="H27" s="2301">
        <f>IF(OR($F$20=$R$6,$F$20=$U$6),CO2データ!I204,IF($F$20=$S$6,CO2データ!L204,CO2データ!O204))</f>
        <v>60</v>
      </c>
      <c r="I27" s="2301">
        <f>IF(OR($F$20=$R$6,$F$20=$U$6),CO2データ!J204,IF($F$20=$S$6,CO2データ!M204,CO2データ!P204))</f>
        <v>60</v>
      </c>
      <c r="J27" s="2301">
        <f>IF(OR($F$20=$R$6,$F$20=$U$6),CO2データ!K204,IF($F$20=$S$6,CO2データ!N204,CO2データ!Q204))</f>
        <v>60</v>
      </c>
      <c r="K27" s="2320" t="e">
        <f t="shared" si="3"/>
        <v>#DIV/0!</v>
      </c>
      <c r="L27" s="2321">
        <f t="shared" ref="L27:L34" si="7">IF($F27=1,IF($K27&lt;4,$H27,IF($K27&lt;5,$I27,$J27)),0)</f>
        <v>0</v>
      </c>
      <c r="M27" s="2205"/>
      <c r="N27" s="2287">
        <v>3</v>
      </c>
      <c r="O27" s="2322">
        <f t="shared" si="4"/>
        <v>0</v>
      </c>
      <c r="R27" t="str">
        <f t="shared" si="5"/>
        <v/>
      </c>
      <c r="U27" t="str">
        <f t="shared" si="6"/>
        <v/>
      </c>
    </row>
    <row r="28" spans="2:21" hidden="1">
      <c r="B28" s="2314"/>
      <c r="C28" s="1452"/>
      <c r="D28" s="2205"/>
      <c r="E28" s="1455" t="s">
        <v>523</v>
      </c>
      <c r="F28" s="2400">
        <f>メイン!R54</f>
        <v>0</v>
      </c>
      <c r="G28" s="2205"/>
      <c r="H28" s="2301">
        <f>IF(OR($F$20=$R$6,$F$20=$U$6),CO2データ!I205,IF($F$20=$S$6,CO2データ!L205,CO2データ!O205))</f>
        <v>30</v>
      </c>
      <c r="I28" s="2301">
        <f>IF(OR($F$20=$R$6,$F$20=$U$6),CO2データ!J205,IF($F$20=$S$6,CO2データ!M205,CO2データ!P205))</f>
        <v>30</v>
      </c>
      <c r="J28" s="2301">
        <f>IF(OR($F$20=$R$6,$F$20=$U$6),CO2データ!K205,IF($F$20=$S$6,CO2データ!N205,CO2データ!Q205))</f>
        <v>30</v>
      </c>
      <c r="K28" s="2320" t="e">
        <f t="shared" si="3"/>
        <v>#DIV/0!</v>
      </c>
      <c r="L28" s="2321">
        <f t="shared" si="7"/>
        <v>0</v>
      </c>
      <c r="M28" s="2205"/>
      <c r="N28" s="2287">
        <v>3</v>
      </c>
      <c r="O28" s="2322">
        <f t="shared" si="4"/>
        <v>0</v>
      </c>
      <c r="R28" t="str">
        <f t="shared" si="5"/>
        <v/>
      </c>
      <c r="U28" t="str">
        <f t="shared" si="6"/>
        <v/>
      </c>
    </row>
    <row r="29" spans="2:21" hidden="1">
      <c r="B29" s="2314"/>
      <c r="C29" s="1452"/>
      <c r="D29" s="2205"/>
      <c r="E29" s="1455" t="s">
        <v>525</v>
      </c>
      <c r="F29" s="2400">
        <f>メイン!R56</f>
        <v>0</v>
      </c>
      <c r="G29" s="2205"/>
      <c r="H29" s="2301">
        <f>IF(OR($F$20=$R$6,$F$20=$U$6),CO2データ!I206,IF($F$20=$S$6,CO2データ!L206,CO2データ!O206))</f>
        <v>30</v>
      </c>
      <c r="I29" s="2301">
        <f>IF(OR($F$20=$R$6,$F$20=$U$6),CO2データ!J206,IF($F$20=$S$6,CO2データ!M206,CO2データ!P206))</f>
        <v>30</v>
      </c>
      <c r="J29" s="2301">
        <f>IF(OR($F$20=$R$6,$F$20=$U$6),CO2データ!K206,IF($F$20=$S$6,CO2データ!N206,CO2データ!Q206))</f>
        <v>30</v>
      </c>
      <c r="K29" s="2320" t="e">
        <f t="shared" si="3"/>
        <v>#DIV/0!</v>
      </c>
      <c r="L29" s="2321">
        <f t="shared" si="7"/>
        <v>0</v>
      </c>
      <c r="M29" s="2205"/>
      <c r="N29" s="2287">
        <v>3</v>
      </c>
      <c r="O29" s="2322">
        <f t="shared" si="4"/>
        <v>0</v>
      </c>
      <c r="R29" t="str">
        <f t="shared" si="5"/>
        <v/>
      </c>
      <c r="U29" t="str">
        <f t="shared" si="6"/>
        <v/>
      </c>
    </row>
    <row r="30" spans="2:21" hidden="1">
      <c r="B30" s="2314"/>
      <c r="C30" s="1452"/>
      <c r="D30" s="2205"/>
      <c r="E30" s="147" t="s">
        <v>819</v>
      </c>
      <c r="F30" s="2400">
        <f>メイン!R57</f>
        <v>0</v>
      </c>
      <c r="G30" s="2205"/>
      <c r="H30" s="2301">
        <f>IF(OR($F$20=$R$6,$F$20=$U$6),CO2データ!I207,IF($F$20=$S$6,CO2データ!L207,CO2データ!O207))</f>
        <v>60</v>
      </c>
      <c r="I30" s="2301">
        <f>IF(OR($F$20=$R$6,$F$20=$U$6),CO2データ!J207,IF($F$20=$S$6,CO2データ!M207,CO2データ!P207))</f>
        <v>60</v>
      </c>
      <c r="J30" s="2301">
        <f>IF(OR($F$20=$R$6,$F$20=$U$6),CO2データ!K207,IF($F$20=$S$6,CO2データ!N207,CO2データ!Q207))</f>
        <v>60</v>
      </c>
      <c r="K30" s="2320" t="e">
        <f t="shared" si="3"/>
        <v>#DIV/0!</v>
      </c>
      <c r="L30" s="2321">
        <f t="shared" si="7"/>
        <v>0</v>
      </c>
      <c r="M30" s="2205"/>
      <c r="N30" s="2287">
        <v>3</v>
      </c>
      <c r="O30" s="2322">
        <f t="shared" si="4"/>
        <v>0</v>
      </c>
      <c r="R30" t="str">
        <f t="shared" si="5"/>
        <v/>
      </c>
      <c r="U30" t="str">
        <f t="shared" si="6"/>
        <v/>
      </c>
    </row>
    <row r="31" spans="2:21" hidden="1">
      <c r="B31" s="2314"/>
      <c r="C31" s="1452"/>
      <c r="D31" s="2205"/>
      <c r="E31" s="147" t="s">
        <v>535</v>
      </c>
      <c r="F31" s="2400">
        <f>メイン!R63</f>
        <v>0</v>
      </c>
      <c r="G31" s="2205"/>
      <c r="H31" s="2301">
        <f>IF(OR($F$20=$R$6,$F$20=$U$6),CO2データ!I208,IF($F$20=$S$6,CO2データ!L208,CO2データ!O208))</f>
        <v>30</v>
      </c>
      <c r="I31" s="2301">
        <f>IF(OR($F$20=$R$6,$F$20=$U$6),CO2データ!J208,IF($F$20=$S$6,CO2データ!M208,CO2データ!P208))</f>
        <v>30</v>
      </c>
      <c r="J31" s="2301">
        <f>IF(OR($F$20=$R$6,$F$20=$U$6),CO2データ!K208,IF($F$20=$S$6,CO2データ!N208,CO2データ!Q208))</f>
        <v>30</v>
      </c>
      <c r="K31" s="2320" t="e">
        <f t="shared" si="3"/>
        <v>#DIV/0!</v>
      </c>
      <c r="L31" s="2321">
        <f t="shared" si="7"/>
        <v>0</v>
      </c>
      <c r="M31" s="2205"/>
      <c r="N31" s="2287">
        <v>3</v>
      </c>
      <c r="O31" s="2322">
        <f t="shared" si="4"/>
        <v>0</v>
      </c>
      <c r="R31" t="str">
        <f t="shared" si="5"/>
        <v/>
      </c>
      <c r="U31" t="str">
        <f t="shared" si="6"/>
        <v/>
      </c>
    </row>
    <row r="32" spans="2:21" hidden="1">
      <c r="B32" s="2314"/>
      <c r="C32" s="1452"/>
      <c r="D32" s="2205"/>
      <c r="E32" s="147" t="s">
        <v>529</v>
      </c>
      <c r="F32" s="2400">
        <f>メイン!R60</f>
        <v>0</v>
      </c>
      <c r="G32" s="2205"/>
      <c r="H32" s="2301">
        <f>IF(OR($F$20=$R$6,$F$20=$U$6),CO2データ!I209,IF($F$20=$S$6,CO2データ!L209,CO2データ!O209))</f>
        <v>60</v>
      </c>
      <c r="I32" s="2301">
        <f>IF(OR($F$20=$R$6,$F$20=$U$6),CO2データ!J209,IF($F$20=$S$6,CO2データ!M209,CO2データ!P209))</f>
        <v>60</v>
      </c>
      <c r="J32" s="2301">
        <f>IF(OR($F$20=$R$6,$F$20=$U$6),CO2データ!K209,IF($F$20=$S$6,CO2データ!N209,CO2データ!Q209))</f>
        <v>60</v>
      </c>
      <c r="K32" s="2320" t="e">
        <f t="shared" si="3"/>
        <v>#DIV/0!</v>
      </c>
      <c r="L32" s="2321">
        <f t="shared" si="7"/>
        <v>0</v>
      </c>
      <c r="M32" s="2205"/>
      <c r="N32" s="2287">
        <v>3</v>
      </c>
      <c r="O32" s="2322">
        <f t="shared" si="4"/>
        <v>0</v>
      </c>
      <c r="R32" t="str">
        <f t="shared" si="5"/>
        <v/>
      </c>
      <c r="U32" t="str">
        <f t="shared" si="6"/>
        <v/>
      </c>
    </row>
    <row r="33" spans="2:21" hidden="1">
      <c r="B33" s="2314"/>
      <c r="C33" s="1452"/>
      <c r="D33" s="2205"/>
      <c r="E33" s="147" t="s">
        <v>820</v>
      </c>
      <c r="F33" s="2400">
        <f>メイン!R61</f>
        <v>0</v>
      </c>
      <c r="G33" s="2205"/>
      <c r="H33" s="2301">
        <f>IF(OR($F$20=$R$6,$F$20=$U$6),CO2データ!I210,IF($F$20=$S$6,CO2データ!L210,CO2データ!O210))</f>
        <v>60</v>
      </c>
      <c r="I33" s="2301">
        <f>IF(OR($F$20=$R$6,$F$20=$U$6),CO2データ!J210,IF($F$20=$S$6,CO2データ!M210,CO2データ!P210))</f>
        <v>60</v>
      </c>
      <c r="J33" s="2301">
        <f>IF(OR($F$20=$R$6,$F$20=$U$6),CO2データ!K210,IF($F$20=$S$6,CO2データ!N210,CO2データ!Q210))</f>
        <v>60</v>
      </c>
      <c r="K33" s="2320" t="e">
        <f t="shared" si="3"/>
        <v>#DIV/0!</v>
      </c>
      <c r="L33" s="2321">
        <f t="shared" si="7"/>
        <v>0</v>
      </c>
      <c r="M33" s="2205"/>
      <c r="N33" s="2287">
        <v>3</v>
      </c>
      <c r="O33" s="2322">
        <f t="shared" si="4"/>
        <v>0</v>
      </c>
      <c r="R33" t="str">
        <f t="shared" si="5"/>
        <v/>
      </c>
      <c r="U33" t="str">
        <f t="shared" si="6"/>
        <v/>
      </c>
    </row>
    <row r="34" spans="2:21" ht="14.25" hidden="1" thickBot="1">
      <c r="B34" s="2314"/>
      <c r="C34" s="1452"/>
      <c r="D34" s="2205"/>
      <c r="E34" s="147" t="s">
        <v>533</v>
      </c>
      <c r="F34" s="2400">
        <f>メイン!R62</f>
        <v>0</v>
      </c>
      <c r="G34" s="2205"/>
      <c r="H34" s="2301">
        <f>IF(OR($F$20=$R$6,$F$20=$U$6),CO2データ!I211,IF($F$20=$S$6,CO2データ!L211,CO2データ!O211))</f>
        <v>30</v>
      </c>
      <c r="I34" s="2301">
        <f>IF(OR($F$20=$R$6,$F$20=$U$6),CO2データ!J211,IF($F$20=$S$6,CO2データ!M211,CO2データ!P211))</f>
        <v>60</v>
      </c>
      <c r="J34" s="2301">
        <f>IF(OR($F$20=$R$6,$F$20=$U$6),CO2データ!K211,IF($F$20=$S$6,CO2データ!N211,CO2データ!Q211))</f>
        <v>90</v>
      </c>
      <c r="K34" s="2320" t="e">
        <f t="shared" si="3"/>
        <v>#DIV/0!</v>
      </c>
      <c r="L34" s="2321">
        <f t="shared" si="7"/>
        <v>0</v>
      </c>
      <c r="M34" s="2205"/>
      <c r="N34" s="2287">
        <v>3</v>
      </c>
      <c r="O34" s="2322">
        <f t="shared" si="4"/>
        <v>0</v>
      </c>
      <c r="R34" t="str">
        <f t="shared" si="5"/>
        <v/>
      </c>
      <c r="U34" t="str">
        <f t="shared" si="6"/>
        <v/>
      </c>
    </row>
    <row r="35" spans="2:21" ht="14.25" hidden="1" thickBot="1">
      <c r="B35" s="2314"/>
      <c r="C35" s="1452"/>
      <c r="D35" s="2205"/>
      <c r="E35" s="147"/>
      <c r="F35" s="147"/>
      <c r="G35" s="147"/>
      <c r="H35" s="147"/>
      <c r="I35" s="147"/>
      <c r="J35" s="147"/>
      <c r="K35" s="147"/>
      <c r="L35" s="2323" t="str">
        <f>R26&amp;R27&amp;R28&amp;R29&amp;R30&amp;R31&amp;R32&amp;R33&amp;R34&amp;R35</f>
        <v/>
      </c>
      <c r="M35" s="147"/>
      <c r="N35" s="147"/>
      <c r="O35" s="2323" t="str">
        <f>U26&amp;U27&amp;U28&amp;U29&amp;U30&amp;U31&amp;U32&amp;U33&amp;U34&amp;U35</f>
        <v/>
      </c>
      <c r="R35" t="str">
        <f>IF(SUM(F26:F34)&gt;1,"他","")</f>
        <v/>
      </c>
      <c r="U35" t="str">
        <f>IF(SUM(F26:F34)&gt;1,"他","")</f>
        <v/>
      </c>
    </row>
    <row r="36" spans="2:21" hidden="1">
      <c r="B36" s="2314"/>
      <c r="C36" s="1452"/>
      <c r="D36" s="2205"/>
      <c r="E36" s="147"/>
      <c r="F36" s="147"/>
      <c r="G36" s="147"/>
      <c r="H36" s="147"/>
      <c r="I36" s="147"/>
      <c r="J36" s="147"/>
      <c r="K36" s="147"/>
      <c r="L36" s="147"/>
      <c r="M36" s="147"/>
      <c r="N36" s="147"/>
      <c r="O36" s="2324"/>
    </row>
    <row r="37" spans="2:21" hidden="1">
      <c r="B37" s="2325"/>
      <c r="C37" s="2326" t="s">
        <v>125</v>
      </c>
      <c r="D37" s="2326"/>
      <c r="E37" s="2257"/>
      <c r="F37" s="2257"/>
      <c r="G37" s="2257"/>
      <c r="H37" s="2327"/>
      <c r="I37" s="2328" t="s">
        <v>197</v>
      </c>
      <c r="J37" s="2328" t="s">
        <v>198</v>
      </c>
      <c r="K37" s="2329"/>
      <c r="L37" s="2329"/>
      <c r="M37" s="2329"/>
      <c r="N37" s="2329"/>
      <c r="O37" s="2330"/>
    </row>
    <row r="38" spans="2:21" hidden="1">
      <c r="B38" s="2325"/>
      <c r="C38" s="2257"/>
      <c r="D38" s="2257" t="s">
        <v>199</v>
      </c>
      <c r="E38" s="2257"/>
      <c r="F38" s="2301" t="e">
        <f>F10</f>
        <v>#DIV/0!</v>
      </c>
      <c r="G38" s="2257"/>
      <c r="H38" s="2301">
        <f>IF(OR($F$20=$R$6,$F$20=$U$6),CO2データ!I214,IF($F$20=$S$6,CO2データ!L214,CO2データ!O214))</f>
        <v>0.56699999999999995</v>
      </c>
      <c r="I38" s="2301">
        <f>IF(OR($F$20=$R$6,$F$20=$U$6),CO2データ!J214,IF($F$20=$S$6,CO2データ!M214,CO2データ!P214))</f>
        <v>0</v>
      </c>
      <c r="J38" s="2301">
        <f>IF(OR($F$20=$R$6,$F$20=$U$6),CO2データ!K214,IF($F$20=$S$6,CO2データ!N214,CO2データ!Q214))</f>
        <v>0</v>
      </c>
      <c r="K38" s="2329"/>
      <c r="L38" s="2327">
        <f t="shared" ref="L38:L91" si="8">H38-(H38-I38)*$F$21-(H38-J38)*$F$22</f>
        <v>0.39689999999999998</v>
      </c>
      <c r="M38" s="2329"/>
      <c r="N38" s="2327"/>
      <c r="O38" s="2331">
        <f t="shared" ref="O38:O91" si="9">H38</f>
        <v>0.56699999999999995</v>
      </c>
      <c r="P38" t="s">
        <v>200</v>
      </c>
    </row>
    <row r="39" spans="2:21" hidden="1">
      <c r="B39" s="2325"/>
      <c r="C39" s="2257"/>
      <c r="D39" s="2257"/>
      <c r="E39" s="2257"/>
      <c r="F39" s="2301" t="e">
        <f>$F$38</f>
        <v>#DIV/0!</v>
      </c>
      <c r="G39" s="2257"/>
      <c r="H39" s="2301">
        <f>IF(OR($F$20=$R$6,$F$20=$U$6),CO2データ!I215,IF($F$20=$S$6,CO2データ!L215,CO2データ!O215))</f>
        <v>0</v>
      </c>
      <c r="I39" s="2301">
        <f>IF(OR($F$20=$R$6,$F$20=$U$6),CO2データ!J215,IF($F$20=$S$6,CO2データ!M215,CO2データ!P215))</f>
        <v>0</v>
      </c>
      <c r="J39" s="2301">
        <f>IF(OR($F$20=$R$6,$F$20=$U$6),CO2データ!K215,IF($F$20=$S$6,CO2データ!N215,CO2データ!Q215))</f>
        <v>0.56699999999999995</v>
      </c>
      <c r="K39" s="2329"/>
      <c r="L39" s="2327">
        <f t="shared" si="8"/>
        <v>0</v>
      </c>
      <c r="M39" s="2329"/>
      <c r="N39" s="2327"/>
      <c r="O39" s="2331">
        <f t="shared" si="9"/>
        <v>0</v>
      </c>
      <c r="P39" t="s">
        <v>200</v>
      </c>
    </row>
    <row r="40" spans="2:21" hidden="1">
      <c r="B40" s="2325"/>
      <c r="C40" s="2257"/>
      <c r="D40" s="2257"/>
      <c r="E40" s="2257"/>
      <c r="F40" s="2301" t="e">
        <f>$F$38</f>
        <v>#DIV/0!</v>
      </c>
      <c r="G40" s="2257"/>
      <c r="H40" s="2301">
        <f>IF(OR($F$20=$R$6,$F$20=$U$6),CO2データ!I216,IF($F$20=$S$6,CO2データ!L216,CO2データ!O216))</f>
        <v>0.13600000000000001</v>
      </c>
      <c r="I40" s="2301">
        <f>IF(OR($F$20=$R$6,$F$20=$U$6),CO2データ!J216,IF($F$20=$S$6,CO2データ!M216,CO2データ!P216))</f>
        <v>0</v>
      </c>
      <c r="J40" s="2301">
        <f>IF(OR($F$20=$R$6,$F$20=$U$6),CO2データ!K216,IF($F$20=$S$6,CO2データ!N216,CO2データ!Q216))</f>
        <v>0.13600000000000001</v>
      </c>
      <c r="K40" s="2329"/>
      <c r="L40" s="2327">
        <f t="shared" si="8"/>
        <v>9.5200000000000007E-2</v>
      </c>
      <c r="M40" s="2329"/>
      <c r="N40" s="2327"/>
      <c r="O40" s="2331">
        <f t="shared" si="9"/>
        <v>0.13600000000000001</v>
      </c>
      <c r="P40" t="s">
        <v>130</v>
      </c>
    </row>
    <row r="41" spans="2:21" hidden="1">
      <c r="B41" s="2325"/>
      <c r="C41" s="2257"/>
      <c r="D41" s="2257"/>
      <c r="E41" s="2257"/>
      <c r="F41" s="2301" t="e">
        <f>$F$38</f>
        <v>#DIV/0!</v>
      </c>
      <c r="G41" s="2257"/>
      <c r="H41" s="2301">
        <f>IF(OR($F$20=$R$6,$F$20=$U$6),CO2データ!I217,IF($F$20=$S$6,CO2データ!L217,CO2データ!O217))</f>
        <v>0</v>
      </c>
      <c r="I41" s="2301">
        <f>IF(OR($F$20=$R$6,$F$20=$U$6),CO2データ!J217,IF($F$20=$S$6,CO2データ!M217,CO2データ!P217))</f>
        <v>0</v>
      </c>
      <c r="J41" s="2301">
        <f>IF(OR($F$20=$R$6,$F$20=$U$6),CO2データ!K217,IF($F$20=$S$6,CO2データ!N217,CO2データ!Q217))</f>
        <v>0</v>
      </c>
      <c r="K41" s="2329"/>
      <c r="L41" s="2327">
        <f t="shared" si="8"/>
        <v>0</v>
      </c>
      <c r="M41" s="2329"/>
      <c r="N41" s="2327"/>
      <c r="O41" s="2331">
        <f t="shared" si="9"/>
        <v>0</v>
      </c>
      <c r="P41" t="s">
        <v>130</v>
      </c>
    </row>
    <row r="42" spans="2:21" hidden="1">
      <c r="B42" s="2325"/>
      <c r="C42" s="2257"/>
      <c r="D42" s="2257"/>
      <c r="E42" s="2257"/>
      <c r="F42" s="2301" t="e">
        <f>$F$38</f>
        <v>#DIV/0!</v>
      </c>
      <c r="G42" s="2257"/>
      <c r="H42" s="2301">
        <f>IF(OR($F$20=$R$6,$F$20=$U$6),CO2データ!I218,IF($F$20=$S$6,CO2データ!L218,CO2データ!O218))</f>
        <v>7.0000000000000007E-2</v>
      </c>
      <c r="I42" s="2301">
        <f>IF(OR($F$20=$R$6,$F$20=$U$6),CO2データ!J218,IF($F$20=$S$6,CO2データ!M218,CO2データ!P218))</f>
        <v>0</v>
      </c>
      <c r="J42" s="2301">
        <f>IF(OR($F$20=$R$6,$F$20=$U$6),CO2データ!K218,IF($F$20=$S$6,CO2データ!N218,CO2データ!Q218))</f>
        <v>7.0000000000000007E-2</v>
      </c>
      <c r="K42" s="2329"/>
      <c r="L42" s="2327">
        <f t="shared" si="8"/>
        <v>4.9000000000000002E-2</v>
      </c>
      <c r="M42" s="2329"/>
      <c r="N42" s="2327"/>
      <c r="O42" s="2331">
        <f t="shared" si="9"/>
        <v>7.0000000000000007E-2</v>
      </c>
      <c r="P42" t="s">
        <v>130</v>
      </c>
    </row>
    <row r="43" spans="2:21" hidden="1">
      <c r="B43" s="2325"/>
      <c r="C43" s="2257"/>
      <c r="D43" s="2257"/>
      <c r="E43" s="2257"/>
      <c r="F43" s="2301" t="e">
        <f>$F$38</f>
        <v>#DIV/0!</v>
      </c>
      <c r="G43" s="2257"/>
      <c r="H43" s="2301">
        <f>IF(OR($F$20=$R$6,$F$20=$U$6),CO2データ!I219,IF($F$20=$S$6,CO2データ!L219,CO2データ!O219))</f>
        <v>5.0000000000000001E-3</v>
      </c>
      <c r="I43" s="2301">
        <f>IF(OR($F$20=$R$6,$F$20=$U$6),CO2データ!J219,IF($F$20=$S$6,CO2データ!M219,CO2データ!P219))</f>
        <v>0</v>
      </c>
      <c r="J43" s="2301">
        <f>IF(OR($F$20=$R$6,$F$20=$U$6),CO2データ!K219,IF($F$20=$S$6,CO2データ!N219,CO2データ!Q219))</f>
        <v>5.0000000000000001E-3</v>
      </c>
      <c r="K43" s="2329"/>
      <c r="L43" s="2327">
        <f t="shared" si="8"/>
        <v>3.5000000000000001E-3</v>
      </c>
      <c r="M43" s="2329"/>
      <c r="N43" s="2327"/>
      <c r="O43" s="2331">
        <f t="shared" si="9"/>
        <v>5.0000000000000001E-3</v>
      </c>
      <c r="P43" t="s">
        <v>130</v>
      </c>
    </row>
    <row r="44" spans="2:21" hidden="1">
      <c r="B44" s="2325"/>
      <c r="C44" s="2257"/>
      <c r="D44" s="2257" t="s">
        <v>201</v>
      </c>
      <c r="E44" s="2257"/>
      <c r="F44" s="2301" t="e">
        <f>F11</f>
        <v>#DIV/0!</v>
      </c>
      <c r="G44" s="2257"/>
      <c r="H44" s="2301">
        <f>IF(OR($F$20=$R$6,$F$20=$U$6),CO2データ!I220,IF($F$20=$S$6,CO2データ!L220,CO2データ!O220))</f>
        <v>0.35199999999999998</v>
      </c>
      <c r="I44" s="2301">
        <f>IF(OR($F$20=$R$6,$F$20=$U$6),CO2データ!J220,IF($F$20=$S$6,CO2データ!M220,CO2データ!P220))</f>
        <v>0</v>
      </c>
      <c r="J44" s="2301">
        <f>IF(OR($F$20=$R$6,$F$20=$U$6),CO2データ!K220,IF($F$20=$S$6,CO2データ!N220,CO2データ!Q220))</f>
        <v>0</v>
      </c>
      <c r="K44" s="2329"/>
      <c r="L44" s="2327">
        <f t="shared" si="8"/>
        <v>0.24640000000000001</v>
      </c>
      <c r="M44" s="2329"/>
      <c r="N44" s="2327"/>
      <c r="O44" s="2331">
        <f t="shared" si="9"/>
        <v>0.35199999999999998</v>
      </c>
      <c r="P44" t="s">
        <v>200</v>
      </c>
    </row>
    <row r="45" spans="2:21" hidden="1">
      <c r="B45" s="2325"/>
      <c r="C45" s="2257"/>
      <c r="D45" s="2257"/>
      <c r="E45" s="2257"/>
      <c r="F45" s="2301" t="e">
        <f>$F$44</f>
        <v>#DIV/0!</v>
      </c>
      <c r="G45" s="2257"/>
      <c r="H45" s="2301">
        <f>IF(OR($F$20=$R$6,$F$20=$U$6),CO2データ!I221,IF($F$20=$S$6,CO2データ!L221,CO2データ!O221))</f>
        <v>0</v>
      </c>
      <c r="I45" s="2301">
        <f>IF(OR($F$20=$R$6,$F$20=$U$6),CO2データ!J221,IF($F$20=$S$6,CO2データ!M221,CO2データ!P221))</f>
        <v>0</v>
      </c>
      <c r="J45" s="2301">
        <f>IF(OR($F$20=$R$6,$F$20=$U$6),CO2データ!K221,IF($F$20=$S$6,CO2データ!N221,CO2データ!Q221))</f>
        <v>0.35199999999999998</v>
      </c>
      <c r="K45" s="2329"/>
      <c r="L45" s="2327">
        <f t="shared" si="8"/>
        <v>0</v>
      </c>
      <c r="M45" s="2329"/>
      <c r="N45" s="2327"/>
      <c r="O45" s="2331">
        <f t="shared" si="9"/>
        <v>0</v>
      </c>
      <c r="P45" t="s">
        <v>200</v>
      </c>
    </row>
    <row r="46" spans="2:21" hidden="1">
      <c r="B46" s="2325"/>
      <c r="C46" s="2257"/>
      <c r="D46" s="2257"/>
      <c r="E46" s="2257"/>
      <c r="F46" s="2301" t="e">
        <f>$F$44</f>
        <v>#DIV/0!</v>
      </c>
      <c r="G46" s="2257"/>
      <c r="H46" s="2301">
        <f>IF(OR($F$20=$R$6,$F$20=$U$6),CO2データ!I222,IF($F$20=$S$6,CO2データ!L222,CO2データ!O222))</f>
        <v>0.105</v>
      </c>
      <c r="I46" s="2301">
        <f>IF(OR($F$20=$R$6,$F$20=$U$6),CO2データ!J222,IF($F$20=$S$6,CO2データ!M222,CO2データ!P222))</f>
        <v>0</v>
      </c>
      <c r="J46" s="2301">
        <f>IF(OR($F$20=$R$6,$F$20=$U$6),CO2データ!K222,IF($F$20=$S$6,CO2データ!N222,CO2データ!Q222))</f>
        <v>0.105</v>
      </c>
      <c r="K46" s="2329"/>
      <c r="L46" s="2327">
        <f t="shared" si="8"/>
        <v>7.3499999999999996E-2</v>
      </c>
      <c r="M46" s="2329"/>
      <c r="N46" s="2327"/>
      <c r="O46" s="2331">
        <f t="shared" si="9"/>
        <v>0.105</v>
      </c>
      <c r="P46" t="s">
        <v>130</v>
      </c>
    </row>
    <row r="47" spans="2:21" hidden="1">
      <c r="B47" s="2325"/>
      <c r="C47" s="2257"/>
      <c r="D47" s="2257"/>
      <c r="E47" s="2257"/>
      <c r="F47" s="2301" t="e">
        <f>$F$44</f>
        <v>#DIV/0!</v>
      </c>
      <c r="G47" s="2257"/>
      <c r="H47" s="2301">
        <f>IF(OR($F$20=$R$6,$F$20=$U$6),CO2データ!I223,IF($F$20=$S$6,CO2データ!L223,CO2データ!O223))</f>
        <v>0</v>
      </c>
      <c r="I47" s="2301">
        <f>IF(OR($F$20=$R$6,$F$20=$U$6),CO2データ!J223,IF($F$20=$S$6,CO2データ!M223,CO2データ!P223))</f>
        <v>0</v>
      </c>
      <c r="J47" s="2301">
        <f>IF(OR($F$20=$R$6,$F$20=$U$6),CO2データ!K223,IF($F$20=$S$6,CO2データ!N223,CO2データ!Q223))</f>
        <v>0</v>
      </c>
      <c r="K47" s="2329"/>
      <c r="L47" s="2327">
        <f t="shared" si="8"/>
        <v>0</v>
      </c>
      <c r="M47" s="2329"/>
      <c r="N47" s="2327"/>
      <c r="O47" s="2331">
        <f t="shared" si="9"/>
        <v>0</v>
      </c>
      <c r="P47" t="s">
        <v>130</v>
      </c>
    </row>
    <row r="48" spans="2:21" hidden="1">
      <c r="B48" s="2325"/>
      <c r="C48" s="2257"/>
      <c r="D48" s="2257"/>
      <c r="E48" s="2257"/>
      <c r="F48" s="2301" t="e">
        <f>$F$44</f>
        <v>#DIV/0!</v>
      </c>
      <c r="G48" s="2257"/>
      <c r="H48" s="2301">
        <f>IF(OR($F$20=$R$6,$F$20=$U$6),CO2データ!I224,IF($F$20=$S$6,CO2データ!L224,CO2データ!O224))</f>
        <v>4.4999999999999998E-2</v>
      </c>
      <c r="I48" s="2301">
        <f>IF(OR($F$20=$R$6,$F$20=$U$6),CO2データ!J224,IF($F$20=$S$6,CO2データ!M224,CO2データ!P224))</f>
        <v>0</v>
      </c>
      <c r="J48" s="2301">
        <f>IF(OR($F$20=$R$6,$F$20=$U$6),CO2データ!K224,IF($F$20=$S$6,CO2データ!N224,CO2データ!Q224))</f>
        <v>4.4999999999999998E-2</v>
      </c>
      <c r="K48" s="2329"/>
      <c r="L48" s="2327">
        <f t="shared" si="8"/>
        <v>3.15E-2</v>
      </c>
      <c r="M48" s="2329"/>
      <c r="N48" s="2327"/>
      <c r="O48" s="2331">
        <f t="shared" si="9"/>
        <v>4.4999999999999998E-2</v>
      </c>
      <c r="P48" t="s">
        <v>130</v>
      </c>
    </row>
    <row r="49" spans="2:16" hidden="1">
      <c r="B49" s="2325"/>
      <c r="C49" s="2257"/>
      <c r="D49" s="2257"/>
      <c r="E49" s="2257"/>
      <c r="F49" s="2301" t="e">
        <f>$F$44</f>
        <v>#DIV/0!</v>
      </c>
      <c r="G49" s="2257"/>
      <c r="H49" s="2301">
        <f>IF(OR($F$20=$R$6,$F$20=$U$6),CO2データ!I225,IF($F$20=$S$6,CO2データ!L225,CO2データ!O225))</f>
        <v>2E-3</v>
      </c>
      <c r="I49" s="2301">
        <f>IF(OR($F$20=$R$6,$F$20=$U$6),CO2データ!J225,IF($F$20=$S$6,CO2データ!M225,CO2データ!P225))</f>
        <v>0</v>
      </c>
      <c r="J49" s="2301">
        <f>IF(OR($F$20=$R$6,$F$20=$U$6),CO2データ!K225,IF($F$20=$S$6,CO2データ!N225,CO2データ!Q225))</f>
        <v>2.3999999999999998E-3</v>
      </c>
      <c r="K49" s="2329"/>
      <c r="L49" s="2327">
        <f t="shared" si="8"/>
        <v>1.4000000000000002E-3</v>
      </c>
      <c r="M49" s="2329"/>
      <c r="N49" s="2327"/>
      <c r="O49" s="2331">
        <f t="shared" si="9"/>
        <v>2E-3</v>
      </c>
      <c r="P49" t="s">
        <v>130</v>
      </c>
    </row>
    <row r="50" spans="2:16" hidden="1">
      <c r="B50" s="2325"/>
      <c r="C50" s="2257"/>
      <c r="D50" s="2257" t="s">
        <v>202</v>
      </c>
      <c r="E50" s="2257"/>
      <c r="F50" s="2301" t="e">
        <f>F12</f>
        <v>#DIV/0!</v>
      </c>
      <c r="G50" s="2257"/>
      <c r="H50" s="2301">
        <f>IF(OR($F$20=$R$6,$F$20=$U$6),CO2データ!I226,IF($F$20=$S$6,CO2データ!L226,CO2データ!O226))</f>
        <v>0.34200000000000003</v>
      </c>
      <c r="I50" s="2301">
        <f>IF(OR($F$20=$R$6,$F$20=$U$6),CO2データ!J226,IF($F$20=$S$6,CO2データ!M226,CO2データ!P226))</f>
        <v>0</v>
      </c>
      <c r="J50" s="2301">
        <f>IF(OR($F$20=$R$6,$F$20=$U$6),CO2データ!K226,IF($F$20=$S$6,CO2データ!N226,CO2データ!Q226))</f>
        <v>0</v>
      </c>
      <c r="K50" s="2329"/>
      <c r="L50" s="2327">
        <f t="shared" si="8"/>
        <v>0.2394</v>
      </c>
      <c r="M50" s="2329"/>
      <c r="N50" s="2327"/>
      <c r="O50" s="2331">
        <f t="shared" si="9"/>
        <v>0.34200000000000003</v>
      </c>
      <c r="P50" t="s">
        <v>1392</v>
      </c>
    </row>
    <row r="51" spans="2:16" hidden="1">
      <c r="B51" s="2325"/>
      <c r="C51" s="2257"/>
      <c r="D51" s="2257"/>
      <c r="E51" s="2257"/>
      <c r="F51" s="2301" t="e">
        <f>$F$50</f>
        <v>#DIV/0!</v>
      </c>
      <c r="G51" s="2257"/>
      <c r="H51" s="2301">
        <f>IF(OR($F$20=$R$6,$F$20=$U$6),CO2データ!I227,IF($F$20=$S$6,CO2データ!L227,CO2データ!O227))</f>
        <v>0</v>
      </c>
      <c r="I51" s="2301">
        <f>IF(OR($F$20=$R$6,$F$20=$U$6),CO2データ!J227,IF($F$20=$S$6,CO2データ!M227,CO2データ!P227))</f>
        <v>0</v>
      </c>
      <c r="J51" s="2301">
        <f>IF(OR($F$20=$R$6,$F$20=$U$6),CO2データ!K227,IF($F$20=$S$6,CO2データ!N227,CO2データ!Q227))</f>
        <v>0.34200000000000003</v>
      </c>
      <c r="K51" s="2329"/>
      <c r="L51" s="2327">
        <f t="shared" si="8"/>
        <v>0</v>
      </c>
      <c r="M51" s="2329"/>
      <c r="N51" s="2327"/>
      <c r="O51" s="2331">
        <f t="shared" si="9"/>
        <v>0</v>
      </c>
      <c r="P51" t="s">
        <v>200</v>
      </c>
    </row>
    <row r="52" spans="2:16" hidden="1">
      <c r="B52" s="2325"/>
      <c r="C52" s="2257"/>
      <c r="D52" s="2257"/>
      <c r="E52" s="2257"/>
      <c r="F52" s="2301" t="e">
        <f>$F$50</f>
        <v>#DIV/0!</v>
      </c>
      <c r="G52" s="2257"/>
      <c r="H52" s="2301">
        <f>IF(OR($F$20=$R$6,$F$20=$U$6),CO2データ!I228,IF($F$20=$S$6,CO2データ!L228,CO2データ!O228))</f>
        <v>7.1999999999999995E-2</v>
      </c>
      <c r="I52" s="2301">
        <f>IF(OR($F$20=$R$6,$F$20=$U$6),CO2データ!J228,IF($F$20=$S$6,CO2データ!M228,CO2データ!P228))</f>
        <v>0</v>
      </c>
      <c r="J52" s="2301">
        <f>IF(OR($F$20=$R$6,$F$20=$U$6),CO2データ!K228,IF($F$20=$S$6,CO2データ!N228,CO2データ!Q228))</f>
        <v>7.1999999999999995E-2</v>
      </c>
      <c r="K52" s="2329"/>
      <c r="L52" s="2327">
        <f t="shared" si="8"/>
        <v>5.04E-2</v>
      </c>
      <c r="M52" s="2329"/>
      <c r="N52" s="2327"/>
      <c r="O52" s="2331">
        <f t="shared" si="9"/>
        <v>7.1999999999999995E-2</v>
      </c>
      <c r="P52" t="s">
        <v>130</v>
      </c>
    </row>
    <row r="53" spans="2:16" hidden="1">
      <c r="B53" s="2325"/>
      <c r="C53" s="2257"/>
      <c r="D53" s="2257"/>
      <c r="E53" s="2257"/>
      <c r="F53" s="2301" t="e">
        <f>$F$50</f>
        <v>#DIV/0!</v>
      </c>
      <c r="G53" s="2257"/>
      <c r="H53" s="2301">
        <f>IF(OR($F$20=$R$6,$F$20=$U$6),CO2データ!I229,IF($F$20=$S$6,CO2データ!L229,CO2データ!O229))</f>
        <v>0</v>
      </c>
      <c r="I53" s="2301">
        <f>IF(OR($F$20=$R$6,$F$20=$U$6),CO2データ!J229,IF($F$20=$S$6,CO2データ!M229,CO2データ!P229))</f>
        <v>0</v>
      </c>
      <c r="J53" s="2301">
        <f>IF(OR($F$20=$R$6,$F$20=$U$6),CO2データ!K229,IF($F$20=$S$6,CO2データ!N229,CO2データ!Q229))</f>
        <v>0</v>
      </c>
      <c r="K53" s="2329"/>
      <c r="L53" s="2327">
        <f t="shared" si="8"/>
        <v>0</v>
      </c>
      <c r="M53" s="2329"/>
      <c r="N53" s="2327"/>
      <c r="O53" s="2331">
        <f t="shared" si="9"/>
        <v>0</v>
      </c>
      <c r="P53" t="s">
        <v>130</v>
      </c>
    </row>
    <row r="54" spans="2:16" hidden="1">
      <c r="B54" s="2325"/>
      <c r="C54" s="2257"/>
      <c r="D54" s="2257"/>
      <c r="E54" s="2257"/>
      <c r="F54" s="2301" t="e">
        <f>$F$50</f>
        <v>#DIV/0!</v>
      </c>
      <c r="G54" s="2257"/>
      <c r="H54" s="2301">
        <f>IF(OR($F$20=$R$6,$F$20=$U$6),CO2データ!I230,IF($F$20=$S$6,CO2データ!L230,CO2データ!O230))</f>
        <v>2.4E-2</v>
      </c>
      <c r="I54" s="2301">
        <f>IF(OR($F$20=$R$6,$F$20=$U$6),CO2データ!J230,IF($F$20=$S$6,CO2データ!M230,CO2データ!P230))</f>
        <v>0</v>
      </c>
      <c r="J54" s="2301">
        <f>IF(OR($F$20=$R$6,$F$20=$U$6),CO2データ!K230,IF($F$20=$S$6,CO2データ!N230,CO2データ!Q230))</f>
        <v>2.4E-2</v>
      </c>
      <c r="K54" s="2329"/>
      <c r="L54" s="2327">
        <f t="shared" si="8"/>
        <v>1.6800000000000002E-2</v>
      </c>
      <c r="M54" s="2329"/>
      <c r="N54" s="2327"/>
      <c r="O54" s="2331">
        <f t="shared" si="9"/>
        <v>2.4E-2</v>
      </c>
      <c r="P54" t="s">
        <v>130</v>
      </c>
    </row>
    <row r="55" spans="2:16" hidden="1">
      <c r="B55" s="2325"/>
      <c r="C55" s="2257"/>
      <c r="D55" s="2257"/>
      <c r="E55" s="2257"/>
      <c r="F55" s="2301" t="e">
        <f>$F$50</f>
        <v>#DIV/0!</v>
      </c>
      <c r="G55" s="2257"/>
      <c r="H55" s="2301">
        <f>IF(OR($F$20=$R$6,$F$20=$U$6),CO2データ!I231,IF($F$20=$S$6,CO2データ!L231,CO2データ!O231))</f>
        <v>2E-3</v>
      </c>
      <c r="I55" s="2301">
        <f>IF(OR($F$20=$R$6,$F$20=$U$6),CO2データ!J231,IF($F$20=$S$6,CO2データ!M231,CO2データ!P231))</f>
        <v>0</v>
      </c>
      <c r="J55" s="2301">
        <f>IF(OR($F$20=$R$6,$F$20=$U$6),CO2データ!K231,IF($F$20=$S$6,CO2データ!N231,CO2データ!Q231))</f>
        <v>1.8600000000000001E-3</v>
      </c>
      <c r="K55" s="2329"/>
      <c r="L55" s="2327">
        <f t="shared" si="8"/>
        <v>1.4000000000000002E-3</v>
      </c>
      <c r="M55" s="2329"/>
      <c r="N55" s="2327"/>
      <c r="O55" s="2331">
        <f t="shared" si="9"/>
        <v>2E-3</v>
      </c>
      <c r="P55" t="s">
        <v>130</v>
      </c>
    </row>
    <row r="56" spans="2:16" hidden="1">
      <c r="B56" s="2325"/>
      <c r="C56" s="2257"/>
      <c r="D56" s="2257" t="s">
        <v>204</v>
      </c>
      <c r="E56" s="2257"/>
      <c r="F56" s="2301" t="e">
        <f>F13</f>
        <v>#DIV/0!</v>
      </c>
      <c r="G56" s="2257"/>
      <c r="H56" s="2301">
        <f>IF(OR($F$20=$R$6,$F$20=$U$6),CO2データ!I232,IF($F$20=$S$6,CO2データ!L232,CO2データ!O232))</f>
        <v>0.34200000000000003</v>
      </c>
      <c r="I56" s="2301">
        <f>IF(OR($F$20=$R$6,$F$20=$U$6),CO2データ!J232,IF($F$20=$S$6,CO2データ!M232,CO2データ!P232))</f>
        <v>0</v>
      </c>
      <c r="J56" s="2301">
        <f>IF(OR($F$20=$R$6,$F$20=$U$6),CO2データ!K232,IF($F$20=$S$6,CO2データ!N232,CO2データ!Q232))</f>
        <v>0</v>
      </c>
      <c r="K56" s="2329"/>
      <c r="L56" s="2327">
        <f t="shared" si="8"/>
        <v>0.2394</v>
      </c>
      <c r="M56" s="2329"/>
      <c r="N56" s="2327"/>
      <c r="O56" s="2331">
        <f t="shared" si="9"/>
        <v>0.34200000000000003</v>
      </c>
      <c r="P56" t="s">
        <v>200</v>
      </c>
    </row>
    <row r="57" spans="2:16" hidden="1">
      <c r="B57" s="2325"/>
      <c r="C57" s="2257"/>
      <c r="D57" s="2257"/>
      <c r="E57" s="2257"/>
      <c r="F57" s="2301" t="e">
        <f>$F$56</f>
        <v>#DIV/0!</v>
      </c>
      <c r="G57" s="2257"/>
      <c r="H57" s="2301">
        <f>IF(OR($F$20=$R$6,$F$20=$U$6),CO2データ!I233,IF($F$20=$S$6,CO2データ!L233,CO2データ!O233))</f>
        <v>0</v>
      </c>
      <c r="I57" s="2301">
        <f>IF(OR($F$20=$R$6,$F$20=$U$6),CO2データ!J233,IF($F$20=$S$6,CO2データ!M233,CO2データ!P233))</f>
        <v>0</v>
      </c>
      <c r="J57" s="2301">
        <f>IF(OR($F$20=$R$6,$F$20=$U$6),CO2データ!K233,IF($F$20=$S$6,CO2データ!N233,CO2データ!Q233))</f>
        <v>0.34200000000000003</v>
      </c>
      <c r="K57" s="2329"/>
      <c r="L57" s="2327">
        <f t="shared" si="8"/>
        <v>0</v>
      </c>
      <c r="M57" s="2329"/>
      <c r="N57" s="2327"/>
      <c r="O57" s="2331">
        <f t="shared" si="9"/>
        <v>0</v>
      </c>
      <c r="P57" t="s">
        <v>200</v>
      </c>
    </row>
    <row r="58" spans="2:16" hidden="1">
      <c r="B58" s="2325"/>
      <c r="C58" s="2257"/>
      <c r="D58" s="2257"/>
      <c r="E58" s="2257"/>
      <c r="F58" s="2301" t="e">
        <f>$F$56</f>
        <v>#DIV/0!</v>
      </c>
      <c r="G58" s="2257"/>
      <c r="H58" s="2301">
        <f>IF(OR($F$20=$R$6,$F$20=$U$6),CO2データ!I234,IF($F$20=$S$6,CO2データ!L234,CO2データ!O234))</f>
        <v>7.1999999999999995E-2</v>
      </c>
      <c r="I58" s="2301">
        <f>IF(OR($F$20=$R$6,$F$20=$U$6),CO2データ!J234,IF($F$20=$S$6,CO2データ!M234,CO2データ!P234))</f>
        <v>0</v>
      </c>
      <c r="J58" s="2301">
        <f>IF(OR($F$20=$R$6,$F$20=$U$6),CO2データ!K234,IF($F$20=$S$6,CO2データ!N234,CO2データ!Q234))</f>
        <v>7.1999999999999995E-2</v>
      </c>
      <c r="K58" s="2329"/>
      <c r="L58" s="2327">
        <f t="shared" si="8"/>
        <v>5.04E-2</v>
      </c>
      <c r="M58" s="2329"/>
      <c r="N58" s="2327"/>
      <c r="O58" s="2331">
        <f t="shared" si="9"/>
        <v>7.1999999999999995E-2</v>
      </c>
      <c r="P58" t="s">
        <v>130</v>
      </c>
    </row>
    <row r="59" spans="2:16" hidden="1">
      <c r="B59" s="2325"/>
      <c r="C59" s="2257"/>
      <c r="D59" s="2257"/>
      <c r="E59" s="2257"/>
      <c r="F59" s="2301" t="e">
        <f>$F$56</f>
        <v>#DIV/0!</v>
      </c>
      <c r="G59" s="2257"/>
      <c r="H59" s="2301">
        <f>IF(OR($F$20=$R$6,$F$20=$U$6),CO2データ!I235,IF($F$20=$S$6,CO2データ!L235,CO2データ!O235))</f>
        <v>0</v>
      </c>
      <c r="I59" s="2301">
        <f>IF(OR($F$20=$R$6,$F$20=$U$6),CO2データ!J235,IF($F$20=$S$6,CO2データ!M235,CO2データ!P235))</f>
        <v>0</v>
      </c>
      <c r="J59" s="2301">
        <f>IF(OR($F$20=$R$6,$F$20=$U$6),CO2データ!K235,IF($F$20=$S$6,CO2データ!N235,CO2データ!Q235))</f>
        <v>0</v>
      </c>
      <c r="K59" s="2329"/>
      <c r="L59" s="2327">
        <f t="shared" si="8"/>
        <v>0</v>
      </c>
      <c r="M59" s="2329"/>
      <c r="N59" s="2327"/>
      <c r="O59" s="2331">
        <f t="shared" si="9"/>
        <v>0</v>
      </c>
      <c r="P59" t="s">
        <v>130</v>
      </c>
    </row>
    <row r="60" spans="2:16" hidden="1">
      <c r="B60" s="2325"/>
      <c r="C60" s="2257"/>
      <c r="D60" s="2257"/>
      <c r="E60" s="2257"/>
      <c r="F60" s="2301" t="e">
        <f>$F$56</f>
        <v>#DIV/0!</v>
      </c>
      <c r="G60" s="2257"/>
      <c r="H60" s="2301">
        <f>IF(OR($F$20=$R$6,$F$20=$U$6),CO2データ!I236,IF($F$20=$S$6,CO2データ!L236,CO2データ!O236))</f>
        <v>2.4E-2</v>
      </c>
      <c r="I60" s="2301">
        <f>IF(OR($F$20=$R$6,$F$20=$U$6),CO2データ!J236,IF($F$20=$S$6,CO2データ!M236,CO2データ!P236))</f>
        <v>0</v>
      </c>
      <c r="J60" s="2301">
        <f>IF(OR($F$20=$R$6,$F$20=$U$6),CO2データ!K236,IF($F$20=$S$6,CO2データ!N236,CO2データ!Q236))</f>
        <v>2.4E-2</v>
      </c>
      <c r="K60" s="2329"/>
      <c r="L60" s="2327">
        <f t="shared" si="8"/>
        <v>1.6800000000000002E-2</v>
      </c>
      <c r="M60" s="2329"/>
      <c r="N60" s="2327"/>
      <c r="O60" s="2331">
        <f t="shared" si="9"/>
        <v>2.4E-2</v>
      </c>
      <c r="P60" t="s">
        <v>130</v>
      </c>
    </row>
    <row r="61" spans="2:16" hidden="1">
      <c r="B61" s="2325"/>
      <c r="C61" s="2257"/>
      <c r="D61" s="2257"/>
      <c r="E61" s="2257"/>
      <c r="F61" s="2301" t="e">
        <f>$F$56</f>
        <v>#DIV/0!</v>
      </c>
      <c r="G61" s="2257"/>
      <c r="H61" s="2301">
        <f>IF(OR($F$20=$R$6,$F$20=$U$6),CO2データ!I237,IF($F$20=$S$6,CO2データ!L237,CO2データ!O237))</f>
        <v>2E-3</v>
      </c>
      <c r="I61" s="2301">
        <f>IF(OR($F$20=$R$6,$F$20=$U$6),CO2データ!J237,IF($F$20=$S$6,CO2データ!M237,CO2データ!P237))</f>
        <v>0</v>
      </c>
      <c r="J61" s="2301">
        <f>IF(OR($F$20=$R$6,$F$20=$U$6),CO2データ!K237,IF($F$20=$S$6,CO2データ!N237,CO2データ!Q237))</f>
        <v>1.8600000000000001E-3</v>
      </c>
      <c r="K61" s="2329"/>
      <c r="L61" s="2327">
        <f t="shared" si="8"/>
        <v>1.4000000000000002E-3</v>
      </c>
      <c r="M61" s="2329"/>
      <c r="N61" s="2327"/>
      <c r="O61" s="2331">
        <f t="shared" si="9"/>
        <v>2E-3</v>
      </c>
      <c r="P61" t="s">
        <v>130</v>
      </c>
    </row>
    <row r="62" spans="2:16" hidden="1">
      <c r="B62" s="2325"/>
      <c r="C62" s="2257"/>
      <c r="D62" s="2257" t="s">
        <v>205</v>
      </c>
      <c r="E62" s="2257"/>
      <c r="F62" s="2301" t="e">
        <f>F14</f>
        <v>#DIV/0!</v>
      </c>
      <c r="G62" s="2257"/>
      <c r="H62" s="2301">
        <f>IF(OR($F$20=$R$6,$F$20=$U$6),CO2データ!I238,IF($F$20=$S$6,CO2データ!L238,CO2データ!O238))</f>
        <v>0.34499999999999997</v>
      </c>
      <c r="I62" s="2301">
        <f>IF(OR($F$20=$R$6,$F$20=$U$6),CO2データ!J238,IF($F$20=$S$6,CO2データ!M238,CO2データ!P238))</f>
        <v>0</v>
      </c>
      <c r="J62" s="2301">
        <f>IF(OR($F$20=$R$6,$F$20=$U$6),CO2データ!K238,IF($F$20=$S$6,CO2データ!N238,CO2データ!Q238))</f>
        <v>0</v>
      </c>
      <c r="K62" s="2329"/>
      <c r="L62" s="2327">
        <f t="shared" si="8"/>
        <v>0.24149999999999999</v>
      </c>
      <c r="M62" s="2329"/>
      <c r="N62" s="2327"/>
      <c r="O62" s="2331">
        <f t="shared" si="9"/>
        <v>0.34499999999999997</v>
      </c>
      <c r="P62" t="s">
        <v>200</v>
      </c>
    </row>
    <row r="63" spans="2:16" hidden="1">
      <c r="B63" s="2325"/>
      <c r="C63" s="2257"/>
      <c r="D63" s="2257"/>
      <c r="E63" s="2257"/>
      <c r="F63" s="2301" t="e">
        <f>$F$62</f>
        <v>#DIV/0!</v>
      </c>
      <c r="G63" s="2257"/>
      <c r="H63" s="2301">
        <f>IF(OR($F$20=$R$6,$F$20=$U$6),CO2データ!I239,IF($F$20=$S$6,CO2データ!L239,CO2データ!O239))</f>
        <v>0</v>
      </c>
      <c r="I63" s="2301">
        <f>IF(OR($F$20=$R$6,$F$20=$U$6),CO2データ!J239,IF($F$20=$S$6,CO2データ!M239,CO2データ!P239))</f>
        <v>0</v>
      </c>
      <c r="J63" s="2301">
        <f>IF(OR($F$20=$R$6,$F$20=$U$6),CO2データ!K239,IF($F$20=$S$6,CO2データ!N239,CO2データ!Q239))</f>
        <v>0.34499999999999997</v>
      </c>
      <c r="K63" s="2329"/>
      <c r="L63" s="2327">
        <f t="shared" si="8"/>
        <v>0</v>
      </c>
      <c r="M63" s="2329"/>
      <c r="N63" s="2327"/>
      <c r="O63" s="2331">
        <f t="shared" si="9"/>
        <v>0</v>
      </c>
      <c r="P63" t="s">
        <v>200</v>
      </c>
    </row>
    <row r="64" spans="2:16" hidden="1">
      <c r="B64" s="2325"/>
      <c r="C64" s="2257"/>
      <c r="D64" s="2257"/>
      <c r="E64" s="2257"/>
      <c r="F64" s="2301" t="e">
        <f>$F$62</f>
        <v>#DIV/0!</v>
      </c>
      <c r="G64" s="2257"/>
      <c r="H64" s="2301">
        <f>IF(OR($F$20=$R$6,$F$20=$U$6),CO2データ!I240,IF($F$20=$S$6,CO2データ!L240,CO2データ!O240))</f>
        <v>0.13900000000000001</v>
      </c>
      <c r="I64" s="2301">
        <f>IF(OR($F$20=$R$6,$F$20=$U$6),CO2データ!J240,IF($F$20=$S$6,CO2データ!M240,CO2データ!P240))</f>
        <v>0</v>
      </c>
      <c r="J64" s="2301">
        <f>IF(OR($F$20=$R$6,$F$20=$U$6),CO2データ!K240,IF($F$20=$S$6,CO2データ!N240,CO2データ!Q240))</f>
        <v>0.13900000000000001</v>
      </c>
      <c r="K64" s="2329"/>
      <c r="L64" s="2327">
        <f t="shared" si="8"/>
        <v>9.7300000000000011E-2</v>
      </c>
      <c r="M64" s="2329"/>
      <c r="N64" s="2327"/>
      <c r="O64" s="2331">
        <f t="shared" si="9"/>
        <v>0.13900000000000001</v>
      </c>
      <c r="P64" t="s">
        <v>130</v>
      </c>
    </row>
    <row r="65" spans="2:16" hidden="1">
      <c r="B65" s="2325"/>
      <c r="C65" s="2257"/>
      <c r="D65" s="2257"/>
      <c r="E65" s="2257"/>
      <c r="F65" s="2301" t="e">
        <f>$F$62</f>
        <v>#DIV/0!</v>
      </c>
      <c r="G65" s="2257"/>
      <c r="H65" s="2301">
        <f>IF(OR($F$20=$R$6,$F$20=$U$6),CO2データ!I241,IF($F$20=$S$6,CO2データ!L241,CO2データ!O241))</f>
        <v>0</v>
      </c>
      <c r="I65" s="2301">
        <f>IF(OR($F$20=$R$6,$F$20=$U$6),CO2データ!J241,IF($F$20=$S$6,CO2データ!M241,CO2データ!P241))</f>
        <v>0</v>
      </c>
      <c r="J65" s="2301">
        <f>IF(OR($F$20=$R$6,$F$20=$U$6),CO2データ!K241,IF($F$20=$S$6,CO2データ!N241,CO2データ!Q241))</f>
        <v>0</v>
      </c>
      <c r="K65" s="2329"/>
      <c r="L65" s="2327">
        <f t="shared" si="8"/>
        <v>0</v>
      </c>
      <c r="M65" s="2329"/>
      <c r="N65" s="2327"/>
      <c r="O65" s="2331">
        <f t="shared" si="9"/>
        <v>0</v>
      </c>
      <c r="P65" t="s">
        <v>130</v>
      </c>
    </row>
    <row r="66" spans="2:16" hidden="1">
      <c r="B66" s="2325"/>
      <c r="C66" s="2257"/>
      <c r="D66" s="2257"/>
      <c r="E66" s="2257"/>
      <c r="F66" s="2301" t="e">
        <f>$F$62</f>
        <v>#DIV/0!</v>
      </c>
      <c r="G66" s="2257"/>
      <c r="H66" s="2301">
        <f>IF(OR($F$20=$R$6,$F$20=$U$6),CO2データ!I242,IF($F$20=$S$6,CO2データ!L242,CO2データ!O242))</f>
        <v>0.04</v>
      </c>
      <c r="I66" s="2301">
        <f>IF(OR($F$20=$R$6,$F$20=$U$6),CO2データ!J242,IF($F$20=$S$6,CO2データ!M242,CO2データ!P242))</f>
        <v>0</v>
      </c>
      <c r="J66" s="2301">
        <f>IF(OR($F$20=$R$6,$F$20=$U$6),CO2データ!K242,IF($F$20=$S$6,CO2データ!N242,CO2データ!Q242))</f>
        <v>0.04</v>
      </c>
      <c r="K66" s="2329"/>
      <c r="L66" s="2327">
        <f t="shared" si="8"/>
        <v>2.8000000000000001E-2</v>
      </c>
      <c r="M66" s="2329"/>
      <c r="N66" s="2327"/>
      <c r="O66" s="2331">
        <f t="shared" si="9"/>
        <v>0.04</v>
      </c>
      <c r="P66" t="s">
        <v>130</v>
      </c>
    </row>
    <row r="67" spans="2:16" hidden="1">
      <c r="B67" s="2325"/>
      <c r="C67" s="2257"/>
      <c r="D67" s="2257"/>
      <c r="E67" s="2257"/>
      <c r="F67" s="2301" t="e">
        <f>$F$62</f>
        <v>#DIV/0!</v>
      </c>
      <c r="G67" s="2257"/>
      <c r="H67" s="2301">
        <f>IF(OR($F$20=$R$6,$F$20=$U$6),CO2データ!I243,IF($F$20=$S$6,CO2データ!L243,CO2データ!O243))</f>
        <v>4.0000000000000001E-3</v>
      </c>
      <c r="I67" s="2301">
        <f>IF(OR($F$20=$R$6,$F$20=$U$6),CO2データ!J243,IF($F$20=$S$6,CO2データ!M243,CO2データ!P243))</f>
        <v>0</v>
      </c>
      <c r="J67" s="2301">
        <f>IF(OR($F$20=$R$6,$F$20=$U$6),CO2データ!K243,IF($F$20=$S$6,CO2データ!N243,CO2データ!Q243))</f>
        <v>4.3499999999999997E-3</v>
      </c>
      <c r="K67" s="2329"/>
      <c r="L67" s="2327">
        <f t="shared" si="8"/>
        <v>2.8000000000000004E-3</v>
      </c>
      <c r="M67" s="2329"/>
      <c r="N67" s="2327"/>
      <c r="O67" s="2331">
        <f t="shared" si="9"/>
        <v>4.0000000000000001E-3</v>
      </c>
      <c r="P67" t="s">
        <v>130</v>
      </c>
    </row>
    <row r="68" spans="2:16" hidden="1">
      <c r="B68" s="2325"/>
      <c r="C68" s="2257"/>
      <c r="D68" s="2257" t="s">
        <v>535</v>
      </c>
      <c r="E68" s="2257"/>
      <c r="F68" s="2301" t="e">
        <f>F15</f>
        <v>#DIV/0!</v>
      </c>
      <c r="G68" s="2257"/>
      <c r="H68" s="2301">
        <f>IF(OR($F$20=$R$6,$F$20=$U$6),CO2データ!I244,IF($F$20=$S$6,CO2データ!L244,CO2データ!O244))</f>
        <v>0.35399999999999998</v>
      </c>
      <c r="I68" s="2301">
        <f>IF(OR($F$20=$R$6,$F$20=$U$6),CO2データ!J244,IF($F$20=$S$6,CO2データ!M244,CO2データ!P244))</f>
        <v>0</v>
      </c>
      <c r="J68" s="2301">
        <f>IF(OR($F$20=$R$6,$F$20=$U$6),CO2データ!K244,IF($F$20=$S$6,CO2データ!N244,CO2データ!Q244))</f>
        <v>0</v>
      </c>
      <c r="K68" s="2329"/>
      <c r="L68" s="2327">
        <f t="shared" si="8"/>
        <v>0.24779999999999999</v>
      </c>
      <c r="M68" s="2329"/>
      <c r="N68" s="2327"/>
      <c r="O68" s="2331">
        <f t="shared" si="9"/>
        <v>0.35399999999999998</v>
      </c>
      <c r="P68" t="s">
        <v>200</v>
      </c>
    </row>
    <row r="69" spans="2:16" hidden="1">
      <c r="B69" s="2325"/>
      <c r="C69" s="2257"/>
      <c r="D69" s="2257"/>
      <c r="E69" s="2257"/>
      <c r="F69" s="2301" t="e">
        <f>$F$68</f>
        <v>#DIV/0!</v>
      </c>
      <c r="G69" s="2257"/>
      <c r="H69" s="2301">
        <f>IF(OR($F$20=$R$6,$F$20=$U$6),CO2データ!I245,IF($F$20=$S$6,CO2データ!L245,CO2データ!O245))</f>
        <v>0</v>
      </c>
      <c r="I69" s="2301">
        <f>IF(OR($F$20=$R$6,$F$20=$U$6),CO2データ!J245,IF($F$20=$S$6,CO2データ!M245,CO2データ!P245))</f>
        <v>0</v>
      </c>
      <c r="J69" s="2301">
        <f>IF(OR($F$20=$R$6,$F$20=$U$6),CO2データ!K245,IF($F$20=$S$6,CO2データ!N245,CO2データ!Q245))</f>
        <v>0.35399999999999998</v>
      </c>
      <c r="K69" s="2329"/>
      <c r="L69" s="2327">
        <f t="shared" si="8"/>
        <v>0</v>
      </c>
      <c r="M69" s="2329"/>
      <c r="N69" s="2327"/>
      <c r="O69" s="2331">
        <f t="shared" si="9"/>
        <v>0</v>
      </c>
      <c r="P69" t="s">
        <v>200</v>
      </c>
    </row>
    <row r="70" spans="2:16" hidden="1">
      <c r="B70" s="2325"/>
      <c r="C70" s="2257"/>
      <c r="D70" s="2257"/>
      <c r="E70" s="2257"/>
      <c r="F70" s="2301" t="e">
        <f>$F$68</f>
        <v>#DIV/0!</v>
      </c>
      <c r="G70" s="2257"/>
      <c r="H70" s="2301">
        <f>IF(OR($F$20=$R$6,$F$20=$U$6),CO2データ!I246,IF($F$20=$S$6,CO2データ!L246,CO2データ!O246))</f>
        <v>8.7999999999999995E-2</v>
      </c>
      <c r="I70" s="2301">
        <f>IF(OR($F$20=$R$6,$F$20=$U$6),CO2データ!J246,IF($F$20=$S$6,CO2データ!M246,CO2データ!P246))</f>
        <v>0</v>
      </c>
      <c r="J70" s="2301">
        <f>IF(OR($F$20=$R$6,$F$20=$U$6),CO2データ!K246,IF($F$20=$S$6,CO2データ!N246,CO2データ!Q246))</f>
        <v>8.7999999999999995E-2</v>
      </c>
      <c r="K70" s="2329"/>
      <c r="L70" s="2327">
        <f t="shared" si="8"/>
        <v>6.1600000000000002E-2</v>
      </c>
      <c r="M70" s="2329"/>
      <c r="N70" s="2327"/>
      <c r="O70" s="2331">
        <f t="shared" si="9"/>
        <v>8.7999999999999995E-2</v>
      </c>
      <c r="P70" t="s">
        <v>130</v>
      </c>
    </row>
    <row r="71" spans="2:16" hidden="1">
      <c r="B71" s="2325"/>
      <c r="C71" s="2257"/>
      <c r="D71" s="2257"/>
      <c r="E71" s="2257"/>
      <c r="F71" s="2301" t="e">
        <f>$F$68</f>
        <v>#DIV/0!</v>
      </c>
      <c r="G71" s="2257"/>
      <c r="H71" s="2301">
        <f>IF(OR($F$20=$R$6,$F$20=$U$6),CO2データ!I247,IF($F$20=$S$6,CO2データ!L247,CO2データ!O247))</f>
        <v>0</v>
      </c>
      <c r="I71" s="2301">
        <f>IF(OR($F$20=$R$6,$F$20=$U$6),CO2データ!J247,IF($F$20=$S$6,CO2データ!M247,CO2データ!P247))</f>
        <v>0</v>
      </c>
      <c r="J71" s="2301">
        <f>IF(OR($F$20=$R$6,$F$20=$U$6),CO2データ!K247,IF($F$20=$S$6,CO2データ!N247,CO2データ!Q247))</f>
        <v>0</v>
      </c>
      <c r="K71" s="2329"/>
      <c r="L71" s="2327">
        <f t="shared" si="8"/>
        <v>0</v>
      </c>
      <c r="M71" s="2329"/>
      <c r="N71" s="2327"/>
      <c r="O71" s="2331">
        <f t="shared" si="9"/>
        <v>0</v>
      </c>
      <c r="P71" t="s">
        <v>130</v>
      </c>
    </row>
    <row r="72" spans="2:16" hidden="1">
      <c r="B72" s="2325"/>
      <c r="C72" s="2257"/>
      <c r="D72" s="2257"/>
      <c r="E72" s="2257"/>
      <c r="F72" s="2301" t="e">
        <f>$F$68</f>
        <v>#DIV/0!</v>
      </c>
      <c r="G72" s="2257"/>
      <c r="H72" s="2301">
        <f>IF(OR($F$20=$R$6,$F$20=$U$6),CO2データ!I248,IF($F$20=$S$6,CO2データ!L248,CO2データ!O248))</f>
        <v>3.1E-2</v>
      </c>
      <c r="I72" s="2301">
        <f>IF(OR($F$20=$R$6,$F$20=$U$6),CO2データ!J248,IF($F$20=$S$6,CO2データ!M248,CO2データ!P248))</f>
        <v>0</v>
      </c>
      <c r="J72" s="2301">
        <f>IF(OR($F$20=$R$6,$F$20=$U$6),CO2データ!K248,IF($F$20=$S$6,CO2データ!N248,CO2データ!Q248))</f>
        <v>3.1E-2</v>
      </c>
      <c r="K72" s="2329"/>
      <c r="L72" s="2327">
        <f t="shared" si="8"/>
        <v>2.1700000000000001E-2</v>
      </c>
      <c r="M72" s="2329"/>
      <c r="N72" s="2327"/>
      <c r="O72" s="2331">
        <f t="shared" si="9"/>
        <v>3.1E-2</v>
      </c>
      <c r="P72" t="s">
        <v>130</v>
      </c>
    </row>
    <row r="73" spans="2:16" hidden="1">
      <c r="B73" s="2325"/>
      <c r="C73" s="2257"/>
      <c r="D73" s="2257"/>
      <c r="E73" s="2257"/>
      <c r="F73" s="2301" t="e">
        <f>$F$68</f>
        <v>#DIV/0!</v>
      </c>
      <c r="G73" s="2257"/>
      <c r="H73" s="2301">
        <f>IF(OR($F$20=$R$6,$F$20=$U$6),CO2データ!I249,IF($F$20=$S$6,CO2データ!L249,CO2データ!O249))</f>
        <v>2E-3</v>
      </c>
      <c r="I73" s="2301">
        <f>IF(OR($F$20=$R$6,$F$20=$U$6),CO2データ!J249,IF($F$20=$S$6,CO2データ!M249,CO2データ!P249))</f>
        <v>0</v>
      </c>
      <c r="J73" s="2301">
        <f>IF(OR($F$20=$R$6,$F$20=$U$6),CO2データ!K249,IF($F$20=$S$6,CO2データ!N249,CO2データ!Q249))</f>
        <v>2.0999999999999999E-3</v>
      </c>
      <c r="K73" s="2329"/>
      <c r="L73" s="2327">
        <f t="shared" si="8"/>
        <v>1.4000000000000002E-3</v>
      </c>
      <c r="M73" s="2329"/>
      <c r="N73" s="2327"/>
      <c r="O73" s="2331">
        <f t="shared" si="9"/>
        <v>2E-3</v>
      </c>
      <c r="P73" t="s">
        <v>130</v>
      </c>
    </row>
    <row r="74" spans="2:16" hidden="1">
      <c r="B74" s="2325"/>
      <c r="C74" s="2257"/>
      <c r="D74" s="2257" t="s">
        <v>206</v>
      </c>
      <c r="E74" s="2257"/>
      <c r="F74" s="2301" t="e">
        <f>F16</f>
        <v>#DIV/0!</v>
      </c>
      <c r="G74" s="2257"/>
      <c r="H74" s="2301">
        <f>IF(OR($F$20=$R$6,$F$20=$U$6),CO2データ!I250,IF($F$20=$S$6,CO2データ!L250,CO2データ!O250))</f>
        <v>0.317</v>
      </c>
      <c r="I74" s="2301">
        <f>IF(OR($F$20=$R$6,$F$20=$U$6),CO2データ!J250,IF($F$20=$S$6,CO2データ!M250,CO2データ!P250))</f>
        <v>0</v>
      </c>
      <c r="J74" s="2301">
        <f>IF(OR($F$20=$R$6,$F$20=$U$6),CO2データ!K250,IF($F$20=$S$6,CO2データ!N250,CO2データ!Q250))</f>
        <v>0</v>
      </c>
      <c r="K74" s="2329"/>
      <c r="L74" s="2327">
        <f t="shared" si="8"/>
        <v>0.22189999999999999</v>
      </c>
      <c r="M74" s="2329"/>
      <c r="N74" s="2327"/>
      <c r="O74" s="2331">
        <f t="shared" si="9"/>
        <v>0.317</v>
      </c>
      <c r="P74" t="s">
        <v>200</v>
      </c>
    </row>
    <row r="75" spans="2:16" hidden="1">
      <c r="B75" s="2325"/>
      <c r="C75" s="2257"/>
      <c r="D75" s="2257"/>
      <c r="E75" s="2257"/>
      <c r="F75" s="2301" t="e">
        <f>$F$74</f>
        <v>#DIV/0!</v>
      </c>
      <c r="G75" s="2257"/>
      <c r="H75" s="2301">
        <f>IF(OR($F$20=$R$6,$F$20=$U$6),CO2データ!I251,IF($F$20=$S$6,CO2データ!L251,CO2データ!O251))</f>
        <v>0</v>
      </c>
      <c r="I75" s="2301">
        <f>IF(OR($F$20=$R$6,$F$20=$U$6),CO2データ!J251,IF($F$20=$S$6,CO2データ!M251,CO2データ!P251))</f>
        <v>0</v>
      </c>
      <c r="J75" s="2301">
        <f>IF(OR($F$20=$R$6,$F$20=$U$6),CO2データ!K251,IF($F$20=$S$6,CO2データ!N251,CO2データ!Q251))</f>
        <v>0.317</v>
      </c>
      <c r="K75" s="2329"/>
      <c r="L75" s="2327">
        <f t="shared" si="8"/>
        <v>0</v>
      </c>
      <c r="M75" s="2329"/>
      <c r="N75" s="2327"/>
      <c r="O75" s="2331">
        <f t="shared" si="9"/>
        <v>0</v>
      </c>
      <c r="P75" t="s">
        <v>200</v>
      </c>
    </row>
    <row r="76" spans="2:16" hidden="1">
      <c r="B76" s="2325"/>
      <c r="C76" s="2257"/>
      <c r="D76" s="2257"/>
      <c r="E76" s="2257"/>
      <c r="F76" s="2301" t="e">
        <f>$F$74</f>
        <v>#DIV/0!</v>
      </c>
      <c r="G76" s="2257"/>
      <c r="H76" s="2301">
        <f>IF(OR($F$20=$R$6,$F$20=$U$6),CO2データ!I252,IF($F$20=$S$6,CO2データ!L252,CO2データ!O252))</f>
        <v>7.3999999999999996E-2</v>
      </c>
      <c r="I76" s="2301">
        <f>IF(OR($F$20=$R$6,$F$20=$U$6),CO2データ!J252,IF($F$20=$S$6,CO2データ!M252,CO2データ!P252))</f>
        <v>0</v>
      </c>
      <c r="J76" s="2301">
        <f>IF(OR($F$20=$R$6,$F$20=$U$6),CO2データ!K252,IF($F$20=$S$6,CO2データ!N252,CO2データ!Q252))</f>
        <v>7.3999999999999996E-2</v>
      </c>
      <c r="K76" s="2329"/>
      <c r="L76" s="2327">
        <f t="shared" si="8"/>
        <v>5.1799999999999999E-2</v>
      </c>
      <c r="M76" s="2329"/>
      <c r="N76" s="2327"/>
      <c r="O76" s="2331">
        <f t="shared" si="9"/>
        <v>7.3999999999999996E-2</v>
      </c>
      <c r="P76" t="s">
        <v>130</v>
      </c>
    </row>
    <row r="77" spans="2:16" hidden="1">
      <c r="B77" s="2325"/>
      <c r="C77" s="2257"/>
      <c r="D77" s="2257"/>
      <c r="E77" s="2257"/>
      <c r="F77" s="2301" t="e">
        <f>$F$74</f>
        <v>#DIV/0!</v>
      </c>
      <c r="G77" s="2257"/>
      <c r="H77" s="2301">
        <f>IF(OR($F$20=$R$6,$F$20=$U$6),CO2データ!I253,IF($F$20=$S$6,CO2データ!L253,CO2データ!O253))</f>
        <v>0</v>
      </c>
      <c r="I77" s="2301">
        <f>IF(OR($F$20=$R$6,$F$20=$U$6),CO2データ!J253,IF($F$20=$S$6,CO2データ!M253,CO2データ!P253))</f>
        <v>0</v>
      </c>
      <c r="J77" s="2301">
        <f>IF(OR($F$20=$R$6,$F$20=$U$6),CO2データ!K253,IF($F$20=$S$6,CO2データ!N253,CO2データ!Q253))</f>
        <v>0</v>
      </c>
      <c r="K77" s="2329"/>
      <c r="L77" s="2327">
        <f t="shared" si="8"/>
        <v>0</v>
      </c>
      <c r="M77" s="2329"/>
      <c r="N77" s="2327"/>
      <c r="O77" s="2331">
        <f t="shared" si="9"/>
        <v>0</v>
      </c>
      <c r="P77" t="s">
        <v>130</v>
      </c>
    </row>
    <row r="78" spans="2:16" hidden="1">
      <c r="B78" s="2325"/>
      <c r="C78" s="2257"/>
      <c r="D78" s="2257"/>
      <c r="E78" s="2257"/>
      <c r="F78" s="2301" t="e">
        <f>$F$74</f>
        <v>#DIV/0!</v>
      </c>
      <c r="G78" s="2257"/>
      <c r="H78" s="2301">
        <f>IF(OR($F$20=$R$6,$F$20=$U$6),CO2データ!I254,IF($F$20=$S$6,CO2データ!L254,CO2データ!O254))</f>
        <v>3.4000000000000002E-2</v>
      </c>
      <c r="I78" s="2301">
        <f>IF(OR($F$20=$R$6,$F$20=$U$6),CO2データ!J254,IF($F$20=$S$6,CO2データ!M254,CO2データ!P254))</f>
        <v>0</v>
      </c>
      <c r="J78" s="2301">
        <f>IF(OR($F$20=$R$6,$F$20=$U$6),CO2データ!K254,IF($F$20=$S$6,CO2データ!N254,CO2データ!Q254))</f>
        <v>3.4000000000000002E-2</v>
      </c>
      <c r="K78" s="2329"/>
      <c r="L78" s="2327">
        <f t="shared" si="8"/>
        <v>2.3800000000000002E-2</v>
      </c>
      <c r="M78" s="2329"/>
      <c r="N78" s="2327"/>
      <c r="O78" s="2331">
        <f t="shared" si="9"/>
        <v>3.4000000000000002E-2</v>
      </c>
      <c r="P78" t="s">
        <v>130</v>
      </c>
    </row>
    <row r="79" spans="2:16" hidden="1">
      <c r="B79" s="2325"/>
      <c r="C79" s="2257"/>
      <c r="D79" s="2257"/>
      <c r="E79" s="2257"/>
      <c r="F79" s="2301" t="e">
        <f>$F$74</f>
        <v>#DIV/0!</v>
      </c>
      <c r="G79" s="2257"/>
      <c r="H79" s="2301">
        <f>IF(OR($F$20=$R$6,$F$20=$U$6),CO2データ!I255,IF($F$20=$S$6,CO2データ!L255,CO2データ!O255))</f>
        <v>2E-3</v>
      </c>
      <c r="I79" s="2301">
        <f>IF(OR($F$20=$R$6,$F$20=$U$6),CO2データ!J255,IF($F$20=$S$6,CO2データ!M255,CO2データ!P255))</f>
        <v>0</v>
      </c>
      <c r="J79" s="2301">
        <f>IF(OR($F$20=$R$6,$F$20=$U$6),CO2データ!K255,IF($F$20=$S$6,CO2データ!N255,CO2データ!Q255))</f>
        <v>2E-3</v>
      </c>
      <c r="K79" s="2329"/>
      <c r="L79" s="2327">
        <f t="shared" si="8"/>
        <v>1.4000000000000002E-3</v>
      </c>
      <c r="M79" s="2329"/>
      <c r="N79" s="2327"/>
      <c r="O79" s="2331">
        <f t="shared" si="9"/>
        <v>2E-3</v>
      </c>
      <c r="P79" t="s">
        <v>130</v>
      </c>
    </row>
    <row r="80" spans="2:16" hidden="1">
      <c r="B80" s="2325"/>
      <c r="C80" s="2257"/>
      <c r="D80" s="2257" t="s">
        <v>1393</v>
      </c>
      <c r="E80" s="2257"/>
      <c r="F80" s="2301" t="e">
        <f>F17</f>
        <v>#DIV/0!</v>
      </c>
      <c r="G80" s="2257"/>
      <c r="H80" s="2301">
        <f>IF(OR($F$20=$R$6,$F$20=$U$6),CO2データ!I256,IF($F$20=$S$6,CO2データ!L256,CO2データ!O256))</f>
        <v>0.436</v>
      </c>
      <c r="I80" s="2301">
        <f>IF(OR($F$20=$R$6,$F$20=$U$6),CO2データ!J256,IF($F$20=$S$6,CO2データ!M256,CO2データ!P256))</f>
        <v>0</v>
      </c>
      <c r="J80" s="2301">
        <f>IF(OR($F$20=$R$6,$F$20=$U$6),CO2データ!K256,IF($F$20=$S$6,CO2データ!N256,CO2データ!Q256))</f>
        <v>0</v>
      </c>
      <c r="K80" s="2329"/>
      <c r="L80" s="2327">
        <f t="shared" si="8"/>
        <v>0.30520000000000003</v>
      </c>
      <c r="M80" s="2329"/>
      <c r="N80" s="2327"/>
      <c r="O80" s="2331">
        <f t="shared" si="9"/>
        <v>0.436</v>
      </c>
      <c r="P80" t="s">
        <v>200</v>
      </c>
    </row>
    <row r="81" spans="2:16" hidden="1">
      <c r="B81" s="2325"/>
      <c r="C81" s="2257"/>
      <c r="D81" s="2257"/>
      <c r="E81" s="2257"/>
      <c r="F81" s="2301" t="e">
        <f>$F$80</f>
        <v>#DIV/0!</v>
      </c>
      <c r="G81" s="2257"/>
      <c r="H81" s="2301">
        <f>IF(OR($F$20=$R$6,$F$20=$U$6),CO2データ!I257,IF($F$20=$S$6,CO2データ!L257,CO2データ!O257))</f>
        <v>0</v>
      </c>
      <c r="I81" s="2301">
        <f>IF(OR($F$20=$R$6,$F$20=$U$6),CO2データ!J257,IF($F$20=$S$6,CO2データ!M257,CO2データ!P257))</f>
        <v>0</v>
      </c>
      <c r="J81" s="2301">
        <f>IF(OR($F$20=$R$6,$F$20=$U$6),CO2データ!K257,IF($F$20=$S$6,CO2データ!N257,CO2データ!Q257))</f>
        <v>0.436</v>
      </c>
      <c r="K81" s="2329"/>
      <c r="L81" s="2327">
        <f t="shared" si="8"/>
        <v>0</v>
      </c>
      <c r="M81" s="2329"/>
      <c r="N81" s="2327"/>
      <c r="O81" s="2331">
        <f t="shared" si="9"/>
        <v>0</v>
      </c>
      <c r="P81" t="s">
        <v>200</v>
      </c>
    </row>
    <row r="82" spans="2:16" hidden="1">
      <c r="B82" s="2325"/>
      <c r="C82" s="2257"/>
      <c r="D82" s="2257"/>
      <c r="E82" s="2257"/>
      <c r="F82" s="2301" t="e">
        <f>$F$80</f>
        <v>#DIV/0!</v>
      </c>
      <c r="G82" s="2257"/>
      <c r="H82" s="2301">
        <f>IF(OR($F$20=$R$6,$F$20=$U$6),CO2データ!I258,IF($F$20=$S$6,CO2データ!L258,CO2データ!O258))</f>
        <v>0.10299999999999999</v>
      </c>
      <c r="I82" s="2301">
        <f>IF(OR($F$20=$R$6,$F$20=$U$6),CO2データ!J258,IF($F$20=$S$6,CO2データ!M258,CO2データ!P258))</f>
        <v>0</v>
      </c>
      <c r="J82" s="2301">
        <f>IF(OR($F$20=$R$6,$F$20=$U$6),CO2データ!K258,IF($F$20=$S$6,CO2データ!N258,CO2データ!Q258))</f>
        <v>0.10299999999999999</v>
      </c>
      <c r="K82" s="2329"/>
      <c r="L82" s="2327">
        <f t="shared" si="8"/>
        <v>7.2099999999999997E-2</v>
      </c>
      <c r="M82" s="2329"/>
      <c r="N82" s="2327"/>
      <c r="O82" s="2331">
        <f t="shared" si="9"/>
        <v>0.10299999999999999</v>
      </c>
      <c r="P82" t="s">
        <v>130</v>
      </c>
    </row>
    <row r="83" spans="2:16" hidden="1">
      <c r="B83" s="2325"/>
      <c r="C83" s="2257"/>
      <c r="D83" s="2257"/>
      <c r="E83" s="2257"/>
      <c r="F83" s="2301" t="e">
        <f>$F$80</f>
        <v>#DIV/0!</v>
      </c>
      <c r="G83" s="2257"/>
      <c r="H83" s="2301">
        <f>IF(OR($F$20=$R$6,$F$20=$U$6),CO2データ!I259,IF($F$20=$S$6,CO2データ!L259,CO2データ!O259))</f>
        <v>0</v>
      </c>
      <c r="I83" s="2301">
        <f>IF(OR($F$20=$R$6,$F$20=$U$6),CO2データ!J259,IF($F$20=$S$6,CO2データ!M259,CO2データ!P259))</f>
        <v>0</v>
      </c>
      <c r="J83" s="2301">
        <f>IF(OR($F$20=$R$6,$F$20=$U$6),CO2データ!K259,IF($F$20=$S$6,CO2データ!N259,CO2データ!Q259))</f>
        <v>0</v>
      </c>
      <c r="K83" s="2329"/>
      <c r="L83" s="2327">
        <f t="shared" si="8"/>
        <v>0</v>
      </c>
      <c r="M83" s="2329"/>
      <c r="N83" s="2327"/>
      <c r="O83" s="2331">
        <f t="shared" si="9"/>
        <v>0</v>
      </c>
      <c r="P83" t="s">
        <v>130</v>
      </c>
    </row>
    <row r="84" spans="2:16" hidden="1">
      <c r="B84" s="2325"/>
      <c r="C84" s="2257"/>
      <c r="D84" s="2257"/>
      <c r="E84" s="2257"/>
      <c r="F84" s="2301" t="e">
        <f>$F$80</f>
        <v>#DIV/0!</v>
      </c>
      <c r="G84" s="2257"/>
      <c r="H84" s="2301">
        <f>IF(OR($F$20=$R$6,$F$20=$U$6),CO2データ!I260,IF($F$20=$S$6,CO2データ!L260,CO2データ!O260))</f>
        <v>3.4000000000000002E-2</v>
      </c>
      <c r="I84" s="2301">
        <f>IF(OR($F$20=$R$6,$F$20=$U$6),CO2データ!J260,IF($F$20=$S$6,CO2データ!M260,CO2データ!P260))</f>
        <v>0</v>
      </c>
      <c r="J84" s="2301">
        <f>IF(OR($F$20=$R$6,$F$20=$U$6),CO2データ!K260,IF($F$20=$S$6,CO2データ!N260,CO2データ!Q260))</f>
        <v>3.4000000000000002E-2</v>
      </c>
      <c r="K84" s="2329"/>
      <c r="L84" s="2327">
        <f t="shared" si="8"/>
        <v>2.3800000000000002E-2</v>
      </c>
      <c r="M84" s="2329"/>
      <c r="N84" s="2327"/>
      <c r="O84" s="2331">
        <f t="shared" si="9"/>
        <v>3.4000000000000002E-2</v>
      </c>
      <c r="P84" t="s">
        <v>130</v>
      </c>
    </row>
    <row r="85" spans="2:16" hidden="1">
      <c r="B85" s="2325"/>
      <c r="C85" s="2257"/>
      <c r="D85" s="2257"/>
      <c r="E85" s="2257"/>
      <c r="F85" s="2301" t="e">
        <f>$F$80</f>
        <v>#DIV/0!</v>
      </c>
      <c r="G85" s="2257"/>
      <c r="H85" s="2301">
        <f>IF(OR($F$20=$R$6,$F$20=$U$6),CO2データ!I261,IF($F$20=$S$6,CO2データ!L261,CO2データ!O261))</f>
        <v>5.0000000000000001E-3</v>
      </c>
      <c r="I85" s="2301">
        <f>IF(OR($F$20=$R$6,$F$20=$U$6),CO2データ!J261,IF($F$20=$S$6,CO2データ!M261,CO2データ!P261))</f>
        <v>0</v>
      </c>
      <c r="J85" s="2301">
        <f>IF(OR($F$20=$R$6,$F$20=$U$6),CO2データ!K261,IF($F$20=$S$6,CO2データ!N261,CO2データ!Q261))</f>
        <v>4.7099999999999998E-3</v>
      </c>
      <c r="K85" s="2329"/>
      <c r="L85" s="2327">
        <f t="shared" si="8"/>
        <v>3.5000000000000001E-3</v>
      </c>
      <c r="M85" s="2329"/>
      <c r="N85" s="2327"/>
      <c r="O85" s="2331">
        <f t="shared" si="9"/>
        <v>5.0000000000000001E-3</v>
      </c>
      <c r="P85" t="s">
        <v>130</v>
      </c>
    </row>
    <row r="86" spans="2:16" hidden="1">
      <c r="B86" s="2325"/>
      <c r="C86" s="2257"/>
      <c r="D86" s="2257" t="s">
        <v>816</v>
      </c>
      <c r="E86" s="2257"/>
      <c r="F86" s="2301" t="e">
        <f>F18</f>
        <v>#DIV/0!</v>
      </c>
      <c r="G86" s="2257"/>
      <c r="H86" s="2301">
        <f>IF(OR($F$20=$R$6,$F$20=$U$6),CO2データ!I262,IF($F$20=$S$6,CO2データ!L262,CO2データ!O262))</f>
        <v>0.32300000000000001</v>
      </c>
      <c r="I86" s="2301">
        <f>IF(OR($F$20=$R$6,$F$20=$U$6),CO2データ!J262,IF($F$20=$S$6,CO2データ!M262,CO2データ!P262))</f>
        <v>0</v>
      </c>
      <c r="J86" s="2301">
        <f>IF(OR($F$20=$R$6,$F$20=$U$6),CO2データ!K262,IF($F$20=$S$6,CO2データ!N262,CO2データ!Q262))</f>
        <v>0</v>
      </c>
      <c r="K86" s="2329"/>
      <c r="L86" s="2327">
        <f t="shared" si="8"/>
        <v>0.22610000000000002</v>
      </c>
      <c r="M86" s="2329"/>
      <c r="N86" s="2327"/>
      <c r="O86" s="2331">
        <f t="shared" si="9"/>
        <v>0.32300000000000001</v>
      </c>
      <c r="P86" t="s">
        <v>200</v>
      </c>
    </row>
    <row r="87" spans="2:16" hidden="1">
      <c r="B87" s="2325"/>
      <c r="C87" s="2257"/>
      <c r="D87" s="2257"/>
      <c r="E87" s="2257"/>
      <c r="F87" s="2301" t="e">
        <f>$F$86</f>
        <v>#DIV/0!</v>
      </c>
      <c r="G87" s="2257"/>
      <c r="H87" s="2301">
        <f>IF(OR($F$20=$R$6,$F$20=$U$6),CO2データ!I263,IF($F$20=$S$6,CO2データ!L263,CO2データ!O263))</f>
        <v>0</v>
      </c>
      <c r="I87" s="2301">
        <f>IF(OR($F$20=$R$6,$F$20=$U$6),CO2データ!J263,IF($F$20=$S$6,CO2データ!M263,CO2データ!P263))</f>
        <v>0</v>
      </c>
      <c r="J87" s="2301">
        <f>IF(OR($F$20=$R$6,$F$20=$U$6),CO2データ!K263,IF($F$20=$S$6,CO2データ!N263,CO2データ!Q263))</f>
        <v>0.32300000000000001</v>
      </c>
      <c r="K87" s="2329"/>
      <c r="L87" s="2327">
        <f t="shared" si="8"/>
        <v>0</v>
      </c>
      <c r="M87" s="2329"/>
      <c r="N87" s="2327"/>
      <c r="O87" s="2331">
        <f t="shared" si="9"/>
        <v>0</v>
      </c>
      <c r="P87" t="s">
        <v>200</v>
      </c>
    </row>
    <row r="88" spans="2:16" hidden="1">
      <c r="B88" s="2325"/>
      <c r="C88" s="2257"/>
      <c r="D88" s="2257"/>
      <c r="E88" s="2257"/>
      <c r="F88" s="2301" t="e">
        <f>$F$86</f>
        <v>#DIV/0!</v>
      </c>
      <c r="G88" s="2257"/>
      <c r="H88" s="2301">
        <f>IF(OR($F$20=$R$6,$F$20=$U$6),CO2データ!I264,IF($F$20=$S$6,CO2データ!L264,CO2データ!O264))</f>
        <v>4.8000000000000001E-2</v>
      </c>
      <c r="I88" s="2301">
        <f>IF(OR($F$20=$R$6,$F$20=$U$6),CO2データ!J264,IF($F$20=$S$6,CO2データ!M264,CO2データ!P264))</f>
        <v>0</v>
      </c>
      <c r="J88" s="2301">
        <f>IF(OR($F$20=$R$6,$F$20=$U$6),CO2データ!K264,IF($F$20=$S$6,CO2データ!N264,CO2データ!Q264))</f>
        <v>4.8000000000000001E-2</v>
      </c>
      <c r="K88" s="2329"/>
      <c r="L88" s="2327">
        <f t="shared" si="8"/>
        <v>3.3600000000000005E-2</v>
      </c>
      <c r="M88" s="2329"/>
      <c r="N88" s="2327"/>
      <c r="O88" s="2331">
        <f t="shared" si="9"/>
        <v>4.8000000000000001E-2</v>
      </c>
      <c r="P88" t="s">
        <v>130</v>
      </c>
    </row>
    <row r="89" spans="2:16" hidden="1">
      <c r="B89" s="2325"/>
      <c r="C89" s="2257"/>
      <c r="D89" s="2257"/>
      <c r="E89" s="2257"/>
      <c r="F89" s="2301" t="e">
        <f>$F$86</f>
        <v>#DIV/0!</v>
      </c>
      <c r="G89" s="2257"/>
      <c r="H89" s="2301">
        <f>IF(OR($F$20=$R$6,$F$20=$U$6),CO2データ!I265,IF($F$20=$S$6,CO2データ!L265,CO2データ!O265))</f>
        <v>0</v>
      </c>
      <c r="I89" s="2301">
        <f>IF(OR($F$20=$R$6,$F$20=$U$6),CO2データ!J265,IF($F$20=$S$6,CO2データ!M265,CO2データ!P265))</f>
        <v>0</v>
      </c>
      <c r="J89" s="2301">
        <f>IF(OR($F$20=$R$6,$F$20=$U$6),CO2データ!K265,IF($F$20=$S$6,CO2データ!N265,CO2データ!Q265))</f>
        <v>0</v>
      </c>
      <c r="K89" s="2329"/>
      <c r="L89" s="2327">
        <f t="shared" si="8"/>
        <v>0</v>
      </c>
      <c r="M89" s="2329"/>
      <c r="N89" s="2327"/>
      <c r="O89" s="2331">
        <f t="shared" si="9"/>
        <v>0</v>
      </c>
      <c r="P89" t="s">
        <v>130</v>
      </c>
    </row>
    <row r="90" spans="2:16" hidden="1">
      <c r="B90" s="2325"/>
      <c r="C90" s="2257"/>
      <c r="D90" s="2257"/>
      <c r="E90" s="2257"/>
      <c r="F90" s="2301" t="e">
        <f>$F$86</f>
        <v>#DIV/0!</v>
      </c>
      <c r="G90" s="2257"/>
      <c r="H90" s="2301">
        <f>IF(OR($F$20=$R$6,$F$20=$U$6),CO2データ!I266,IF($F$20=$S$6,CO2データ!L266,CO2データ!O266))</f>
        <v>1.9E-2</v>
      </c>
      <c r="I90" s="2301">
        <f>IF(OR($F$20=$R$6,$F$20=$U$6),CO2データ!J266,IF($F$20=$S$6,CO2データ!M266,CO2データ!P266))</f>
        <v>0</v>
      </c>
      <c r="J90" s="2301">
        <f>IF(OR($F$20=$R$6,$F$20=$U$6),CO2データ!K266,IF($F$20=$S$6,CO2データ!N266,CO2データ!Q266))</f>
        <v>1.9E-2</v>
      </c>
      <c r="K90" s="2329"/>
      <c r="L90" s="2327">
        <f t="shared" si="8"/>
        <v>1.3299999999999999E-2</v>
      </c>
      <c r="M90" s="2329"/>
      <c r="N90" s="2327"/>
      <c r="O90" s="2331">
        <f t="shared" si="9"/>
        <v>1.9E-2</v>
      </c>
      <c r="P90" t="s">
        <v>130</v>
      </c>
    </row>
    <row r="91" spans="2:16" hidden="1">
      <c r="B91" s="2325"/>
      <c r="C91" s="2257"/>
      <c r="D91" s="2257"/>
      <c r="E91" s="2257"/>
      <c r="F91" s="2301" t="e">
        <f>$F$86</f>
        <v>#DIV/0!</v>
      </c>
      <c r="G91" s="2257"/>
      <c r="H91" s="2301">
        <f>IF(OR($F$20=$R$6,$F$20=$U$6),CO2データ!I267,IF($F$20=$S$6,CO2データ!L267,CO2データ!O267))</f>
        <v>2E-3</v>
      </c>
      <c r="I91" s="2301">
        <f>IF(OR($F$20=$R$6,$F$20=$U$6),CO2データ!J267,IF($F$20=$S$6,CO2データ!M267,CO2データ!P267))</f>
        <v>0</v>
      </c>
      <c r="J91" s="2301">
        <f>IF(OR($F$20=$R$6,$F$20=$U$6),CO2データ!K267,IF($F$20=$S$6,CO2データ!N267,CO2データ!Q267))</f>
        <v>1.98E-3</v>
      </c>
      <c r="K91" s="2329"/>
      <c r="L91" s="2327">
        <f t="shared" si="8"/>
        <v>1.4000000000000002E-3</v>
      </c>
      <c r="M91" s="2329"/>
      <c r="N91" s="2327"/>
      <c r="O91" s="2331">
        <f t="shared" si="9"/>
        <v>2E-3</v>
      </c>
      <c r="P91" t="s">
        <v>130</v>
      </c>
    </row>
    <row r="92" spans="2:16" ht="14.25" hidden="1" thickBot="1">
      <c r="B92" s="2314"/>
      <c r="C92" s="2205"/>
      <c r="D92" s="2205"/>
      <c r="E92" s="2205"/>
      <c r="F92" s="2205"/>
      <c r="G92" s="2205"/>
      <c r="H92" s="2205"/>
      <c r="I92" s="2205"/>
      <c r="J92" s="2205"/>
      <c r="K92" s="2205"/>
      <c r="L92" s="2205"/>
      <c r="M92" s="2205"/>
      <c r="N92" s="2205"/>
      <c r="O92" s="2206"/>
    </row>
    <row r="93" spans="2:16" hidden="1">
      <c r="B93" s="2325"/>
      <c r="C93" s="2257" t="s">
        <v>1394</v>
      </c>
      <c r="D93" s="2257" t="s">
        <v>537</v>
      </c>
      <c r="E93" s="2257"/>
      <c r="F93" s="2205"/>
      <c r="G93" s="2205"/>
      <c r="H93" s="2205"/>
      <c r="I93" s="2205"/>
      <c r="J93" s="2205"/>
      <c r="K93" s="2329"/>
      <c r="L93" s="2332" t="e">
        <f t="shared" ref="L93:L98" si="10">$F38*L38+$F44*L44+$F50*L50+$F56*L56+$F62*L62+$F68*L68+$F74*L74+$F80*L80+$F86*L86</f>
        <v>#DIV/0!</v>
      </c>
      <c r="M93" s="2329"/>
      <c r="N93" s="2333"/>
      <c r="O93" s="2332" t="e">
        <f t="shared" ref="O93:O98" si="11">$F38*O38+$F44*O44+$F50*O50+$F56*O56+$F62*O62+$F68*O68+$F74*O74+$F80*O80+$F86*O86</f>
        <v>#DIV/0!</v>
      </c>
      <c r="P93" t="s">
        <v>200</v>
      </c>
    </row>
    <row r="94" spans="2:16" hidden="1">
      <c r="B94" s="2325"/>
      <c r="C94" s="2257"/>
      <c r="D94" s="2257"/>
      <c r="E94" s="2257"/>
      <c r="F94" s="2205"/>
      <c r="G94" s="2205"/>
      <c r="H94" s="2205"/>
      <c r="I94" s="2205"/>
      <c r="J94" s="2205"/>
      <c r="K94" s="2329"/>
      <c r="L94" s="2334" t="e">
        <f t="shared" si="10"/>
        <v>#DIV/0!</v>
      </c>
      <c r="M94" s="2329"/>
      <c r="N94" s="2333"/>
      <c r="O94" s="2334" t="e">
        <f t="shared" si="11"/>
        <v>#DIV/0!</v>
      </c>
      <c r="P94" t="s">
        <v>200</v>
      </c>
    </row>
    <row r="95" spans="2:16" hidden="1">
      <c r="B95" s="2325"/>
      <c r="C95" s="2257"/>
      <c r="D95" s="2257"/>
      <c r="E95" s="2257"/>
      <c r="F95" s="2205"/>
      <c r="G95" s="2205"/>
      <c r="H95" s="2205"/>
      <c r="I95" s="2205"/>
      <c r="J95" s="2205"/>
      <c r="K95" s="2329"/>
      <c r="L95" s="2334" t="e">
        <f t="shared" si="10"/>
        <v>#DIV/0!</v>
      </c>
      <c r="M95" s="2329"/>
      <c r="N95" s="2333"/>
      <c r="O95" s="2334" t="e">
        <f t="shared" si="11"/>
        <v>#DIV/0!</v>
      </c>
      <c r="P95" t="s">
        <v>130</v>
      </c>
    </row>
    <row r="96" spans="2:16" hidden="1">
      <c r="B96" s="2325"/>
      <c r="C96" s="2257"/>
      <c r="D96" s="2257"/>
      <c r="E96" s="2257"/>
      <c r="F96" s="2205"/>
      <c r="G96" s="2205"/>
      <c r="H96" s="2205"/>
      <c r="I96" s="2205"/>
      <c r="J96" s="2205"/>
      <c r="K96" s="2329"/>
      <c r="L96" s="2334" t="e">
        <f t="shared" si="10"/>
        <v>#DIV/0!</v>
      </c>
      <c r="M96" s="2329"/>
      <c r="N96" s="2333"/>
      <c r="O96" s="2334" t="e">
        <f t="shared" si="11"/>
        <v>#DIV/0!</v>
      </c>
      <c r="P96" t="s">
        <v>130</v>
      </c>
    </row>
    <row r="97" spans="2:16" hidden="1">
      <c r="B97" s="2325"/>
      <c r="C97" s="2257"/>
      <c r="D97" s="2257"/>
      <c r="E97" s="2257"/>
      <c r="F97" s="2205"/>
      <c r="G97" s="2205"/>
      <c r="H97" s="2205"/>
      <c r="I97" s="2205"/>
      <c r="J97" s="2205"/>
      <c r="K97" s="2329"/>
      <c r="L97" s="2334" t="e">
        <f t="shared" si="10"/>
        <v>#DIV/0!</v>
      </c>
      <c r="M97" s="2329"/>
      <c r="N97" s="2333"/>
      <c r="O97" s="2334" t="e">
        <f t="shared" si="11"/>
        <v>#DIV/0!</v>
      </c>
      <c r="P97" t="s">
        <v>130</v>
      </c>
    </row>
    <row r="98" spans="2:16" ht="14.25" hidden="1" thickBot="1">
      <c r="B98" s="2325"/>
      <c r="C98" s="2257"/>
      <c r="D98" s="2257"/>
      <c r="E98" s="2257"/>
      <c r="F98" s="2205"/>
      <c r="G98" s="2205"/>
      <c r="H98" s="2205"/>
      <c r="I98" s="2205"/>
      <c r="J98" s="2205"/>
      <c r="K98" s="2329"/>
      <c r="L98" s="2335" t="e">
        <f t="shared" si="10"/>
        <v>#DIV/0!</v>
      </c>
      <c r="M98" s="2329"/>
      <c r="N98" s="2333"/>
      <c r="O98" s="2335" t="e">
        <f t="shared" si="11"/>
        <v>#DIV/0!</v>
      </c>
      <c r="P98" t="s">
        <v>130</v>
      </c>
    </row>
    <row r="99" spans="2:16" hidden="1">
      <c r="B99" s="2314"/>
      <c r="C99" s="2205"/>
      <c r="D99" s="2205"/>
      <c r="E99" s="2205"/>
      <c r="F99" s="2205"/>
      <c r="G99" s="2205"/>
      <c r="H99" s="2205"/>
      <c r="I99" s="2205"/>
      <c r="J99" s="2205"/>
      <c r="K99" s="2205"/>
      <c r="L99" s="2205"/>
      <c r="M99" s="2205"/>
      <c r="N99" s="2205"/>
      <c r="O99" s="2206"/>
    </row>
    <row r="100" spans="2:16" ht="16.5">
      <c r="B100" s="1442" t="s">
        <v>207</v>
      </c>
      <c r="C100" s="1452"/>
      <c r="D100" s="1455"/>
      <c r="E100" s="1452"/>
      <c r="F100" s="2205"/>
      <c r="G100" s="2205"/>
      <c r="H100" s="1443"/>
      <c r="I100" s="1444"/>
      <c r="J100" s="1444"/>
      <c r="K100" s="1444"/>
      <c r="L100" s="1444"/>
      <c r="M100" s="1444"/>
      <c r="N100" s="1444"/>
      <c r="O100" s="1458"/>
    </row>
    <row r="101" spans="2:16" ht="14.25">
      <c r="B101" s="1442"/>
      <c r="C101" s="1446" t="s">
        <v>208</v>
      </c>
      <c r="D101" s="1455"/>
      <c r="E101" s="1452"/>
      <c r="F101" s="2205"/>
      <c r="G101" s="2205"/>
      <c r="H101" s="1443"/>
      <c r="I101" s="1444"/>
      <c r="J101" s="1443" t="s">
        <v>182</v>
      </c>
      <c r="K101" s="1444"/>
      <c r="L101" s="1443" t="s">
        <v>182</v>
      </c>
      <c r="M101" s="1444"/>
      <c r="N101" s="1444"/>
      <c r="O101" s="1445" t="s">
        <v>182</v>
      </c>
    </row>
    <row r="102" spans="2:16">
      <c r="B102" s="2204"/>
      <c r="C102" s="1455"/>
      <c r="D102" s="1455" t="s">
        <v>189</v>
      </c>
      <c r="E102" s="1452"/>
      <c r="F102" s="2300" t="s">
        <v>184</v>
      </c>
      <c r="G102" s="1452"/>
      <c r="H102" s="1449" t="s">
        <v>185</v>
      </c>
      <c r="I102" s="1449" t="s">
        <v>186</v>
      </c>
      <c r="J102" s="1449" t="s">
        <v>187</v>
      </c>
      <c r="K102" s="1450" t="s">
        <v>188</v>
      </c>
      <c r="L102" s="1451" t="s">
        <v>117</v>
      </c>
      <c r="M102" s="1452"/>
      <c r="N102" s="1450" t="s">
        <v>188</v>
      </c>
      <c r="O102" s="1453" t="s">
        <v>117</v>
      </c>
    </row>
    <row r="103" spans="2:16">
      <c r="B103" s="2204"/>
      <c r="C103" s="1455"/>
      <c r="D103" s="1455"/>
      <c r="E103" s="1455" t="s">
        <v>519</v>
      </c>
      <c r="F103" s="2301" t="e">
        <f t="shared" ref="F103:F111" si="12">F10</f>
        <v>#DIV/0!</v>
      </c>
      <c r="G103" s="1452"/>
      <c r="H103" s="2301">
        <f>IF(OR($F$20=$R$6,$F$20=$U$6),CO2データ!I67,IF($F$20=$S$6,CO2データ!L67,CO2データ!O67))</f>
        <v>15.990999999999998</v>
      </c>
      <c r="I103" s="2301">
        <f>IF(OR($F$20=$R$6,$F$20=$U$6),CO2データ!J67,IF($F$20=$S$6,CO2データ!M67,CO2データ!P67))</f>
        <v>15.990999999999998</v>
      </c>
      <c r="J103" s="2301">
        <f>IF(OR($F$20=$R$6,$F$20=$U$6),CO2データ!K67,IF($F$20=$S$6,CO2データ!N67,CO2データ!Q67))</f>
        <v>15.990999999999998</v>
      </c>
      <c r="K103" s="2287" t="e">
        <f>スコア表示!L80</f>
        <v>#DIV/0!</v>
      </c>
      <c r="L103" s="2303" t="e">
        <f t="shared" ref="L103:L111" si="13">IF(K103&gt;=5,$J103,IF(K103&gt;=4,$I103,$H103))</f>
        <v>#DIV/0!</v>
      </c>
      <c r="M103" s="1452"/>
      <c r="N103" s="2287">
        <v>3</v>
      </c>
      <c r="O103" s="2304">
        <f>IF(OR($F$20=$R$6,$F$20=$U$6),CO2データ!I65,IF($F$20=$S$6,CO2データ!L65,CO2データ!O65))</f>
        <v>15.990999999999998</v>
      </c>
    </row>
    <row r="104" spans="2:16">
      <c r="B104" s="2204"/>
      <c r="C104" s="1452"/>
      <c r="D104" s="1455"/>
      <c r="E104" s="1455" t="s">
        <v>521</v>
      </c>
      <c r="F104" s="2301" t="e">
        <f t="shared" si="12"/>
        <v>#DIV/0!</v>
      </c>
      <c r="G104" s="1452"/>
      <c r="H104" s="2301">
        <f>IF(OR($F$20=$R$6,$F$20=$U$6),CO2データ!I70,IF($F$20=$S$6,CO2データ!L70,CO2データ!O70))</f>
        <v>11.802</v>
      </c>
      <c r="I104" s="2301">
        <f>IF(OR($F$20=$R$6,$F$20=$U$6),CO2データ!J70,IF($F$20=$S$6,CO2データ!M70,CO2データ!P70))</f>
        <v>11.802</v>
      </c>
      <c r="J104" s="2301">
        <f>IF(OR($F$20=$R$6,$F$20=$U$6),CO2データ!K70,IF($F$20=$S$6,CO2データ!N70,CO2データ!Q70))</f>
        <v>11.802</v>
      </c>
      <c r="K104" s="2287" t="e">
        <f t="shared" ref="K104:K111" si="14">K$103</f>
        <v>#DIV/0!</v>
      </c>
      <c r="L104" s="2303" t="e">
        <f t="shared" si="13"/>
        <v>#DIV/0!</v>
      </c>
      <c r="M104" s="1452"/>
      <c r="N104" s="2287">
        <v>3</v>
      </c>
      <c r="O104" s="2304">
        <f>IF(OR($F$20=$R$6,$F$20=$U$6),CO2データ!I68,IF($F$20=$S$6,CO2データ!L68,CO2データ!O68))</f>
        <v>11.802</v>
      </c>
    </row>
    <row r="105" spans="2:16">
      <c r="B105" s="2204"/>
      <c r="C105" s="1452"/>
      <c r="D105" s="2205"/>
      <c r="E105" s="1455" t="s">
        <v>523</v>
      </c>
      <c r="F105" s="2301" t="e">
        <f t="shared" si="12"/>
        <v>#DIV/0!</v>
      </c>
      <c r="G105" s="1452"/>
      <c r="H105" s="2301">
        <f>IF(OR($F$20=$R$6,$F$20=$U$6),CO2データ!I73,IF($F$20=$S$6,CO2データ!L73,CO2データ!O73))</f>
        <v>6.88</v>
      </c>
      <c r="I105" s="2301">
        <f>IF(OR($F$20=$R$6,$F$20=$U$6),CO2データ!J73,IF($F$20=$S$6,CO2データ!M73,CO2データ!P73))</f>
        <v>6.88</v>
      </c>
      <c r="J105" s="2301">
        <f>IF(OR($F$20=$R$6,$F$20=$U$6),CO2データ!K73,IF($F$20=$S$6,CO2データ!N73,CO2データ!Q73))</f>
        <v>6.88</v>
      </c>
      <c r="K105" s="2287" t="e">
        <f t="shared" si="14"/>
        <v>#DIV/0!</v>
      </c>
      <c r="L105" s="2303" t="e">
        <f t="shared" si="13"/>
        <v>#DIV/0!</v>
      </c>
      <c r="M105" s="1452"/>
      <c r="N105" s="2287">
        <v>3</v>
      </c>
      <c r="O105" s="2304">
        <f>IF(OR($F$20=$R$6,$F$20=$U$6),CO2データ!I71,IF($F$20=$S$6,CO2データ!L71,CO2データ!O71))</f>
        <v>6.88</v>
      </c>
    </row>
    <row r="106" spans="2:16">
      <c r="B106" s="2204"/>
      <c r="C106" s="1452"/>
      <c r="D106" s="1455"/>
      <c r="E106" s="1455" t="s">
        <v>525</v>
      </c>
      <c r="F106" s="2301" t="e">
        <f t="shared" si="12"/>
        <v>#DIV/0!</v>
      </c>
      <c r="G106" s="1452"/>
      <c r="H106" s="2301">
        <f>IF(OR($F$20=$R$6,$F$20=$U$6),CO2データ!I76,IF($F$20=$S$6,CO2データ!L76,CO2データ!O76))</f>
        <v>6.88</v>
      </c>
      <c r="I106" s="2301">
        <f>IF(OR($F$20=$R$6,$F$20=$U$6),CO2データ!J76,IF($F$20=$S$6,CO2データ!M76,CO2データ!P76))</f>
        <v>6.88</v>
      </c>
      <c r="J106" s="2301">
        <f>IF(OR($F$20=$R$6,$F$20=$U$6),CO2データ!K76,IF($F$20=$S$6,CO2データ!N76,CO2データ!Q76))</f>
        <v>6.88</v>
      </c>
      <c r="K106" s="2287" t="e">
        <f t="shared" si="14"/>
        <v>#DIV/0!</v>
      </c>
      <c r="L106" s="2303" t="e">
        <f t="shared" si="13"/>
        <v>#DIV/0!</v>
      </c>
      <c r="M106" s="1452"/>
      <c r="N106" s="2287">
        <v>3</v>
      </c>
      <c r="O106" s="2304">
        <f>IF(OR($F$20=$R$6,$F$20=$U$6),CO2データ!I74,IF($F$20=$S$6,CO2データ!L74,CO2データ!O74))</f>
        <v>6.88</v>
      </c>
    </row>
    <row r="107" spans="2:16">
      <c r="B107" s="2204"/>
      <c r="C107" s="2205"/>
      <c r="D107" s="2205"/>
      <c r="E107" s="147" t="s">
        <v>819</v>
      </c>
      <c r="F107" s="2301" t="e">
        <f t="shared" si="12"/>
        <v>#DIV/0!</v>
      </c>
      <c r="G107" s="1452"/>
      <c r="H107" s="2301">
        <f>IF(OR($F$20=$R$6,$F$20=$U$6),CO2データ!I79,IF($F$20=$S$6,CO2データ!L79,CO2データ!O79))</f>
        <v>12.809999999999999</v>
      </c>
      <c r="I107" s="2301">
        <f>IF(OR($F$20=$R$6,$F$20=$U$6),CO2データ!J79,IF($F$20=$S$6,CO2データ!M79,CO2データ!P79))</f>
        <v>12.809999999999999</v>
      </c>
      <c r="J107" s="2301">
        <f>IF(OR($F$20=$R$6,$F$20=$U$6),CO2データ!K79,IF($F$20=$S$6,CO2データ!N79,CO2データ!Q79))</f>
        <v>12.809999999999999</v>
      </c>
      <c r="K107" s="2287" t="e">
        <f t="shared" si="14"/>
        <v>#DIV/0!</v>
      </c>
      <c r="L107" s="2303" t="e">
        <f t="shared" si="13"/>
        <v>#DIV/0!</v>
      </c>
      <c r="M107" s="1452"/>
      <c r="N107" s="2287">
        <v>3</v>
      </c>
      <c r="O107" s="2304">
        <f>IF(OR($F$20=$R$6,$F$20=$U$6),CO2データ!I77,IF($F$20=$S$6,CO2データ!L77,CO2データ!O77))</f>
        <v>12.809999999999999</v>
      </c>
    </row>
    <row r="108" spans="2:16">
      <c r="B108" s="2204"/>
      <c r="C108" s="2205"/>
      <c r="D108" s="2205"/>
      <c r="E108" s="147" t="s">
        <v>535</v>
      </c>
      <c r="F108" s="2301" t="e">
        <f t="shared" si="12"/>
        <v>#DIV/0!</v>
      </c>
      <c r="G108" s="1452"/>
      <c r="H108" s="2301">
        <f>IF(OR($F$20=$R$6,$F$20=$U$6),CO2データ!I82,IF($F$20=$S$6,CO2データ!L82,CO2データ!O82))</f>
        <v>8.6499999999999986</v>
      </c>
      <c r="I108" s="2301">
        <f>IF(OR($F$20=$R$6,$F$20=$U$6),CO2データ!J82,IF($F$20=$S$6,CO2データ!M82,CO2データ!P82))</f>
        <v>8.6499999999999986</v>
      </c>
      <c r="J108" s="2301">
        <f>IF(OR($F$20=$R$6,$F$20=$U$6),CO2データ!K82,IF($F$20=$S$6,CO2データ!N82,CO2データ!Q82))</f>
        <v>8.6499999999999986</v>
      </c>
      <c r="K108" s="2287" t="e">
        <f t="shared" si="14"/>
        <v>#DIV/0!</v>
      </c>
      <c r="L108" s="2303" t="e">
        <f t="shared" si="13"/>
        <v>#DIV/0!</v>
      </c>
      <c r="M108" s="1452"/>
      <c r="N108" s="2287">
        <v>3</v>
      </c>
      <c r="O108" s="2304">
        <f>IF(OR($F$20=$R$6,$F$20=$U$6),CO2データ!I80,IF($F$20=$S$6,CO2データ!L80,CO2データ!O80))</f>
        <v>8.6499999999999986</v>
      </c>
    </row>
    <row r="109" spans="2:16">
      <c r="B109" s="2204"/>
      <c r="C109" s="2205"/>
      <c r="D109" s="2205"/>
      <c r="E109" s="147" t="s">
        <v>529</v>
      </c>
      <c r="F109" s="2301" t="e">
        <f t="shared" si="12"/>
        <v>#DIV/0!</v>
      </c>
      <c r="G109" s="1452"/>
      <c r="H109" s="2301">
        <f>IF(OR($F$20=$R$6,$F$20=$U$6),CO2データ!I85,IF($F$20=$S$6,CO2データ!L85,CO2データ!O85))</f>
        <v>15.425999999999998</v>
      </c>
      <c r="I109" s="2301">
        <f>IF(OR($F$20=$R$6,$F$20=$U$6),CO2データ!J85,IF($F$20=$S$6,CO2データ!M85,CO2データ!P85))</f>
        <v>15.425999999999998</v>
      </c>
      <c r="J109" s="2301">
        <f>IF(OR($F$20=$R$6,$F$20=$U$6),CO2データ!K85,IF($F$20=$S$6,CO2データ!N85,CO2データ!Q85))</f>
        <v>15.425999999999998</v>
      </c>
      <c r="K109" s="2287" t="e">
        <f t="shared" si="14"/>
        <v>#DIV/0!</v>
      </c>
      <c r="L109" s="2303" t="e">
        <f t="shared" si="13"/>
        <v>#DIV/0!</v>
      </c>
      <c r="M109" s="1452"/>
      <c r="N109" s="2287">
        <v>3</v>
      </c>
      <c r="O109" s="2304">
        <f>IF(OR($F$20=$R$6,$F$20=$U$6),CO2データ!I83,IF($F$20=$S$6,CO2データ!L83,CO2データ!O83))</f>
        <v>15.425999999999998</v>
      </c>
    </row>
    <row r="110" spans="2:16">
      <c r="B110" s="2204"/>
      <c r="C110" s="2205"/>
      <c r="D110" s="2205"/>
      <c r="E110" s="147" t="s">
        <v>820</v>
      </c>
      <c r="F110" s="2301" t="e">
        <f t="shared" si="12"/>
        <v>#DIV/0!</v>
      </c>
      <c r="G110" s="1452"/>
      <c r="H110" s="2301">
        <f>IF(OR($F$20=$R$6,$F$20=$U$6),CO2データ!I88,IF($F$20=$S$6,CO2データ!L88,CO2データ!O88))</f>
        <v>13.297999999999998</v>
      </c>
      <c r="I110" s="2301">
        <f>IF(OR($F$20=$R$6,$F$20=$U$6),CO2データ!J88,IF($F$20=$S$6,CO2データ!M88,CO2データ!P88))</f>
        <v>13.297999999999998</v>
      </c>
      <c r="J110" s="2301">
        <f>IF(OR($F$20=$R$6,$F$20=$U$6),CO2データ!K88,IF($F$20=$S$6,CO2データ!N88,CO2データ!Q88))</f>
        <v>13.297999999999998</v>
      </c>
      <c r="K110" s="2287" t="e">
        <f t="shared" si="14"/>
        <v>#DIV/0!</v>
      </c>
      <c r="L110" s="2303" t="e">
        <f t="shared" si="13"/>
        <v>#DIV/0!</v>
      </c>
      <c r="M110" s="1452"/>
      <c r="N110" s="2287">
        <v>3</v>
      </c>
      <c r="O110" s="2304">
        <f>IF(OR($F$20=$R$6,$F$20=$U$6),CO2データ!I86,IF($F$20=$S$6,CO2データ!L86,CO2データ!O86))</f>
        <v>13.297999999999998</v>
      </c>
    </row>
    <row r="111" spans="2:16">
      <c r="B111" s="2204"/>
      <c r="C111" s="2205"/>
      <c r="D111" s="2205"/>
      <c r="E111" s="147" t="s">
        <v>533</v>
      </c>
      <c r="F111" s="2301" t="e">
        <f t="shared" si="12"/>
        <v>#DIV/0!</v>
      </c>
      <c r="G111" s="1452"/>
      <c r="H111" s="2301">
        <f>IF(OR($F$20=$R$6,$F$20=$U$6),CO2データ!I91,IF($F$20=$S$6,CO2データ!L91,CO2データ!O91))</f>
        <v>8.0190000000000001</v>
      </c>
      <c r="I111" s="2301">
        <f>IF(OR($F$20=$R$6,$F$20=$U$6),CO2データ!J91,IF($F$20=$S$6,CO2データ!M91,CO2データ!P91))</f>
        <v>9.7210000000000001</v>
      </c>
      <c r="J111" s="2301">
        <f>IF(OR($F$20=$R$6,$F$20=$U$6),CO2データ!K91,IF($F$20=$S$6,CO2データ!N91,CO2データ!Q91))</f>
        <v>10.979000000000001</v>
      </c>
      <c r="K111" s="2287" t="e">
        <f t="shared" si="14"/>
        <v>#DIV/0!</v>
      </c>
      <c r="L111" s="2303" t="e">
        <f t="shared" si="13"/>
        <v>#DIV/0!</v>
      </c>
      <c r="M111" s="1452"/>
      <c r="N111" s="2287">
        <v>3</v>
      </c>
      <c r="O111" s="2304">
        <f>IF(OR($F$20=$R$6,$F$20=$U$6),CO2データ!I89,IF($F$20=$S$6,CO2データ!L89,CO2データ!O89))</f>
        <v>8.0190000000000001</v>
      </c>
    </row>
    <row r="112" spans="2:16" ht="14.25" thickBot="1">
      <c r="B112" s="2204"/>
      <c r="C112" s="2205"/>
      <c r="D112" s="2205"/>
      <c r="E112" s="2205"/>
      <c r="F112" s="2205"/>
      <c r="G112" s="2205"/>
      <c r="H112" s="2205"/>
      <c r="I112" s="2205"/>
      <c r="J112" s="2205"/>
      <c r="K112" s="2205"/>
      <c r="L112" s="2205"/>
      <c r="M112" s="2205"/>
      <c r="N112" s="2205"/>
      <c r="O112" s="2206"/>
    </row>
    <row r="113" spans="2:18" ht="14.25" thickBot="1">
      <c r="B113" s="2314"/>
      <c r="C113" s="1446" t="s">
        <v>209</v>
      </c>
      <c r="D113" s="1455"/>
      <c r="E113" s="147"/>
      <c r="F113" s="2205"/>
      <c r="G113" s="2205"/>
      <c r="H113" s="2205"/>
      <c r="I113" s="2205"/>
      <c r="J113" s="2205"/>
      <c r="K113" s="2205"/>
      <c r="L113" s="2317" t="e">
        <f>SUMPRODUCT(F103:F111,L103:L111)</f>
        <v>#DIV/0!</v>
      </c>
      <c r="M113" s="2205"/>
      <c r="N113" s="2205"/>
      <c r="O113" s="2317" t="e">
        <f>SUMPRODUCT(F103:F111,O103:O111)</f>
        <v>#DIV/0!</v>
      </c>
    </row>
    <row r="114" spans="2:18">
      <c r="B114" s="2204"/>
      <c r="C114" s="2205"/>
      <c r="D114" s="2205"/>
      <c r="E114" s="2205"/>
      <c r="F114" s="2205"/>
      <c r="G114" s="2205"/>
      <c r="H114" s="2205"/>
      <c r="I114" s="2205"/>
      <c r="J114" s="2205"/>
      <c r="K114" s="2205"/>
      <c r="L114" s="2205"/>
      <c r="M114" s="2205"/>
      <c r="N114" s="2205"/>
      <c r="O114" s="2206"/>
    </row>
    <row r="115" spans="2:18" ht="17.25" thickBot="1">
      <c r="B115" s="1442" t="s">
        <v>210</v>
      </c>
      <c r="C115" s="2205"/>
      <c r="D115" s="2205"/>
      <c r="E115" s="2205"/>
      <c r="F115" s="2205"/>
      <c r="G115" s="2205"/>
      <c r="H115" s="2205"/>
      <c r="I115" s="2205"/>
      <c r="J115" s="2205"/>
      <c r="K115" s="2205"/>
      <c r="L115" s="1443" t="s">
        <v>182</v>
      </c>
      <c r="M115" s="1452"/>
      <c r="N115" s="1452"/>
      <c r="O115" s="1445" t="s">
        <v>182</v>
      </c>
      <c r="R115" t="s">
        <v>1395</v>
      </c>
    </row>
    <row r="116" spans="2:18" ht="14.25" thickBot="1">
      <c r="B116" s="1442"/>
      <c r="C116" s="1446" t="s">
        <v>1812</v>
      </c>
      <c r="D116" s="2205"/>
      <c r="E116" s="2205"/>
      <c r="F116" s="2205" t="s">
        <v>1306</v>
      </c>
      <c r="G116" s="2205"/>
      <c r="H116" s="2205" t="s">
        <v>1396</v>
      </c>
      <c r="I116" s="2205"/>
      <c r="J116" s="2205" t="s">
        <v>1209</v>
      </c>
      <c r="K116" s="2205"/>
      <c r="L116" s="1985">
        <f>SUM(L118:L121)</f>
        <v>0</v>
      </c>
      <c r="M116" s="1452"/>
      <c r="N116" s="1986" t="s">
        <v>1125</v>
      </c>
      <c r="O116" s="1985">
        <f>SUM(O118:O121)</f>
        <v>0</v>
      </c>
    </row>
    <row r="117" spans="2:18">
      <c r="B117" s="1442"/>
      <c r="C117" s="1446"/>
      <c r="D117" s="2205"/>
      <c r="E117" s="2205"/>
      <c r="F117" s="2336" t="s">
        <v>1308</v>
      </c>
      <c r="G117" s="2205"/>
      <c r="H117" s="1439" t="s">
        <v>1397</v>
      </c>
      <c r="I117" s="1439" t="s">
        <v>1398</v>
      </c>
      <c r="J117" s="1455" t="s">
        <v>1399</v>
      </c>
      <c r="K117" s="2205"/>
      <c r="L117" s="1991"/>
      <c r="M117" s="1452"/>
      <c r="N117" s="1986"/>
      <c r="O117" s="2284"/>
    </row>
    <row r="118" spans="2:18">
      <c r="B118" s="1442"/>
      <c r="C118" s="1446"/>
      <c r="D118" s="2205"/>
      <c r="E118" s="2205" t="s">
        <v>1370</v>
      </c>
      <c r="F118" s="2337">
        <f>計画書_前!I29</f>
        <v>0</v>
      </c>
      <c r="G118" s="2205"/>
      <c r="H118" s="2337">
        <f>計画書_前!Q74</f>
        <v>0</v>
      </c>
      <c r="I118" s="2337" t="e">
        <f>計画書_前!N74</f>
        <v>#VALUE!</v>
      </c>
      <c r="J118" s="2214" t="e">
        <f>計画書_前!L94</f>
        <v>#VALUE!</v>
      </c>
      <c r="K118" s="2205"/>
      <c r="L118" s="2338">
        <f>IF(F118=0,0,I118*J118/F118*1000)</f>
        <v>0</v>
      </c>
      <c r="M118" s="1452"/>
      <c r="N118" s="1986"/>
      <c r="O118" s="2339">
        <f>IF(F118=0,0,H118*J118/F118*1000)</f>
        <v>0</v>
      </c>
    </row>
    <row r="119" spans="2:18" hidden="1">
      <c r="B119" s="1442"/>
      <c r="C119" s="1446"/>
      <c r="D119" s="2205"/>
      <c r="E119" s="2205"/>
      <c r="F119" s="2337"/>
      <c r="G119" s="2205"/>
      <c r="H119" s="2337"/>
      <c r="I119" s="2337"/>
      <c r="J119" s="2214"/>
      <c r="K119" s="2205"/>
      <c r="L119" s="2338"/>
      <c r="M119" s="1452"/>
      <c r="N119" s="1986"/>
      <c r="O119" s="2339"/>
    </row>
    <row r="120" spans="2:18">
      <c r="B120" s="1442"/>
      <c r="C120" s="1446"/>
      <c r="D120" s="2205"/>
      <c r="E120" s="2205" t="s">
        <v>1400</v>
      </c>
      <c r="F120" s="2337">
        <f>計画書_前!N29</f>
        <v>0</v>
      </c>
      <c r="G120" s="2205"/>
      <c r="H120" s="2337">
        <f>計画書_前!Q108</f>
        <v>0</v>
      </c>
      <c r="I120" s="2337">
        <f>計画書_前!N108</f>
        <v>0</v>
      </c>
      <c r="J120" s="2214" t="e">
        <f>CO2データ!R168</f>
        <v>#VALUE!</v>
      </c>
      <c r="K120" s="2205"/>
      <c r="L120" s="2338">
        <f>IF(F120=0,0,I120*J120/F120*1000)</f>
        <v>0</v>
      </c>
      <c r="M120" s="1452"/>
      <c r="N120" s="1986"/>
      <c r="O120" s="2339">
        <f>IF(F120=0,0,H120*J120/F120*1000)</f>
        <v>0</v>
      </c>
    </row>
    <row r="121" spans="2:18">
      <c r="B121" s="1442"/>
      <c r="C121" s="1446"/>
      <c r="D121" s="2205"/>
      <c r="E121" s="2205" t="s">
        <v>1401</v>
      </c>
      <c r="F121" s="2337">
        <f>計画書_前!M29</f>
        <v>0</v>
      </c>
      <c r="G121" s="2205"/>
      <c r="H121" s="2337">
        <f>計画書_前!Q112</f>
        <v>0</v>
      </c>
      <c r="I121" s="2337">
        <f>計画書_前!N112</f>
        <v>0</v>
      </c>
      <c r="J121" s="2214" t="e">
        <f>CO2データ!R169</f>
        <v>#VALUE!</v>
      </c>
      <c r="K121" s="2205"/>
      <c r="L121" s="2338">
        <f>IF(F121=0,0,I121*J121/F121*1000)</f>
        <v>0</v>
      </c>
      <c r="M121" s="1452"/>
      <c r="N121" s="1986"/>
      <c r="O121" s="2339">
        <f>IF(F121=0,0,H121*J121/F121*1000)</f>
        <v>0</v>
      </c>
    </row>
    <row r="122" spans="2:18" ht="14.25" thickBot="1">
      <c r="B122" s="1442"/>
      <c r="C122" s="2205"/>
      <c r="D122" s="2205"/>
      <c r="E122" s="2205"/>
      <c r="F122" s="2205"/>
      <c r="G122" s="2205"/>
      <c r="H122" s="2205"/>
      <c r="I122" s="2205"/>
      <c r="J122" s="2205"/>
      <c r="K122" s="2205"/>
      <c r="L122" s="1443"/>
      <c r="M122" s="1452"/>
      <c r="N122" s="1452"/>
      <c r="O122" s="1445"/>
    </row>
    <row r="123" spans="2:18" ht="14.25" thickBot="1">
      <c r="B123" s="2204"/>
      <c r="C123" s="1446" t="s">
        <v>1126</v>
      </c>
      <c r="D123" s="2205"/>
      <c r="E123" s="2205"/>
      <c r="F123" s="2205" t="s">
        <v>1306</v>
      </c>
      <c r="G123" s="2205"/>
      <c r="H123" s="2205" t="s">
        <v>1396</v>
      </c>
      <c r="I123" s="2205"/>
      <c r="J123" s="2205" t="s">
        <v>1209</v>
      </c>
      <c r="K123" s="2205"/>
      <c r="L123" s="1985">
        <f>SUM(L125:L127)</f>
        <v>0</v>
      </c>
      <c r="M123" s="2205"/>
      <c r="N123" s="2205"/>
      <c r="O123" s="2206"/>
    </row>
    <row r="124" spans="2:18">
      <c r="B124" s="2204"/>
      <c r="C124" s="1446"/>
      <c r="D124" s="2205"/>
      <c r="E124" s="2205"/>
      <c r="F124" s="2212" t="s">
        <v>1308</v>
      </c>
      <c r="G124" s="2205"/>
      <c r="H124" s="2340" t="s">
        <v>1402</v>
      </c>
      <c r="I124" s="1439" t="s">
        <v>1403</v>
      </c>
      <c r="J124" s="1455" t="s">
        <v>1399</v>
      </c>
      <c r="K124" s="2205"/>
      <c r="L124" s="2205"/>
      <c r="M124" s="2205"/>
      <c r="N124" s="2205"/>
      <c r="O124" s="2206"/>
    </row>
    <row r="125" spans="2:18">
      <c r="B125" s="2204"/>
      <c r="C125" s="1446"/>
      <c r="D125" s="2205"/>
      <c r="E125" s="2205" t="s">
        <v>1370</v>
      </c>
      <c r="F125" s="2337">
        <f>F118</f>
        <v>0</v>
      </c>
      <c r="G125" s="2205"/>
      <c r="H125" s="2337">
        <f>計画書_前!I43</f>
        <v>0</v>
      </c>
      <c r="I125" s="2337" t="e">
        <f>I118-H125</f>
        <v>#VALUE!</v>
      </c>
      <c r="J125" s="2214" t="e">
        <f>J118</f>
        <v>#VALUE!</v>
      </c>
      <c r="K125" s="2205"/>
      <c r="L125" s="2338">
        <f>IF(F125=0,0,I125*J125/F125*1000)</f>
        <v>0</v>
      </c>
      <c r="M125" s="2205"/>
      <c r="N125" s="2205"/>
      <c r="O125" s="2206"/>
    </row>
    <row r="126" spans="2:18">
      <c r="B126" s="2204"/>
      <c r="C126" s="1446"/>
      <c r="D126" s="2205"/>
      <c r="E126" s="2205" t="s">
        <v>1400</v>
      </c>
      <c r="F126" s="2337">
        <f>F120</f>
        <v>0</v>
      </c>
      <c r="G126" s="2205"/>
      <c r="H126" s="2337">
        <f>計画書_前!N43</f>
        <v>0</v>
      </c>
      <c r="I126" s="2337">
        <f>I120-H126</f>
        <v>0</v>
      </c>
      <c r="J126" s="2214" t="e">
        <f>J120</f>
        <v>#VALUE!</v>
      </c>
      <c r="K126" s="2205"/>
      <c r="L126" s="2338">
        <f>IF(F126=0,0,I126*J126/F126*1000)</f>
        <v>0</v>
      </c>
      <c r="M126" s="2205"/>
      <c r="N126" s="2205"/>
      <c r="O126" s="2206"/>
    </row>
    <row r="127" spans="2:18">
      <c r="B127" s="2204"/>
      <c r="C127" s="1446"/>
      <c r="D127" s="2205"/>
      <c r="E127" s="2205" t="s">
        <v>1401</v>
      </c>
      <c r="F127" s="2337">
        <f>F121</f>
        <v>0</v>
      </c>
      <c r="G127" s="2205"/>
      <c r="H127" s="2337">
        <f>計画書_前!M43</f>
        <v>0</v>
      </c>
      <c r="I127" s="2337">
        <f>I121-H127</f>
        <v>0</v>
      </c>
      <c r="J127" s="2214" t="e">
        <f>J121</f>
        <v>#VALUE!</v>
      </c>
      <c r="K127" s="2205"/>
      <c r="L127" s="2338">
        <f>IF(F127=0,0,I127*J127/F127*1000)</f>
        <v>0</v>
      </c>
      <c r="M127" s="2205"/>
      <c r="N127" s="2205"/>
      <c r="O127" s="2206"/>
    </row>
    <row r="128" spans="2:18">
      <c r="B128" s="2204"/>
      <c r="C128" s="1446"/>
      <c r="D128" s="2205"/>
      <c r="E128" s="2205"/>
      <c r="F128" s="2205"/>
      <c r="G128" s="2205"/>
      <c r="H128" s="2205"/>
      <c r="I128" s="2205"/>
      <c r="J128" s="2205"/>
      <c r="K128" s="2205"/>
      <c r="L128" s="2205"/>
      <c r="M128" s="2205"/>
      <c r="N128" s="2205"/>
      <c r="O128" s="2206"/>
    </row>
    <row r="129" spans="2:15" hidden="1">
      <c r="B129" s="2204"/>
      <c r="C129" s="1446"/>
      <c r="D129" s="2205"/>
      <c r="E129" s="2205"/>
      <c r="F129" s="2205" t="s">
        <v>1128</v>
      </c>
      <c r="G129" s="2205"/>
      <c r="H129" s="2337"/>
      <c r="I129" s="2214"/>
      <c r="J129" s="2262"/>
      <c r="K129" s="2205"/>
      <c r="L129" s="2205"/>
      <c r="M129" s="2205"/>
      <c r="N129" s="2205"/>
      <c r="O129" s="2206"/>
    </row>
    <row r="130" spans="2:15" hidden="1">
      <c r="B130" s="2204"/>
      <c r="C130" s="1446"/>
      <c r="D130" s="2205"/>
      <c r="E130" s="2205"/>
      <c r="F130" s="2205"/>
      <c r="G130" s="2205"/>
      <c r="H130" s="1452"/>
      <c r="I130" s="2205"/>
      <c r="J130" s="2205"/>
      <c r="K130" s="2205"/>
      <c r="L130" s="2297"/>
      <c r="M130" s="2205"/>
      <c r="N130" s="2205"/>
      <c r="O130" s="2206"/>
    </row>
    <row r="131" spans="2:15" ht="16.5">
      <c r="B131" s="1442" t="s">
        <v>211</v>
      </c>
      <c r="C131" s="1452"/>
      <c r="D131" s="1455"/>
      <c r="E131" s="1452"/>
      <c r="F131" s="1444"/>
      <c r="G131" s="1452"/>
      <c r="H131" s="1452"/>
      <c r="I131" s="1452"/>
      <c r="J131" s="1452"/>
      <c r="K131" s="2341"/>
      <c r="L131" s="1443" t="s">
        <v>182</v>
      </c>
      <c r="M131" s="1452"/>
      <c r="N131" s="1452"/>
      <c r="O131" s="1445" t="s">
        <v>182</v>
      </c>
    </row>
    <row r="132" spans="2:15">
      <c r="B132" s="2255"/>
      <c r="C132" s="1452"/>
      <c r="D132" s="1455"/>
      <c r="E132" s="1452"/>
      <c r="F132" s="1444"/>
      <c r="G132" s="1452"/>
      <c r="H132" s="1452"/>
      <c r="I132" s="1452"/>
      <c r="J132" s="1452"/>
      <c r="K132" s="2341"/>
      <c r="L132" s="1451" t="s">
        <v>117</v>
      </c>
      <c r="M132" s="1452"/>
      <c r="N132" s="1459"/>
      <c r="O132" s="1453" t="s">
        <v>117</v>
      </c>
    </row>
    <row r="133" spans="2:15">
      <c r="B133" s="2255"/>
      <c r="C133" s="1460" t="s">
        <v>1010</v>
      </c>
      <c r="D133" s="1461"/>
      <c r="E133" s="1461"/>
      <c r="F133" s="1462"/>
      <c r="G133" s="1452"/>
      <c r="H133" s="1452"/>
      <c r="I133" s="1452"/>
      <c r="J133" s="1452"/>
      <c r="K133" s="2341"/>
      <c r="L133" s="1463" t="e">
        <f>L24</f>
        <v>#DIV/0!</v>
      </c>
      <c r="M133" s="1452"/>
      <c r="N133" s="1452"/>
      <c r="O133" s="1464" t="e">
        <f>O24</f>
        <v>#DIV/0!</v>
      </c>
    </row>
    <row r="134" spans="2:15">
      <c r="B134" s="2255"/>
      <c r="C134" s="1460" t="s">
        <v>212</v>
      </c>
      <c r="D134" s="1461"/>
      <c r="E134" s="1461"/>
      <c r="F134" s="1462"/>
      <c r="G134" s="1452"/>
      <c r="H134" s="1452"/>
      <c r="I134" s="1452"/>
      <c r="J134" s="1452"/>
      <c r="K134" s="2341"/>
      <c r="L134" s="1463" t="e">
        <f>L113</f>
        <v>#DIV/0!</v>
      </c>
      <c r="M134" s="1452"/>
      <c r="N134" s="1452"/>
      <c r="O134" s="1464" t="e">
        <f>O113</f>
        <v>#DIV/0!</v>
      </c>
    </row>
    <row r="135" spans="2:15">
      <c r="B135" s="2255"/>
      <c r="C135" s="1460" t="s">
        <v>1012</v>
      </c>
      <c r="D135" s="1461"/>
      <c r="E135" s="1461"/>
      <c r="F135" s="1462"/>
      <c r="G135" s="1452"/>
      <c r="H135" s="1452"/>
      <c r="I135" s="1452"/>
      <c r="J135" s="1452"/>
      <c r="K135" s="2341"/>
      <c r="L135" s="1465">
        <f>L123</f>
        <v>0</v>
      </c>
      <c r="M135" s="1452"/>
      <c r="N135" s="1452"/>
      <c r="O135" s="2342">
        <f>O116</f>
        <v>0</v>
      </c>
    </row>
    <row r="136" spans="2:15">
      <c r="B136" s="2255"/>
      <c r="C136" s="1466" t="s">
        <v>537</v>
      </c>
      <c r="D136" s="1467"/>
      <c r="E136" s="1468"/>
      <c r="F136" s="2380"/>
      <c r="G136" s="1452"/>
      <c r="H136" s="1452"/>
      <c r="I136" s="1452"/>
      <c r="J136" s="1452"/>
      <c r="K136" s="2341"/>
      <c r="L136" s="1469" t="e">
        <f>IF(COUNTIF(L133:L135,$R$115)&gt;0,$R$115,SUM(L133:L135))</f>
        <v>#DIV/0!</v>
      </c>
      <c r="M136" s="1452"/>
      <c r="N136" s="1452"/>
      <c r="O136" s="1470" t="e">
        <f>IF(COUNTIF(O133:O135,$R$115)&gt;0,$R$115,SUM(O133:O135))</f>
        <v>#DIV/0!</v>
      </c>
    </row>
    <row r="137" spans="2:15">
      <c r="B137" s="1442"/>
      <c r="C137" s="2377" t="s">
        <v>213</v>
      </c>
      <c r="D137" s="2378"/>
      <c r="E137" s="2378"/>
      <c r="F137" s="2379"/>
      <c r="G137" s="1452"/>
      <c r="H137" s="1452"/>
      <c r="I137" s="1452"/>
      <c r="J137" s="1452"/>
      <c r="K137" s="2341"/>
      <c r="L137" s="1471" t="e">
        <f>IF(O136=R115,R115,L136/O136)</f>
        <v>#DIV/0!</v>
      </c>
      <c r="M137" s="1452"/>
      <c r="N137" s="1452"/>
      <c r="O137" s="1472">
        <v>1</v>
      </c>
    </row>
    <row r="138" spans="2:15" ht="14.25" thickBot="1">
      <c r="B138" s="1442"/>
      <c r="C138" s="1448"/>
      <c r="D138" s="1448"/>
      <c r="E138" s="1448"/>
      <c r="F138" s="1448"/>
      <c r="G138" s="1452"/>
      <c r="H138" s="1452"/>
      <c r="I138" s="1452"/>
      <c r="J138" s="1452"/>
      <c r="K138" s="2341"/>
      <c r="L138" s="2375"/>
      <c r="M138" s="1452"/>
      <c r="N138" s="1452"/>
      <c r="O138" s="1473"/>
    </row>
    <row r="139" spans="2:15" ht="17.25" thickBot="1">
      <c r="B139" s="1442" t="s">
        <v>216</v>
      </c>
      <c r="C139" s="1448"/>
      <c r="D139" s="1448"/>
      <c r="E139" s="1448"/>
      <c r="F139" s="1448"/>
      <c r="G139" s="1448"/>
      <c r="H139" s="1448"/>
      <c r="I139" s="1448"/>
      <c r="J139" s="1448"/>
      <c r="K139" s="1474" t="s">
        <v>217</v>
      </c>
      <c r="L139" s="1988" t="e">
        <f>ROUNDDOWN(IF(L137=R115,0,IF(L137&lt;0.5,5,IF(L137&gt;1.25,1,IF(L137&gt;1,-8*L137+11,3+(1-L137)*4)))),1)</f>
        <v>#DIV/0!</v>
      </c>
      <c r="M139" s="1452"/>
      <c r="N139" s="1448"/>
      <c r="O139" s="1473"/>
    </row>
    <row r="140" spans="2:15" ht="14.25" thickBot="1">
      <c r="B140" s="1475"/>
      <c r="C140" s="1476"/>
      <c r="D140" s="1476"/>
      <c r="E140" s="1476"/>
      <c r="F140" s="1476"/>
      <c r="G140" s="1476"/>
      <c r="H140" s="1476"/>
      <c r="I140" s="1476"/>
      <c r="J140" s="1476"/>
      <c r="K140" s="1476"/>
      <c r="L140" s="1476"/>
      <c r="M140" s="1476"/>
      <c r="N140" s="1476"/>
      <c r="O140" s="1477"/>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password="CC47" sheet="1" objects="1" scenarios="1"/>
  <mergeCells count="5">
    <mergeCell ref="L2:M2"/>
    <mergeCell ref="N2:O2"/>
    <mergeCell ref="L3:M3"/>
    <mergeCell ref="B3:E3"/>
    <mergeCell ref="N3:O3"/>
  </mergeCells>
  <phoneticPr fontId="20"/>
  <conditionalFormatting sqref="E135 E133">
    <cfRule type="cellIs" dxfId="32" priority="4" stopIfTrue="1" operator="equal">
      <formula>5</formula>
    </cfRule>
    <cfRule type="cellIs" dxfId="31" priority="5" stopIfTrue="1" operator="equal">
      <formula>4</formula>
    </cfRule>
    <cfRule type="cellIs" dxfId="30" priority="6" stopIfTrue="1" operator="equal">
      <formula>2</formula>
    </cfRule>
  </conditionalFormatting>
  <conditionalFormatting sqref="E137">
    <cfRule type="cellIs" dxfId="29" priority="1" stopIfTrue="1" operator="equal">
      <formula>5</formula>
    </cfRule>
    <cfRule type="cellIs" dxfId="28" priority="2" stopIfTrue="1" operator="equal">
      <formula>4</formula>
    </cfRule>
    <cfRule type="cellIs" dxfId="27"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verticalDpi="300" r:id="rId1"/>
  <headerFooter alignWithMargins="0">
    <oddHeader>&amp;L&amp;F&amp;R&amp;A</oddHeader>
    <oddFooter>&amp;C&amp;P/&amp;N</oddFooter>
  </headerFooter>
</worksheet>
</file>

<file path=xl/worksheets/sheet15.xml><?xml version="1.0" encoding="utf-8"?>
<worksheet xmlns="http://schemas.openxmlformats.org/spreadsheetml/2006/main" xmlns:r="http://schemas.openxmlformats.org/officeDocument/2006/relationships">
  <sheetPr codeName="Sheet19">
    <pageSetUpPr fitToPage="1"/>
  </sheetPr>
  <dimension ref="A1:AA186"/>
  <sheetViews>
    <sheetView showGridLines="0" zoomScaleNormal="100" workbookViewId="0">
      <selection activeCell="N3" sqref="N3:O3"/>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3.375" customWidth="1"/>
    <col min="17" max="17" width="6" hidden="1" customWidth="1"/>
    <col min="18" max="18" width="4.625" hidden="1" customWidth="1"/>
    <col min="19" max="19" width="5.75" hidden="1" customWidth="1"/>
    <col min="20" max="20" width="6.875" hidden="1" customWidth="1"/>
    <col min="21" max="21" width="5.25" hidden="1" customWidth="1"/>
    <col min="22" max="22" width="5" hidden="1" customWidth="1"/>
    <col min="23" max="23" width="6.125" hidden="1" customWidth="1"/>
    <col min="24" max="24" width="8" hidden="1" customWidth="1"/>
    <col min="25" max="25" width="6.375" hidden="1" customWidth="1"/>
    <col min="26" max="26" width="5" hidden="1" customWidth="1"/>
    <col min="27" max="27" width="5.25" hidden="1" customWidth="1"/>
  </cols>
  <sheetData>
    <row r="1" spans="1:21" ht="14.25" thickBot="1">
      <c r="A1" s="1912"/>
    </row>
    <row r="2" spans="1:21" ht="14.25">
      <c r="B2" s="1420" t="str">
        <f>メイン!C6</f>
        <v>CASBEE京都-改修（2015年版）</v>
      </c>
      <c r="C2" s="1421"/>
      <c r="D2" s="1422"/>
      <c r="E2" s="1423"/>
      <c r="F2" s="1924"/>
      <c r="G2" s="1924"/>
      <c r="H2" s="1924"/>
      <c r="I2" s="1924"/>
      <c r="J2" s="1924"/>
      <c r="K2" s="1924"/>
      <c r="L2" s="3033" t="s">
        <v>456</v>
      </c>
      <c r="M2" s="3033"/>
      <c r="N2" s="3034" t="str">
        <f>メイン!C6</f>
        <v>CASBEE京都-改修（2015年版）</v>
      </c>
      <c r="O2" s="3035"/>
    </row>
    <row r="3" spans="1:21" ht="14.25" thickBot="1">
      <c r="B3" s="3037">
        <f>メイン!H11</f>
        <v>0</v>
      </c>
      <c r="C3" s="3038"/>
      <c r="D3" s="3038"/>
      <c r="E3" s="3039"/>
      <c r="F3" s="1924"/>
      <c r="G3" s="1924"/>
      <c r="H3" s="1924"/>
      <c r="I3" s="1924"/>
      <c r="J3" s="1924"/>
      <c r="K3" s="1924"/>
      <c r="L3" s="3033" t="s">
        <v>915</v>
      </c>
      <c r="M3" s="3036"/>
      <c r="N3" s="3034" t="str">
        <f>メイン!C5</f>
        <v>CASBEE京都-改修2015（v.1.0）</v>
      </c>
      <c r="O3" s="3035"/>
    </row>
    <row r="4" spans="1:21" ht="6.75" customHeight="1" thickBot="1">
      <c r="B4" s="1924"/>
      <c r="C4" s="1924"/>
      <c r="D4" s="1924"/>
      <c r="E4" s="1924"/>
      <c r="F4" s="1924"/>
      <c r="G4" s="1924"/>
      <c r="H4" s="1924"/>
      <c r="I4" s="1924"/>
      <c r="J4" s="1924"/>
      <c r="K4" s="1924"/>
      <c r="L4" s="1924"/>
      <c r="M4" s="1924"/>
      <c r="N4" s="1924"/>
      <c r="O4" s="1924"/>
    </row>
    <row r="5" spans="1:21" ht="18.75">
      <c r="B5" s="1424" t="s">
        <v>179</v>
      </c>
      <c r="C5" s="1425"/>
      <c r="D5" s="1426"/>
      <c r="E5" s="1427"/>
      <c r="F5" s="1428"/>
      <c r="G5" s="1428"/>
      <c r="H5" s="1428"/>
      <c r="I5" s="1428"/>
      <c r="J5" s="1428"/>
      <c r="K5" s="1425"/>
      <c r="L5" s="1429"/>
      <c r="M5" s="1430"/>
      <c r="N5" s="1431"/>
      <c r="O5" s="1432"/>
    </row>
    <row r="6" spans="1:21" ht="14.25">
      <c r="B6" s="1434"/>
      <c r="C6" s="1435"/>
      <c r="D6" s="1436"/>
      <c r="E6" s="1437"/>
      <c r="F6" s="1438"/>
      <c r="G6" s="1438"/>
      <c r="H6" s="1438"/>
      <c r="I6" s="1438"/>
      <c r="J6" s="1438"/>
      <c r="K6" s="1435"/>
      <c r="L6" s="2210" t="s">
        <v>111</v>
      </c>
      <c r="M6" s="1440"/>
      <c r="N6" s="1441"/>
      <c r="O6" s="2299" t="s">
        <v>180</v>
      </c>
      <c r="R6" t="s">
        <v>484</v>
      </c>
      <c r="S6" t="s">
        <v>485</v>
      </c>
      <c r="T6" t="s">
        <v>486</v>
      </c>
      <c r="U6" t="s">
        <v>305</v>
      </c>
    </row>
    <row r="7" spans="1:21" ht="16.5">
      <c r="B7" s="1442" t="s">
        <v>181</v>
      </c>
      <c r="C7" s="1435"/>
      <c r="D7" s="1436"/>
      <c r="E7" s="1437"/>
      <c r="F7" s="1438"/>
      <c r="G7" s="1438"/>
      <c r="H7" s="1438"/>
      <c r="I7" s="1438"/>
      <c r="J7" s="1438"/>
      <c r="K7" s="1435"/>
      <c r="L7" s="1443"/>
      <c r="M7" s="1440"/>
      <c r="N7" s="1441"/>
      <c r="O7" s="1445"/>
    </row>
    <row r="8" spans="1:21" ht="14.25">
      <c r="B8" s="2204"/>
      <c r="C8" s="1446" t="s">
        <v>183</v>
      </c>
      <c r="D8" s="1447"/>
      <c r="E8" s="1437"/>
      <c r="F8" s="1438"/>
      <c r="G8" s="1438"/>
      <c r="H8" s="1443"/>
      <c r="I8" s="1444"/>
      <c r="J8" s="1443" t="s">
        <v>182</v>
      </c>
      <c r="K8" s="1444"/>
      <c r="L8" s="1443" t="s">
        <v>182</v>
      </c>
      <c r="M8" s="1444"/>
      <c r="N8" s="1444"/>
      <c r="O8" s="1445" t="s">
        <v>182</v>
      </c>
    </row>
    <row r="9" spans="1:21">
      <c r="B9" s="2204"/>
      <c r="C9" s="1455"/>
      <c r="D9" s="1455" t="s">
        <v>189</v>
      </c>
      <c r="E9" s="1452"/>
      <c r="F9" s="2300" t="s">
        <v>184</v>
      </c>
      <c r="G9" s="1452"/>
      <c r="H9" s="1449" t="s">
        <v>185</v>
      </c>
      <c r="I9" s="1449" t="s">
        <v>186</v>
      </c>
      <c r="J9" s="1449" t="s">
        <v>187</v>
      </c>
      <c r="K9" s="1450" t="s">
        <v>188</v>
      </c>
      <c r="L9" s="1451" t="s">
        <v>117</v>
      </c>
      <c r="M9" s="1452"/>
      <c r="N9" s="1450" t="s">
        <v>188</v>
      </c>
      <c r="O9" s="1453" t="s">
        <v>117</v>
      </c>
    </row>
    <row r="10" spans="1:21">
      <c r="B10" s="2255"/>
      <c r="C10" s="1455"/>
      <c r="D10" s="1455"/>
      <c r="E10" s="1455" t="s">
        <v>519</v>
      </c>
      <c r="F10" s="2301" t="e">
        <f>メイン!W47</f>
        <v>#DIV/0!</v>
      </c>
      <c r="G10" s="1452"/>
      <c r="H10" s="2301">
        <f>IF(OR($F$20=$R$6,$F$20=$U$6),CO2データ!I12,IF($F$20=$S$6,CO2データ!L12,CO2データ!O12))</f>
        <v>11.739099999999999</v>
      </c>
      <c r="I10" s="2301">
        <f>IF(OR($F$20=$R$6,$F$20=$U$6),CO2データ!J12,IF($F$20=$S$6,CO2データ!M12,CO2データ!P12))</f>
        <v>11.739099999999999</v>
      </c>
      <c r="J10" s="2302">
        <f>IF(OR($F$20=$R$6,$F$20=$U$6),CO2データ!K12,IF($F$20=$S$6,CO2データ!N12,CO2データ!Q12))</f>
        <v>11.739099999999999</v>
      </c>
      <c r="K10" s="2287" t="e">
        <f>スコア表示!M80</f>
        <v>#DIV/0!</v>
      </c>
      <c r="L10" s="2303" t="e">
        <f t="shared" ref="L10:L18" si="0">IF(K10&gt;=5,$J10,IF(K10&gt;=4,$I10,$H10))</f>
        <v>#DIV/0!</v>
      </c>
      <c r="M10" s="1452"/>
      <c r="N10" s="2287">
        <v>3</v>
      </c>
      <c r="O10" s="2304">
        <f>IF(OR($F$20=$R$6,$F$20=$U$6),CO2データ!I7,IF($F$20=$S$6,CO2データ!L7,CO2データ!O7))</f>
        <v>14.004999999999999</v>
      </c>
    </row>
    <row r="11" spans="1:21">
      <c r="B11" s="2255"/>
      <c r="C11" s="1455"/>
      <c r="D11" s="2305"/>
      <c r="E11" s="1455" t="s">
        <v>201</v>
      </c>
      <c r="F11" s="2301" t="e">
        <f>メイン!W49</f>
        <v>#DIV/0!</v>
      </c>
      <c r="G11" s="1452"/>
      <c r="H11" s="2301">
        <f>IF(OR($F$20=$R$6,$F$20=$U$6),CO2データ!I18,IF($F$20=$S$6,CO2データ!L18,CO2データ!O18))</f>
        <v>8.8994999999999997</v>
      </c>
      <c r="I11" s="2301">
        <f>IF(OR($F$20=$R$6,$F$20=$U$6),CO2データ!J18,IF($F$20=$S$6,CO2データ!M18,CO2データ!P18))</f>
        <v>8.8994999999999997</v>
      </c>
      <c r="J11" s="2302">
        <f>IF(OR($F$20=$R$6,$F$20=$U$6),CO2データ!K18,IF($F$20=$S$6,CO2データ!N18,CO2データ!Q18))</f>
        <v>8.8994999999999997</v>
      </c>
      <c r="K11" s="2287" t="e">
        <f t="shared" ref="K11:K18" si="1">K$10</f>
        <v>#DIV/0!</v>
      </c>
      <c r="L11" s="2303" t="e">
        <f t="shared" si="0"/>
        <v>#DIV/0!</v>
      </c>
      <c r="M11" s="1452"/>
      <c r="N11" s="2287">
        <f t="shared" ref="N11:N18" si="2">N$10</f>
        <v>3</v>
      </c>
      <c r="O11" s="2304">
        <f>IF(OR($F$20=$R$6,$F$20=$U$6),CO2データ!I13,IF($F$20=$S$6,CO2データ!L13,CO2データ!O13))</f>
        <v>10.473000000000001</v>
      </c>
    </row>
    <row r="12" spans="1:21">
      <c r="B12" s="2255"/>
      <c r="C12" s="1455"/>
      <c r="D12" s="1455"/>
      <c r="E12" s="1455" t="s">
        <v>523</v>
      </c>
      <c r="F12" s="2301" t="e">
        <f>メイン!W54</f>
        <v>#DIV/0!</v>
      </c>
      <c r="G12" s="1452"/>
      <c r="H12" s="2301">
        <f>IF(OR($F$20=$R$6,$F$20=$U$6),CO2データ!I24,IF($F$20=$S$6,CO2データ!L24,CO2データ!O24))</f>
        <v>14.121600000000003</v>
      </c>
      <c r="I12" s="2301">
        <f>IF(OR($F$20=$R$6,$F$20=$U$6),CO2データ!J24,IF($F$20=$S$6,CO2データ!M24,CO2データ!P24))</f>
        <v>14.121600000000003</v>
      </c>
      <c r="J12" s="2302">
        <f>IF(OR($F$20=$R$6,$F$20=$U$6),CO2データ!K24,IF($F$20=$S$6,CO2データ!N24,CO2データ!Q24))</f>
        <v>14.121600000000003</v>
      </c>
      <c r="K12" s="2287" t="e">
        <f t="shared" si="1"/>
        <v>#DIV/0!</v>
      </c>
      <c r="L12" s="2303" t="e">
        <f t="shared" si="0"/>
        <v>#DIV/0!</v>
      </c>
      <c r="M12" s="1452"/>
      <c r="N12" s="2287">
        <f t="shared" si="2"/>
        <v>3</v>
      </c>
      <c r="O12" s="2304">
        <f>IF(OR($F$20=$R$6,$F$20=$U$6),CO2データ!I19,IF($F$20=$S$6,CO2データ!L19,CO2データ!O19))</f>
        <v>16.572000000000003</v>
      </c>
    </row>
    <row r="13" spans="1:21">
      <c r="B13" s="2255"/>
      <c r="C13" s="1455"/>
      <c r="D13" s="1455"/>
      <c r="E13" s="1455" t="s">
        <v>525</v>
      </c>
      <c r="F13" s="2301" t="e">
        <f>メイン!W56</f>
        <v>#DIV/0!</v>
      </c>
      <c r="G13" s="1452"/>
      <c r="H13" s="2301">
        <f>IF(OR($F$20=$R$6,$F$20=$U$6),CO2データ!I30,IF($F$20=$S$6,CO2データ!L30,CO2データ!O30))</f>
        <v>14.121599999999999</v>
      </c>
      <c r="I13" s="2301">
        <f>IF(OR($F$20=$R$6,$F$20=$U$6),CO2データ!J30,IF($F$20=$S$6,CO2データ!M30,CO2データ!P30))</f>
        <v>14.121600000000003</v>
      </c>
      <c r="J13" s="2302">
        <f>IF(OR($F$20=$R$6,$F$20=$U$6),CO2データ!K30,IF($F$20=$S$6,CO2データ!N30,CO2データ!Q30))</f>
        <v>14.121600000000003</v>
      </c>
      <c r="K13" s="2287" t="e">
        <f t="shared" si="1"/>
        <v>#DIV/0!</v>
      </c>
      <c r="L13" s="2303" t="e">
        <f t="shared" si="0"/>
        <v>#DIV/0!</v>
      </c>
      <c r="M13" s="1452"/>
      <c r="N13" s="2287">
        <f t="shared" si="2"/>
        <v>3</v>
      </c>
      <c r="O13" s="2304">
        <f>IF(OR($F$20=$R$6,$F$20=$U$6),CO2データ!I25,IF($F$20=$S$6,CO2データ!L25,CO2データ!O25))</f>
        <v>16.571999999999999</v>
      </c>
    </row>
    <row r="14" spans="1:21">
      <c r="B14" s="2255"/>
      <c r="C14" s="1455"/>
      <c r="D14" s="1455"/>
      <c r="E14" s="147" t="s">
        <v>819</v>
      </c>
      <c r="F14" s="2301" t="e">
        <f>メイン!W57</f>
        <v>#DIV/0!</v>
      </c>
      <c r="G14" s="1452"/>
      <c r="H14" s="2301">
        <f>IF(OR($F$20=$R$6,$F$20=$U$6),CO2データ!I36,IF($F$20=$S$6,CO2データ!L36,CO2データ!O36))</f>
        <v>9.7101000000000006</v>
      </c>
      <c r="I14" s="2301">
        <f>IF(OR($F$20=$R$6,$F$20=$U$6),CO2データ!J36,IF($F$20=$S$6,CO2データ!M36,CO2データ!P36))</f>
        <v>9.7101000000000006</v>
      </c>
      <c r="J14" s="2302">
        <f>IF(OR($F$20=$R$6,$F$20=$U$6),CO2データ!K36,IF($F$20=$S$6,CO2データ!N36,CO2データ!Q36))</f>
        <v>9.7101000000000006</v>
      </c>
      <c r="K14" s="2287" t="e">
        <f t="shared" si="1"/>
        <v>#DIV/0!</v>
      </c>
      <c r="L14" s="2303" t="e">
        <f t="shared" si="0"/>
        <v>#DIV/0!</v>
      </c>
      <c r="M14" s="1452"/>
      <c r="N14" s="2287">
        <f t="shared" si="2"/>
        <v>3</v>
      </c>
      <c r="O14" s="2304">
        <f>IF(OR($F$20=$R$6,$F$20=$U$6),CO2データ!I31,IF($F$20=$S$6,CO2データ!L31,CO2データ!O31))</f>
        <v>11.535</v>
      </c>
    </row>
    <row r="15" spans="1:21">
      <c r="B15" s="2255"/>
      <c r="C15" s="1455"/>
      <c r="D15" s="1455"/>
      <c r="E15" s="147" t="s">
        <v>535</v>
      </c>
      <c r="F15" s="2301" t="e">
        <f>メイン!W63</f>
        <v>#DIV/0!</v>
      </c>
      <c r="G15" s="1452"/>
      <c r="H15" s="2301">
        <f>IF(OR($F$20=$R$6,$F$20=$U$6),CO2データ!I42,IF($F$20=$S$6,CO2データ!L42,CO2データ!O42))</f>
        <v>16.688899999999997</v>
      </c>
      <c r="I15" s="2301">
        <f>IF(OR($F$20=$R$6,$F$20=$U$6),CO2データ!J42,IF($F$20=$S$6,CO2データ!M42,CO2データ!P42))</f>
        <v>16.688899999999997</v>
      </c>
      <c r="J15" s="2302">
        <f>IF(OR($F$20=$R$6,$F$20=$U$6),CO2データ!K42,IF($F$20=$S$6,CO2データ!N42,CO2データ!Q42))</f>
        <v>16.688899999999997</v>
      </c>
      <c r="K15" s="2287" t="e">
        <f t="shared" si="1"/>
        <v>#DIV/0!</v>
      </c>
      <c r="L15" s="2303" t="e">
        <f t="shared" si="0"/>
        <v>#DIV/0!</v>
      </c>
      <c r="M15" s="1452"/>
      <c r="N15" s="2287">
        <f t="shared" si="2"/>
        <v>3</v>
      </c>
      <c r="O15" s="2304">
        <f>IF(OR($F$20=$R$6,$F$20=$U$6),CO2データ!I37,IF($F$20=$S$6,CO2データ!L37,CO2データ!O37))</f>
        <v>19.561999999999998</v>
      </c>
    </row>
    <row r="16" spans="1:21">
      <c r="B16" s="2255"/>
      <c r="C16" s="1455"/>
      <c r="D16" s="1455"/>
      <c r="E16" s="147" t="s">
        <v>529</v>
      </c>
      <c r="F16" s="2301" t="e">
        <f>メイン!W60</f>
        <v>#DIV/0!</v>
      </c>
      <c r="G16" s="1452"/>
      <c r="H16" s="2301">
        <f>IF(OR($F$20=$R$6,$F$20=$U$6),CO2データ!I48,IF($F$20=$S$6,CO2データ!L48,CO2データ!O48))</f>
        <v>9.1732000000000014</v>
      </c>
      <c r="I16" s="2301">
        <f>IF(OR($F$20=$R$6,$F$20=$U$6),CO2データ!J48,IF($F$20=$S$6,CO2データ!M48,CO2データ!P48))</f>
        <v>9.1732000000000014</v>
      </c>
      <c r="J16" s="2302">
        <f>IF(OR($F$20=$R$6,$F$20=$U$6),CO2データ!K48,IF($F$20=$S$6,CO2データ!N48,CO2データ!Q48))</f>
        <v>9.1732000000000014</v>
      </c>
      <c r="K16" s="2287" t="e">
        <f t="shared" si="1"/>
        <v>#DIV/0!</v>
      </c>
      <c r="L16" s="2303" t="e">
        <f t="shared" si="0"/>
        <v>#DIV/0!</v>
      </c>
      <c r="M16" s="1452"/>
      <c r="N16" s="2287">
        <f t="shared" si="2"/>
        <v>3</v>
      </c>
      <c r="O16" s="2304">
        <f>IF(OR($F$20=$R$6,$F$20=$U$6),CO2データ!I43,IF($F$20=$S$6,CO2データ!L43,CO2データ!O43))</f>
        <v>10.405000000000001</v>
      </c>
    </row>
    <row r="17" spans="2:21">
      <c r="B17" s="2255"/>
      <c r="C17" s="1455"/>
      <c r="D17" s="1455"/>
      <c r="E17" s="147" t="s">
        <v>820</v>
      </c>
      <c r="F17" s="2301" t="e">
        <f>メイン!W61</f>
        <v>#DIV/0!</v>
      </c>
      <c r="G17" s="1452"/>
      <c r="H17" s="2301">
        <f>IF(OR($F$20=$R$6,$F$20=$U$6),CO2データ!I54,IF($F$20=$S$6,CO2データ!L54,CO2データ!O54))</f>
        <v>9.4504000000000019</v>
      </c>
      <c r="I17" s="2301">
        <f>IF(OR($F$20=$R$6,$F$20=$U$6),CO2データ!J54,IF($F$20=$S$6,CO2データ!M54,CO2データ!P54))</f>
        <v>9.4504000000000019</v>
      </c>
      <c r="J17" s="2302">
        <f>IF(OR($F$20=$R$6,$F$20=$U$6),CO2データ!K54,IF($F$20=$S$6,CO2データ!N54,CO2データ!Q54))</f>
        <v>9.4504000000000019</v>
      </c>
      <c r="K17" s="2287" t="e">
        <f t="shared" si="1"/>
        <v>#DIV/0!</v>
      </c>
      <c r="L17" s="2303" t="e">
        <f t="shared" si="0"/>
        <v>#DIV/0!</v>
      </c>
      <c r="M17" s="1452"/>
      <c r="N17" s="2287">
        <f t="shared" si="2"/>
        <v>3</v>
      </c>
      <c r="O17" s="2304">
        <f>IF(OR($F$20=$R$6,$F$20=$U$6),CO2データ!I49,IF($F$20=$S$6,CO2データ!L49,CO2データ!O49))</f>
        <v>11.119000000000002</v>
      </c>
    </row>
    <row r="18" spans="2:21">
      <c r="B18" s="2255"/>
      <c r="C18" s="1455"/>
      <c r="D18" s="1455"/>
      <c r="E18" s="147" t="s">
        <v>1734</v>
      </c>
      <c r="F18" s="2301" t="e">
        <f>メイン!W62</f>
        <v>#DIV/0!</v>
      </c>
      <c r="G18" s="1452"/>
      <c r="H18" s="2301">
        <f>IF(OR($F$20=$R$6,$F$20=$U$6),CO2データ!I60,IF($F$20=$S$6,CO2データ!L60,CO2データ!O60))</f>
        <v>13.6769</v>
      </c>
      <c r="I18" s="2301">
        <f>IF(OR($F$20=$R$6,$F$20=$U$6),CO2データ!J60,IF($F$20=$S$6,CO2データ!M60,CO2データ!P60))</f>
        <v>6.8385000000000007</v>
      </c>
      <c r="J18" s="2302">
        <f>IF(OR($F$20=$R$6,$F$20=$U$6),CO2データ!K60,IF($F$20=$S$6,CO2データ!N60,CO2データ!Q60))</f>
        <v>4.5590999999999999</v>
      </c>
      <c r="K18" s="2287" t="e">
        <f t="shared" si="1"/>
        <v>#DIV/0!</v>
      </c>
      <c r="L18" s="2303" t="e">
        <f t="shared" si="0"/>
        <v>#DIV/0!</v>
      </c>
      <c r="M18" s="1452"/>
      <c r="N18" s="2287">
        <f t="shared" si="2"/>
        <v>3</v>
      </c>
      <c r="O18" s="2304">
        <f>IF(OR($F$20=$R$6,$F$20=$U$6),CO2データ!I55,IF($F$20=$S$6,CO2データ!L55,CO2データ!O55))</f>
        <v>15.641</v>
      </c>
    </row>
    <row r="19" spans="2:21">
      <c r="B19" s="2255"/>
      <c r="C19" s="1455"/>
      <c r="D19" s="1455"/>
      <c r="E19" s="1455"/>
      <c r="F19" s="1455"/>
      <c r="G19" s="1455"/>
      <c r="H19" s="1455"/>
      <c r="I19" s="2306"/>
      <c r="J19" s="2306"/>
      <c r="K19" s="2307"/>
      <c r="L19" s="2308"/>
      <c r="M19" s="1452"/>
      <c r="N19" s="2307"/>
      <c r="O19" s="2309"/>
    </row>
    <row r="20" spans="2:21">
      <c r="B20" s="2255"/>
      <c r="C20" s="1452"/>
      <c r="D20" s="1452" t="s">
        <v>192</v>
      </c>
      <c r="E20" s="1452"/>
      <c r="F20" s="2310" t="str">
        <f>メイン!H23</f>
        <v>S造</v>
      </c>
      <c r="G20" s="1452"/>
      <c r="H20" s="2311"/>
      <c r="I20" s="2311"/>
      <c r="J20" s="2311"/>
      <c r="K20" s="2312"/>
      <c r="L20" s="1452"/>
      <c r="M20" s="1452"/>
      <c r="N20" s="2312"/>
      <c r="O20" s="2313"/>
    </row>
    <row r="21" spans="2:21">
      <c r="B21" s="2314"/>
      <c r="C21" s="2205"/>
      <c r="D21" s="2205" t="s">
        <v>193</v>
      </c>
      <c r="E21" s="2205"/>
      <c r="F21" s="2315">
        <f>'条件(標準)_後'!E31</f>
        <v>0.3</v>
      </c>
      <c r="G21" s="2205"/>
      <c r="H21" s="2205"/>
      <c r="I21" s="2205"/>
      <c r="J21" s="2205"/>
      <c r="K21" s="2205"/>
      <c r="L21" s="2205"/>
      <c r="M21" s="2205"/>
      <c r="N21" s="2316">
        <v>0</v>
      </c>
      <c r="O21" s="2206"/>
    </row>
    <row r="22" spans="2:21">
      <c r="B22" s="2314"/>
      <c r="C22" s="2205"/>
      <c r="D22" s="2205" t="s">
        <v>194</v>
      </c>
      <c r="E22" s="2205"/>
      <c r="F22" s="2315">
        <f>'条件(標準)_後'!E30</f>
        <v>0</v>
      </c>
      <c r="G22" s="2205"/>
      <c r="H22" s="2205"/>
      <c r="I22" s="2205"/>
      <c r="J22" s="2205"/>
      <c r="K22" s="2205"/>
      <c r="L22" s="2205"/>
      <c r="M22" s="2205"/>
      <c r="N22" s="2316">
        <v>0</v>
      </c>
      <c r="O22" s="2206"/>
    </row>
    <row r="23" spans="2:21" ht="5.25" customHeight="1" thickBot="1">
      <c r="B23" s="2314"/>
      <c r="C23" s="2205"/>
      <c r="D23" s="2205"/>
      <c r="E23" s="2205"/>
      <c r="F23" s="2205"/>
      <c r="G23" s="2205"/>
      <c r="H23" s="2205"/>
      <c r="I23" s="2205"/>
      <c r="J23" s="2205"/>
      <c r="K23" s="2205"/>
      <c r="L23" s="2205"/>
      <c r="M23" s="2205"/>
      <c r="N23" s="2205"/>
      <c r="O23" s="2206"/>
    </row>
    <row r="24" spans="2:21" ht="14.25" thickBot="1">
      <c r="B24" s="2314"/>
      <c r="C24" s="1446" t="s">
        <v>195</v>
      </c>
      <c r="D24" s="1455"/>
      <c r="E24" s="1452"/>
      <c r="F24" s="2205"/>
      <c r="G24" s="2205"/>
      <c r="H24" s="2205"/>
      <c r="I24" s="2205"/>
      <c r="J24" s="2205"/>
      <c r="K24" s="2205"/>
      <c r="L24" s="2317" t="e">
        <f>SUMPRODUCT(F10:F18,L10:L18)</f>
        <v>#DIV/0!</v>
      </c>
      <c r="M24" s="2205"/>
      <c r="N24" s="2205"/>
      <c r="O24" s="2317" t="e">
        <f>SUMPRODUCT(F10:F18,O10:O18)</f>
        <v>#DIV/0!</v>
      </c>
    </row>
    <row r="25" spans="2:21">
      <c r="B25" s="2314"/>
      <c r="C25" s="1452"/>
      <c r="D25" s="1455"/>
      <c r="E25" s="147"/>
      <c r="F25" s="2205"/>
      <c r="G25" s="2205"/>
      <c r="H25" s="2205"/>
      <c r="I25" s="2205"/>
      <c r="J25" s="2205"/>
      <c r="K25" s="2205"/>
      <c r="L25" s="2318"/>
      <c r="M25" s="2205"/>
      <c r="N25" s="2205"/>
      <c r="O25" s="2319"/>
    </row>
    <row r="26" spans="2:21" hidden="1">
      <c r="B26" s="2314"/>
      <c r="C26" s="1452" t="s">
        <v>196</v>
      </c>
      <c r="D26" s="2205"/>
      <c r="E26" s="1455" t="s">
        <v>519</v>
      </c>
      <c r="F26" s="2400">
        <f>メイン!Y47</f>
        <v>0</v>
      </c>
      <c r="G26" s="2205"/>
      <c r="H26" s="2301">
        <f>IF(OR($F$20=$R$6,$F$20=$U$6),CO2データ!I203,IF($F$20=$S$6,CO2データ!L203,CO2データ!O203))</f>
        <v>60</v>
      </c>
      <c r="I26" s="2301">
        <f>IF(OR($F$20=$R$6,$F$20=$U$6),CO2データ!J203,IF($F$20=$S$6,CO2データ!M203,CO2データ!P203))</f>
        <v>60</v>
      </c>
      <c r="J26" s="2301">
        <f>IF(OR($F$20=$R$6,$F$20=$U$6),CO2データ!K203,IF($F$20=$S$6,CO2データ!N203,CO2データ!Q203))</f>
        <v>60</v>
      </c>
      <c r="K26" s="2320" t="e">
        <f t="shared" ref="K26:K34" si="3">K10</f>
        <v>#DIV/0!</v>
      </c>
      <c r="L26" s="2321">
        <f t="shared" ref="L26:L34" si="4">IF($F26=1,IF($K26&lt;4,$H26,IF($K26&lt;5,$I26,$J26)),0)</f>
        <v>0</v>
      </c>
      <c r="M26" s="2205"/>
      <c r="N26" s="2287">
        <v>3</v>
      </c>
      <c r="O26" s="2322">
        <f t="shared" ref="O26:O34" si="5">IF($F26=1,IF($N26&lt;4,$H26,IF($N26&lt;5,$I26,$J26)),0)</f>
        <v>0</v>
      </c>
      <c r="R26" t="str">
        <f t="shared" ref="R26:R34" si="6">IF($F26&lt;&gt;1,"",$E26&amp;"部分"&amp;L26&amp;"年,")</f>
        <v/>
      </c>
      <c r="U26" t="str">
        <f t="shared" ref="U26:U34" si="7">IF($F26&lt;&gt;1,"",$E26&amp;"部分"&amp;O26&amp;"年,")</f>
        <v/>
      </c>
    </row>
    <row r="27" spans="2:21" hidden="1">
      <c r="B27" s="2314"/>
      <c r="C27" s="1452"/>
      <c r="D27" s="2205"/>
      <c r="E27" s="1455" t="s">
        <v>521</v>
      </c>
      <c r="F27" s="2400">
        <f>メイン!Y49</f>
        <v>0</v>
      </c>
      <c r="G27" s="2205"/>
      <c r="H27" s="2301">
        <f>IF(OR($F$20=$R$6,$F$20=$U$6),CO2データ!I204,IF($F$20=$S$6,CO2データ!L204,CO2データ!O204))</f>
        <v>60</v>
      </c>
      <c r="I27" s="2301">
        <f>IF(OR($F$20=$R$6,$F$20=$U$6),CO2データ!J204,IF($F$20=$S$6,CO2データ!M204,CO2データ!P204))</f>
        <v>60</v>
      </c>
      <c r="J27" s="2301">
        <f>IF(OR($F$20=$R$6,$F$20=$U$6),CO2データ!K204,IF($F$20=$S$6,CO2データ!N204,CO2データ!Q204))</f>
        <v>60</v>
      </c>
      <c r="K27" s="2320" t="e">
        <f t="shared" si="3"/>
        <v>#DIV/0!</v>
      </c>
      <c r="L27" s="2321">
        <f t="shared" si="4"/>
        <v>0</v>
      </c>
      <c r="M27" s="2205"/>
      <c r="N27" s="2287">
        <v>3</v>
      </c>
      <c r="O27" s="2322">
        <f t="shared" si="5"/>
        <v>0</v>
      </c>
      <c r="R27" t="str">
        <f t="shared" si="6"/>
        <v/>
      </c>
      <c r="U27" t="str">
        <f t="shared" si="7"/>
        <v/>
      </c>
    </row>
    <row r="28" spans="2:21" hidden="1">
      <c r="B28" s="2314"/>
      <c r="C28" s="1452"/>
      <c r="D28" s="2205"/>
      <c r="E28" s="1455" t="s">
        <v>523</v>
      </c>
      <c r="F28" s="2400">
        <f>メイン!Y54</f>
        <v>0</v>
      </c>
      <c r="G28" s="2205"/>
      <c r="H28" s="2301">
        <f>IF(OR($F$20=$R$6,$F$20=$U$6),CO2データ!I205,IF($F$20=$S$6,CO2データ!L205,CO2データ!O205))</f>
        <v>30</v>
      </c>
      <c r="I28" s="2301">
        <f>IF(OR($F$20=$R$6,$F$20=$U$6),CO2データ!J205,IF($F$20=$S$6,CO2データ!M205,CO2データ!P205))</f>
        <v>30</v>
      </c>
      <c r="J28" s="2301">
        <f>IF(OR($F$20=$R$6,$F$20=$U$6),CO2データ!K205,IF($F$20=$S$6,CO2データ!N205,CO2データ!Q205))</f>
        <v>30</v>
      </c>
      <c r="K28" s="2320" t="e">
        <f t="shared" si="3"/>
        <v>#DIV/0!</v>
      </c>
      <c r="L28" s="2321">
        <f t="shared" si="4"/>
        <v>0</v>
      </c>
      <c r="M28" s="2205"/>
      <c r="N28" s="2287">
        <v>3</v>
      </c>
      <c r="O28" s="2322">
        <f t="shared" si="5"/>
        <v>0</v>
      </c>
      <c r="R28" t="str">
        <f t="shared" si="6"/>
        <v/>
      </c>
      <c r="U28" t="str">
        <f t="shared" si="7"/>
        <v/>
      </c>
    </row>
    <row r="29" spans="2:21" hidden="1">
      <c r="B29" s="2314"/>
      <c r="C29" s="1452"/>
      <c r="D29" s="2205"/>
      <c r="E29" s="1455" t="s">
        <v>525</v>
      </c>
      <c r="F29" s="2400">
        <f>メイン!Y56</f>
        <v>0</v>
      </c>
      <c r="G29" s="2205"/>
      <c r="H29" s="2301">
        <f>IF(OR($F$20=$R$6,$F$20=$U$6),CO2データ!I206,IF($F$20=$S$6,CO2データ!L206,CO2データ!O206))</f>
        <v>30</v>
      </c>
      <c r="I29" s="2301">
        <f>IF(OR($F$20=$R$6,$F$20=$U$6),CO2データ!J206,IF($F$20=$S$6,CO2データ!M206,CO2データ!P206))</f>
        <v>30</v>
      </c>
      <c r="J29" s="2301">
        <f>IF(OR($F$20=$R$6,$F$20=$U$6),CO2データ!K206,IF($F$20=$S$6,CO2データ!N206,CO2データ!Q206))</f>
        <v>30</v>
      </c>
      <c r="K29" s="2320" t="e">
        <f t="shared" si="3"/>
        <v>#DIV/0!</v>
      </c>
      <c r="L29" s="2321">
        <f t="shared" si="4"/>
        <v>0</v>
      </c>
      <c r="M29" s="2205"/>
      <c r="N29" s="2287">
        <v>3</v>
      </c>
      <c r="O29" s="2322">
        <f t="shared" si="5"/>
        <v>0</v>
      </c>
      <c r="R29" t="str">
        <f t="shared" si="6"/>
        <v/>
      </c>
      <c r="U29" t="str">
        <f t="shared" si="7"/>
        <v/>
      </c>
    </row>
    <row r="30" spans="2:21" hidden="1">
      <c r="B30" s="2314"/>
      <c r="C30" s="1452"/>
      <c r="D30" s="2205"/>
      <c r="E30" s="147" t="s">
        <v>819</v>
      </c>
      <c r="F30" s="2400">
        <f>メイン!Y57</f>
        <v>0</v>
      </c>
      <c r="G30" s="2205"/>
      <c r="H30" s="2301">
        <f>IF(OR($F$20=$R$6,$F$20=$U$6),CO2データ!I207,IF($F$20=$S$6,CO2データ!L207,CO2データ!O207))</f>
        <v>60</v>
      </c>
      <c r="I30" s="2301">
        <f>IF(OR($F$20=$R$6,$F$20=$U$6),CO2データ!J207,IF($F$20=$S$6,CO2データ!M207,CO2データ!P207))</f>
        <v>60</v>
      </c>
      <c r="J30" s="2301">
        <f>IF(OR($F$20=$R$6,$F$20=$U$6),CO2データ!K207,IF($F$20=$S$6,CO2データ!N207,CO2データ!Q207))</f>
        <v>60</v>
      </c>
      <c r="K30" s="2320" t="e">
        <f t="shared" si="3"/>
        <v>#DIV/0!</v>
      </c>
      <c r="L30" s="2321">
        <f t="shared" si="4"/>
        <v>0</v>
      </c>
      <c r="M30" s="2205"/>
      <c r="N30" s="2287">
        <v>3</v>
      </c>
      <c r="O30" s="2322">
        <f t="shared" si="5"/>
        <v>0</v>
      </c>
      <c r="R30" t="str">
        <f t="shared" si="6"/>
        <v/>
      </c>
      <c r="U30" t="str">
        <f t="shared" si="7"/>
        <v/>
      </c>
    </row>
    <row r="31" spans="2:21" hidden="1">
      <c r="B31" s="2314"/>
      <c r="C31" s="1452"/>
      <c r="D31" s="2205"/>
      <c r="E31" s="147" t="s">
        <v>535</v>
      </c>
      <c r="F31" s="2400">
        <f>メイン!Y63</f>
        <v>0</v>
      </c>
      <c r="G31" s="2205"/>
      <c r="H31" s="2301">
        <f>IF(OR($F$20=$R$6,$F$20=$U$6),CO2データ!I208,IF($F$20=$S$6,CO2データ!L208,CO2データ!O208))</f>
        <v>30</v>
      </c>
      <c r="I31" s="2301">
        <f>IF(OR($F$20=$R$6,$F$20=$U$6),CO2データ!J208,IF($F$20=$S$6,CO2データ!M208,CO2データ!P208))</f>
        <v>30</v>
      </c>
      <c r="J31" s="2301">
        <f>IF(OR($F$20=$R$6,$F$20=$U$6),CO2データ!K208,IF($F$20=$S$6,CO2データ!N208,CO2データ!Q208))</f>
        <v>30</v>
      </c>
      <c r="K31" s="2320" t="e">
        <f t="shared" si="3"/>
        <v>#DIV/0!</v>
      </c>
      <c r="L31" s="2321">
        <f t="shared" si="4"/>
        <v>0</v>
      </c>
      <c r="M31" s="2205"/>
      <c r="N31" s="2287">
        <v>3</v>
      </c>
      <c r="O31" s="2322">
        <f t="shared" si="5"/>
        <v>0</v>
      </c>
      <c r="R31" t="str">
        <f t="shared" si="6"/>
        <v/>
      </c>
      <c r="U31" t="str">
        <f t="shared" si="7"/>
        <v/>
      </c>
    </row>
    <row r="32" spans="2:21" hidden="1">
      <c r="B32" s="2314"/>
      <c r="C32" s="1452"/>
      <c r="D32" s="2205"/>
      <c r="E32" s="147" t="s">
        <v>529</v>
      </c>
      <c r="F32" s="2400">
        <f>メイン!Y60</f>
        <v>0</v>
      </c>
      <c r="G32" s="2205"/>
      <c r="H32" s="2301">
        <f>IF(OR($F$20=$R$6,$F$20=$U$6),CO2データ!I209,IF($F$20=$S$6,CO2データ!L209,CO2データ!O209))</f>
        <v>60</v>
      </c>
      <c r="I32" s="2301">
        <f>IF(OR($F$20=$R$6,$F$20=$U$6),CO2データ!J209,IF($F$20=$S$6,CO2データ!M209,CO2データ!P209))</f>
        <v>60</v>
      </c>
      <c r="J32" s="2301">
        <f>IF(OR($F$20=$R$6,$F$20=$U$6),CO2データ!K209,IF($F$20=$S$6,CO2データ!N209,CO2データ!Q209))</f>
        <v>60</v>
      </c>
      <c r="K32" s="2320" t="e">
        <f t="shared" si="3"/>
        <v>#DIV/0!</v>
      </c>
      <c r="L32" s="2321">
        <f t="shared" si="4"/>
        <v>0</v>
      </c>
      <c r="M32" s="2205"/>
      <c r="N32" s="2287">
        <v>3</v>
      </c>
      <c r="O32" s="2322">
        <f t="shared" si="5"/>
        <v>0</v>
      </c>
      <c r="R32" t="str">
        <f t="shared" si="6"/>
        <v/>
      </c>
      <c r="U32" t="str">
        <f t="shared" si="7"/>
        <v/>
      </c>
    </row>
    <row r="33" spans="2:21" hidden="1">
      <c r="B33" s="2314"/>
      <c r="C33" s="1452"/>
      <c r="D33" s="2205"/>
      <c r="E33" s="147" t="s">
        <v>820</v>
      </c>
      <c r="F33" s="2400">
        <f>メイン!Y61</f>
        <v>0</v>
      </c>
      <c r="G33" s="2205"/>
      <c r="H33" s="2301">
        <f>IF(OR($F$20=$R$6,$F$20=$U$6),CO2データ!I210,IF($F$20=$S$6,CO2データ!L210,CO2データ!O210))</f>
        <v>60</v>
      </c>
      <c r="I33" s="2301">
        <f>IF(OR($F$20=$R$6,$F$20=$U$6),CO2データ!J210,IF($F$20=$S$6,CO2データ!M210,CO2データ!P210))</f>
        <v>60</v>
      </c>
      <c r="J33" s="2301">
        <f>IF(OR($F$20=$R$6,$F$20=$U$6),CO2データ!K210,IF($F$20=$S$6,CO2データ!N210,CO2データ!Q210))</f>
        <v>60</v>
      </c>
      <c r="K33" s="2320" t="e">
        <f t="shared" si="3"/>
        <v>#DIV/0!</v>
      </c>
      <c r="L33" s="2321">
        <f t="shared" si="4"/>
        <v>0</v>
      </c>
      <c r="M33" s="2205"/>
      <c r="N33" s="2287">
        <v>3</v>
      </c>
      <c r="O33" s="2322">
        <f t="shared" si="5"/>
        <v>0</v>
      </c>
      <c r="R33" t="str">
        <f t="shared" si="6"/>
        <v/>
      </c>
      <c r="U33" t="str">
        <f t="shared" si="7"/>
        <v/>
      </c>
    </row>
    <row r="34" spans="2:21" ht="14.25" hidden="1" thickBot="1">
      <c r="B34" s="2314"/>
      <c r="C34" s="1452"/>
      <c r="D34" s="2205"/>
      <c r="E34" s="147" t="s">
        <v>533</v>
      </c>
      <c r="F34" s="2400">
        <f>メイン!Y62</f>
        <v>0</v>
      </c>
      <c r="G34" s="2205"/>
      <c r="H34" s="2301">
        <f>IF(OR($F$20=$R$6,$F$20=$U$6),CO2データ!I211,IF($F$20=$S$6,CO2データ!L211,CO2データ!O211))</f>
        <v>30</v>
      </c>
      <c r="I34" s="2301">
        <f>IF(OR($F$20=$R$6,$F$20=$U$6),CO2データ!J211,IF($F$20=$S$6,CO2データ!M211,CO2データ!P211))</f>
        <v>60</v>
      </c>
      <c r="J34" s="2301">
        <f>IF(OR($F$20=$R$6,$F$20=$U$6),CO2データ!K211,IF($F$20=$S$6,CO2データ!N211,CO2データ!Q211))</f>
        <v>90</v>
      </c>
      <c r="K34" s="2320" t="e">
        <f t="shared" si="3"/>
        <v>#DIV/0!</v>
      </c>
      <c r="L34" s="2321">
        <f t="shared" si="4"/>
        <v>0</v>
      </c>
      <c r="M34" s="2205"/>
      <c r="N34" s="2287">
        <v>3</v>
      </c>
      <c r="O34" s="2322">
        <f t="shared" si="5"/>
        <v>0</v>
      </c>
      <c r="R34" t="str">
        <f t="shared" si="6"/>
        <v/>
      </c>
      <c r="U34" t="str">
        <f t="shared" si="7"/>
        <v/>
      </c>
    </row>
    <row r="35" spans="2:21" ht="14.25" hidden="1" thickBot="1">
      <c r="B35" s="2314"/>
      <c r="C35" s="1452"/>
      <c r="D35" s="2205"/>
      <c r="E35" s="147"/>
      <c r="F35" s="147"/>
      <c r="G35" s="147"/>
      <c r="H35" s="147"/>
      <c r="I35" s="147"/>
      <c r="J35" s="147"/>
      <c r="K35" s="147"/>
      <c r="L35" s="2323" t="str">
        <f>R26&amp;R27&amp;R28&amp;R29&amp;R30&amp;R31&amp;R32&amp;R33&amp;R34&amp;R35</f>
        <v/>
      </c>
      <c r="M35" s="147"/>
      <c r="N35" s="147"/>
      <c r="O35" s="2323" t="str">
        <f>U26&amp;U27&amp;U28&amp;U29&amp;U30&amp;U31&amp;U32&amp;U33&amp;U34&amp;U35</f>
        <v/>
      </c>
      <c r="R35" t="str">
        <f>IF(SUM(F26:F34)&gt;1,"他","")</f>
        <v/>
      </c>
      <c r="U35" t="str">
        <f>IF(SUM(F26:F34)&gt;1,"他","")</f>
        <v/>
      </c>
    </row>
    <row r="36" spans="2:21" hidden="1">
      <c r="B36" s="2314"/>
      <c r="C36" s="1452"/>
      <c r="D36" s="2205"/>
      <c r="E36" s="147"/>
      <c r="F36" s="147"/>
      <c r="G36" s="147"/>
      <c r="H36" s="147"/>
      <c r="I36" s="147"/>
      <c r="J36" s="147"/>
      <c r="K36" s="147"/>
      <c r="L36" s="147"/>
      <c r="M36" s="147"/>
      <c r="N36" s="147"/>
      <c r="O36" s="2324"/>
    </row>
    <row r="37" spans="2:21" hidden="1">
      <c r="B37" s="2325"/>
      <c r="C37" s="2326" t="s">
        <v>125</v>
      </c>
      <c r="D37" s="2326"/>
      <c r="E37" s="2257"/>
      <c r="F37" s="2257"/>
      <c r="G37" s="2257"/>
      <c r="H37" s="2327"/>
      <c r="I37" s="2328" t="s">
        <v>197</v>
      </c>
      <c r="J37" s="2328" t="s">
        <v>198</v>
      </c>
      <c r="K37" s="2329"/>
      <c r="L37" s="2329"/>
      <c r="M37" s="2329"/>
      <c r="N37" s="2329"/>
      <c r="O37" s="2330"/>
    </row>
    <row r="38" spans="2:21" hidden="1">
      <c r="B38" s="2325"/>
      <c r="C38" s="2257"/>
      <c r="D38" s="2257" t="s">
        <v>199</v>
      </c>
      <c r="E38" s="2257"/>
      <c r="F38" s="2301" t="e">
        <f>F10</f>
        <v>#DIV/0!</v>
      </c>
      <c r="G38" s="2257"/>
      <c r="H38" s="2301">
        <f>IF(OR($F$20=$R$6,$F$20=$U$6),CO2データ!I214,IF($F$20=$S$6,CO2データ!L214,CO2データ!O214))</f>
        <v>0.56699999999999995</v>
      </c>
      <c r="I38" s="2301">
        <f>IF(OR($F$20=$R$6,$F$20=$U$6),CO2データ!J214,IF($F$20=$S$6,CO2データ!M214,CO2データ!P214))</f>
        <v>0</v>
      </c>
      <c r="J38" s="2301">
        <f>IF(OR($F$20=$R$6,$F$20=$U$6),CO2データ!K214,IF($F$20=$S$6,CO2データ!N214,CO2データ!Q214))</f>
        <v>0</v>
      </c>
      <c r="K38" s="2329"/>
      <c r="L38" s="2327">
        <f t="shared" ref="L38:L91" si="8">H38-(H38-I38)*$F$21-(H38-J38)*$F$22</f>
        <v>0.39689999999999998</v>
      </c>
      <c r="M38" s="2329"/>
      <c r="N38" s="2327"/>
      <c r="O38" s="2331">
        <f t="shared" ref="O38:O91" si="9">H38</f>
        <v>0.56699999999999995</v>
      </c>
      <c r="P38" t="s">
        <v>200</v>
      </c>
    </row>
    <row r="39" spans="2:21" hidden="1">
      <c r="B39" s="2325"/>
      <c r="C39" s="2257"/>
      <c r="D39" s="2257"/>
      <c r="E39" s="2257"/>
      <c r="F39" s="2301" t="e">
        <f>$F$38</f>
        <v>#DIV/0!</v>
      </c>
      <c r="G39" s="2257"/>
      <c r="H39" s="2301">
        <f>IF(OR($F$20=$R$6,$F$20=$U$6),CO2データ!I215,IF($F$20=$S$6,CO2データ!L215,CO2データ!O215))</f>
        <v>0</v>
      </c>
      <c r="I39" s="2301">
        <f>IF(OR($F$20=$R$6,$F$20=$U$6),CO2データ!J215,IF($F$20=$S$6,CO2データ!M215,CO2データ!P215))</f>
        <v>0</v>
      </c>
      <c r="J39" s="2301">
        <f>IF(OR($F$20=$R$6,$F$20=$U$6),CO2データ!K215,IF($F$20=$S$6,CO2データ!N215,CO2データ!Q215))</f>
        <v>0.56699999999999995</v>
      </c>
      <c r="K39" s="2329"/>
      <c r="L39" s="2327">
        <f t="shared" si="8"/>
        <v>0</v>
      </c>
      <c r="M39" s="2329"/>
      <c r="N39" s="2327"/>
      <c r="O39" s="2331">
        <f t="shared" si="9"/>
        <v>0</v>
      </c>
      <c r="P39" t="s">
        <v>200</v>
      </c>
    </row>
    <row r="40" spans="2:21" hidden="1">
      <c r="B40" s="2325"/>
      <c r="C40" s="2257"/>
      <c r="D40" s="2257"/>
      <c r="E40" s="2257"/>
      <c r="F40" s="2301" t="e">
        <f>$F$38</f>
        <v>#DIV/0!</v>
      </c>
      <c r="G40" s="2257"/>
      <c r="H40" s="2301">
        <f>IF(OR($F$20=$R$6,$F$20=$U$6),CO2データ!I216,IF($F$20=$S$6,CO2データ!L216,CO2データ!O216))</f>
        <v>0.13600000000000001</v>
      </c>
      <c r="I40" s="2301">
        <f>IF(OR($F$20=$R$6,$F$20=$U$6),CO2データ!J216,IF($F$20=$S$6,CO2データ!M216,CO2データ!P216))</f>
        <v>0</v>
      </c>
      <c r="J40" s="2301">
        <f>IF(OR($F$20=$R$6,$F$20=$U$6),CO2データ!K216,IF($F$20=$S$6,CO2データ!N216,CO2データ!Q216))</f>
        <v>0.13600000000000001</v>
      </c>
      <c r="K40" s="2329"/>
      <c r="L40" s="2327">
        <f t="shared" si="8"/>
        <v>9.5200000000000007E-2</v>
      </c>
      <c r="M40" s="2329"/>
      <c r="N40" s="2327"/>
      <c r="O40" s="2331">
        <f t="shared" si="9"/>
        <v>0.13600000000000001</v>
      </c>
      <c r="P40" t="s">
        <v>130</v>
      </c>
    </row>
    <row r="41" spans="2:21" hidden="1">
      <c r="B41" s="2325"/>
      <c r="C41" s="2257"/>
      <c r="D41" s="2257"/>
      <c r="E41" s="2257"/>
      <c r="F41" s="2301" t="e">
        <f>$F$38</f>
        <v>#DIV/0!</v>
      </c>
      <c r="G41" s="2257"/>
      <c r="H41" s="2301">
        <f>IF(OR($F$20=$R$6,$F$20=$U$6),CO2データ!I217,IF($F$20=$S$6,CO2データ!L217,CO2データ!O217))</f>
        <v>0</v>
      </c>
      <c r="I41" s="2301">
        <f>IF(OR($F$20=$R$6,$F$20=$U$6),CO2データ!J217,IF($F$20=$S$6,CO2データ!M217,CO2データ!P217))</f>
        <v>0</v>
      </c>
      <c r="J41" s="2301">
        <f>IF(OR($F$20=$R$6,$F$20=$U$6),CO2データ!K217,IF($F$20=$S$6,CO2データ!N217,CO2データ!Q217))</f>
        <v>0</v>
      </c>
      <c r="K41" s="2329"/>
      <c r="L41" s="2327">
        <f t="shared" si="8"/>
        <v>0</v>
      </c>
      <c r="M41" s="2329"/>
      <c r="N41" s="2327"/>
      <c r="O41" s="2331">
        <f t="shared" si="9"/>
        <v>0</v>
      </c>
      <c r="P41" t="s">
        <v>130</v>
      </c>
    </row>
    <row r="42" spans="2:21" hidden="1">
      <c r="B42" s="2325"/>
      <c r="C42" s="2257"/>
      <c r="D42" s="2257"/>
      <c r="E42" s="2257"/>
      <c r="F42" s="2301" t="e">
        <f>$F$38</f>
        <v>#DIV/0!</v>
      </c>
      <c r="G42" s="2257"/>
      <c r="H42" s="2301">
        <f>IF(OR($F$20=$R$6,$F$20=$U$6),CO2データ!I218,IF($F$20=$S$6,CO2データ!L218,CO2データ!O218))</f>
        <v>7.0000000000000007E-2</v>
      </c>
      <c r="I42" s="2301">
        <f>IF(OR($F$20=$R$6,$F$20=$U$6),CO2データ!J218,IF($F$20=$S$6,CO2データ!M218,CO2データ!P218))</f>
        <v>0</v>
      </c>
      <c r="J42" s="2301">
        <f>IF(OR($F$20=$R$6,$F$20=$U$6),CO2データ!K218,IF($F$20=$S$6,CO2データ!N218,CO2データ!Q218))</f>
        <v>7.0000000000000007E-2</v>
      </c>
      <c r="K42" s="2329"/>
      <c r="L42" s="2327">
        <f t="shared" si="8"/>
        <v>4.9000000000000002E-2</v>
      </c>
      <c r="M42" s="2329"/>
      <c r="N42" s="2327"/>
      <c r="O42" s="2331">
        <f t="shared" si="9"/>
        <v>7.0000000000000007E-2</v>
      </c>
      <c r="P42" t="s">
        <v>130</v>
      </c>
    </row>
    <row r="43" spans="2:21" hidden="1">
      <c r="B43" s="2325"/>
      <c r="C43" s="2257"/>
      <c r="D43" s="2257"/>
      <c r="E43" s="2257"/>
      <c r="F43" s="2301" t="e">
        <f>$F$38</f>
        <v>#DIV/0!</v>
      </c>
      <c r="G43" s="2257"/>
      <c r="H43" s="2301">
        <f>IF(OR($F$20=$R$6,$F$20=$U$6),CO2データ!I219,IF($F$20=$S$6,CO2データ!L219,CO2データ!O219))</f>
        <v>5.0000000000000001E-3</v>
      </c>
      <c r="I43" s="2301">
        <f>IF(OR($F$20=$R$6,$F$20=$U$6),CO2データ!J219,IF($F$20=$S$6,CO2データ!M219,CO2データ!P219))</f>
        <v>0</v>
      </c>
      <c r="J43" s="2301">
        <f>IF(OR($F$20=$R$6,$F$20=$U$6),CO2データ!K219,IF($F$20=$S$6,CO2データ!N219,CO2データ!Q219))</f>
        <v>5.0000000000000001E-3</v>
      </c>
      <c r="K43" s="2329"/>
      <c r="L43" s="2327">
        <f t="shared" si="8"/>
        <v>3.5000000000000001E-3</v>
      </c>
      <c r="M43" s="2329"/>
      <c r="N43" s="2327"/>
      <c r="O43" s="2331">
        <f t="shared" si="9"/>
        <v>5.0000000000000001E-3</v>
      </c>
      <c r="P43" t="s">
        <v>130</v>
      </c>
    </row>
    <row r="44" spans="2:21" hidden="1">
      <c r="B44" s="2325"/>
      <c r="C44" s="2257"/>
      <c r="D44" s="2257" t="s">
        <v>201</v>
      </c>
      <c r="E44" s="2257"/>
      <c r="F44" s="2301" t="e">
        <f>F11</f>
        <v>#DIV/0!</v>
      </c>
      <c r="G44" s="2257"/>
      <c r="H44" s="2301">
        <f>IF(OR($F$20=$R$6,$F$20=$U$6),CO2データ!I220,IF($F$20=$S$6,CO2データ!L220,CO2データ!O220))</f>
        <v>0.35199999999999998</v>
      </c>
      <c r="I44" s="2301">
        <f>IF(OR($F$20=$R$6,$F$20=$U$6),CO2データ!J220,IF($F$20=$S$6,CO2データ!M220,CO2データ!P220))</f>
        <v>0</v>
      </c>
      <c r="J44" s="2301">
        <f>IF(OR($F$20=$R$6,$F$20=$U$6),CO2データ!K220,IF($F$20=$S$6,CO2データ!N220,CO2データ!Q220))</f>
        <v>0</v>
      </c>
      <c r="K44" s="2329"/>
      <c r="L44" s="2327">
        <f t="shared" si="8"/>
        <v>0.24640000000000001</v>
      </c>
      <c r="M44" s="2329"/>
      <c r="N44" s="2327"/>
      <c r="O44" s="2331">
        <f t="shared" si="9"/>
        <v>0.35199999999999998</v>
      </c>
      <c r="P44" t="s">
        <v>200</v>
      </c>
    </row>
    <row r="45" spans="2:21" hidden="1">
      <c r="B45" s="2325"/>
      <c r="C45" s="2257"/>
      <c r="D45" s="2257"/>
      <c r="E45" s="2257"/>
      <c r="F45" s="2301" t="e">
        <f>$F$44</f>
        <v>#DIV/0!</v>
      </c>
      <c r="G45" s="2257"/>
      <c r="H45" s="2301">
        <f>IF(OR($F$20=$R$6,$F$20=$U$6),CO2データ!I221,IF($F$20=$S$6,CO2データ!L221,CO2データ!O221))</f>
        <v>0</v>
      </c>
      <c r="I45" s="2301">
        <f>IF(OR($F$20=$R$6,$F$20=$U$6),CO2データ!J221,IF($F$20=$S$6,CO2データ!M221,CO2データ!P221))</f>
        <v>0</v>
      </c>
      <c r="J45" s="2301">
        <f>IF(OR($F$20=$R$6,$F$20=$U$6),CO2データ!K221,IF($F$20=$S$6,CO2データ!N221,CO2データ!Q221))</f>
        <v>0.35199999999999998</v>
      </c>
      <c r="K45" s="2329"/>
      <c r="L45" s="2327">
        <f t="shared" si="8"/>
        <v>0</v>
      </c>
      <c r="M45" s="2329"/>
      <c r="N45" s="2327"/>
      <c r="O45" s="2331">
        <f t="shared" si="9"/>
        <v>0</v>
      </c>
      <c r="P45" t="s">
        <v>200</v>
      </c>
    </row>
    <row r="46" spans="2:21" hidden="1">
      <c r="B46" s="2325"/>
      <c r="C46" s="2257"/>
      <c r="D46" s="2257"/>
      <c r="E46" s="2257"/>
      <c r="F46" s="2301" t="e">
        <f>$F$44</f>
        <v>#DIV/0!</v>
      </c>
      <c r="G46" s="2257"/>
      <c r="H46" s="2301">
        <f>IF(OR($F$20=$R$6,$F$20=$U$6),CO2データ!I222,IF($F$20=$S$6,CO2データ!L222,CO2データ!O222))</f>
        <v>0.105</v>
      </c>
      <c r="I46" s="2301">
        <f>IF(OR($F$20=$R$6,$F$20=$U$6),CO2データ!J222,IF($F$20=$S$6,CO2データ!M222,CO2データ!P222))</f>
        <v>0</v>
      </c>
      <c r="J46" s="2301">
        <f>IF(OR($F$20=$R$6,$F$20=$U$6),CO2データ!K222,IF($F$20=$S$6,CO2データ!N222,CO2データ!Q222))</f>
        <v>0.105</v>
      </c>
      <c r="K46" s="2329"/>
      <c r="L46" s="2327">
        <f t="shared" si="8"/>
        <v>7.3499999999999996E-2</v>
      </c>
      <c r="M46" s="2329"/>
      <c r="N46" s="2327"/>
      <c r="O46" s="2331">
        <f t="shared" si="9"/>
        <v>0.105</v>
      </c>
      <c r="P46" t="s">
        <v>130</v>
      </c>
    </row>
    <row r="47" spans="2:21" hidden="1">
      <c r="B47" s="2325"/>
      <c r="C47" s="2257"/>
      <c r="D47" s="2257"/>
      <c r="E47" s="2257"/>
      <c r="F47" s="2301" t="e">
        <f>$F$44</f>
        <v>#DIV/0!</v>
      </c>
      <c r="G47" s="2257"/>
      <c r="H47" s="2301">
        <f>IF(OR($F$20=$R$6,$F$20=$U$6),CO2データ!I223,IF($F$20=$S$6,CO2データ!L223,CO2データ!O223))</f>
        <v>0</v>
      </c>
      <c r="I47" s="2301">
        <f>IF(OR($F$20=$R$6,$F$20=$U$6),CO2データ!J223,IF($F$20=$S$6,CO2データ!M223,CO2データ!P223))</f>
        <v>0</v>
      </c>
      <c r="J47" s="2301">
        <f>IF(OR($F$20=$R$6,$F$20=$U$6),CO2データ!K223,IF($F$20=$S$6,CO2データ!N223,CO2データ!Q223))</f>
        <v>0</v>
      </c>
      <c r="K47" s="2329"/>
      <c r="L47" s="2327">
        <f t="shared" si="8"/>
        <v>0</v>
      </c>
      <c r="M47" s="2329"/>
      <c r="N47" s="2327"/>
      <c r="O47" s="2331">
        <f t="shared" si="9"/>
        <v>0</v>
      </c>
      <c r="P47" t="s">
        <v>130</v>
      </c>
    </row>
    <row r="48" spans="2:21" hidden="1">
      <c r="B48" s="2325"/>
      <c r="C48" s="2257"/>
      <c r="D48" s="2257"/>
      <c r="E48" s="2257"/>
      <c r="F48" s="2301" t="e">
        <f>$F$44</f>
        <v>#DIV/0!</v>
      </c>
      <c r="G48" s="2257"/>
      <c r="H48" s="2301">
        <f>IF(OR($F$20=$R$6,$F$20=$U$6),CO2データ!I224,IF($F$20=$S$6,CO2データ!L224,CO2データ!O224))</f>
        <v>4.4999999999999998E-2</v>
      </c>
      <c r="I48" s="2301">
        <f>IF(OR($F$20=$R$6,$F$20=$U$6),CO2データ!J224,IF($F$20=$S$6,CO2データ!M224,CO2データ!P224))</f>
        <v>0</v>
      </c>
      <c r="J48" s="2301">
        <f>IF(OR($F$20=$R$6,$F$20=$U$6),CO2データ!K224,IF($F$20=$S$6,CO2データ!N224,CO2データ!Q224))</f>
        <v>4.4999999999999998E-2</v>
      </c>
      <c r="K48" s="2329"/>
      <c r="L48" s="2327">
        <f t="shared" si="8"/>
        <v>3.15E-2</v>
      </c>
      <c r="M48" s="2329"/>
      <c r="N48" s="2327"/>
      <c r="O48" s="2331">
        <f t="shared" si="9"/>
        <v>4.4999999999999998E-2</v>
      </c>
      <c r="P48" t="s">
        <v>130</v>
      </c>
    </row>
    <row r="49" spans="2:16" hidden="1">
      <c r="B49" s="2325"/>
      <c r="C49" s="2257"/>
      <c r="D49" s="2257"/>
      <c r="E49" s="2257"/>
      <c r="F49" s="2301" t="e">
        <f>$F$44</f>
        <v>#DIV/0!</v>
      </c>
      <c r="G49" s="2257"/>
      <c r="H49" s="2301">
        <f>IF(OR($F$20=$R$6,$F$20=$U$6),CO2データ!I225,IF($F$20=$S$6,CO2データ!L225,CO2データ!O225))</f>
        <v>2E-3</v>
      </c>
      <c r="I49" s="2301">
        <f>IF(OR($F$20=$R$6,$F$20=$U$6),CO2データ!J225,IF($F$20=$S$6,CO2データ!M225,CO2データ!P225))</f>
        <v>0</v>
      </c>
      <c r="J49" s="2301">
        <f>IF(OR($F$20=$R$6,$F$20=$U$6),CO2データ!K225,IF($F$20=$S$6,CO2データ!N225,CO2データ!Q225))</f>
        <v>2.3999999999999998E-3</v>
      </c>
      <c r="K49" s="2329"/>
      <c r="L49" s="2327">
        <f t="shared" si="8"/>
        <v>1.4000000000000002E-3</v>
      </c>
      <c r="M49" s="2329"/>
      <c r="N49" s="2327"/>
      <c r="O49" s="2331">
        <f t="shared" si="9"/>
        <v>2E-3</v>
      </c>
      <c r="P49" t="s">
        <v>130</v>
      </c>
    </row>
    <row r="50" spans="2:16" hidden="1">
      <c r="B50" s="2325"/>
      <c r="C50" s="2257"/>
      <c r="D50" s="2257" t="s">
        <v>202</v>
      </c>
      <c r="E50" s="2257"/>
      <c r="F50" s="2301" t="e">
        <f>F12</f>
        <v>#DIV/0!</v>
      </c>
      <c r="G50" s="2257"/>
      <c r="H50" s="2301">
        <f>IF(OR($F$20=$R$6,$F$20=$U$6),CO2データ!I226,IF($F$20=$S$6,CO2データ!L226,CO2データ!O226))</f>
        <v>0.34200000000000003</v>
      </c>
      <c r="I50" s="2301">
        <f>IF(OR($F$20=$R$6,$F$20=$U$6),CO2データ!J226,IF($F$20=$S$6,CO2データ!M226,CO2データ!P226))</f>
        <v>0</v>
      </c>
      <c r="J50" s="2301">
        <f>IF(OR($F$20=$R$6,$F$20=$U$6),CO2データ!K226,IF($F$20=$S$6,CO2データ!N226,CO2データ!Q226))</f>
        <v>0</v>
      </c>
      <c r="K50" s="2329"/>
      <c r="L50" s="2327">
        <f t="shared" si="8"/>
        <v>0.2394</v>
      </c>
      <c r="M50" s="2329"/>
      <c r="N50" s="2327"/>
      <c r="O50" s="2331">
        <f t="shared" si="9"/>
        <v>0.34200000000000003</v>
      </c>
      <c r="P50" t="s">
        <v>1735</v>
      </c>
    </row>
    <row r="51" spans="2:16" hidden="1">
      <c r="B51" s="2325"/>
      <c r="C51" s="2257"/>
      <c r="D51" s="2257"/>
      <c r="E51" s="2257"/>
      <c r="F51" s="2301" t="e">
        <f>$F$50</f>
        <v>#DIV/0!</v>
      </c>
      <c r="G51" s="2257"/>
      <c r="H51" s="2301">
        <f>IF(OR($F$20=$R$6,$F$20=$U$6),CO2データ!I227,IF($F$20=$S$6,CO2データ!L227,CO2データ!O227))</f>
        <v>0</v>
      </c>
      <c r="I51" s="2301">
        <f>IF(OR($F$20=$R$6,$F$20=$U$6),CO2データ!J227,IF($F$20=$S$6,CO2データ!M227,CO2データ!P227))</f>
        <v>0</v>
      </c>
      <c r="J51" s="2301">
        <f>IF(OR($F$20=$R$6,$F$20=$U$6),CO2データ!K227,IF($F$20=$S$6,CO2データ!N227,CO2データ!Q227))</f>
        <v>0.34200000000000003</v>
      </c>
      <c r="K51" s="2329"/>
      <c r="L51" s="2327">
        <f t="shared" si="8"/>
        <v>0</v>
      </c>
      <c r="M51" s="2329"/>
      <c r="N51" s="2327"/>
      <c r="O51" s="2331">
        <f t="shared" si="9"/>
        <v>0</v>
      </c>
      <c r="P51" t="s">
        <v>200</v>
      </c>
    </row>
    <row r="52" spans="2:16" hidden="1">
      <c r="B52" s="2325"/>
      <c r="C52" s="2257"/>
      <c r="D52" s="2257"/>
      <c r="E52" s="2257"/>
      <c r="F52" s="2301" t="e">
        <f>$F$50</f>
        <v>#DIV/0!</v>
      </c>
      <c r="G52" s="2257"/>
      <c r="H52" s="2301">
        <f>IF(OR($F$20=$R$6,$F$20=$U$6),CO2データ!I228,IF($F$20=$S$6,CO2データ!L228,CO2データ!O228))</f>
        <v>7.1999999999999995E-2</v>
      </c>
      <c r="I52" s="2301">
        <f>IF(OR($F$20=$R$6,$F$20=$U$6),CO2データ!J228,IF($F$20=$S$6,CO2データ!M228,CO2データ!P228))</f>
        <v>0</v>
      </c>
      <c r="J52" s="2301">
        <f>IF(OR($F$20=$R$6,$F$20=$U$6),CO2データ!K228,IF($F$20=$S$6,CO2データ!N228,CO2データ!Q228))</f>
        <v>7.1999999999999995E-2</v>
      </c>
      <c r="K52" s="2329"/>
      <c r="L52" s="2327">
        <f t="shared" si="8"/>
        <v>5.04E-2</v>
      </c>
      <c r="M52" s="2329"/>
      <c r="N52" s="2327"/>
      <c r="O52" s="2331">
        <f t="shared" si="9"/>
        <v>7.1999999999999995E-2</v>
      </c>
      <c r="P52" t="s">
        <v>130</v>
      </c>
    </row>
    <row r="53" spans="2:16" hidden="1">
      <c r="B53" s="2325"/>
      <c r="C53" s="2257"/>
      <c r="D53" s="2257"/>
      <c r="E53" s="2257"/>
      <c r="F53" s="2301" t="e">
        <f>$F$50</f>
        <v>#DIV/0!</v>
      </c>
      <c r="G53" s="2257"/>
      <c r="H53" s="2301">
        <f>IF(OR($F$20=$R$6,$F$20=$U$6),CO2データ!I229,IF($F$20=$S$6,CO2データ!L229,CO2データ!O229))</f>
        <v>0</v>
      </c>
      <c r="I53" s="2301">
        <f>IF(OR($F$20=$R$6,$F$20=$U$6),CO2データ!J229,IF($F$20=$S$6,CO2データ!M229,CO2データ!P229))</f>
        <v>0</v>
      </c>
      <c r="J53" s="2301">
        <f>IF(OR($F$20=$R$6,$F$20=$U$6),CO2データ!K229,IF($F$20=$S$6,CO2データ!N229,CO2データ!Q229))</f>
        <v>0</v>
      </c>
      <c r="K53" s="2329"/>
      <c r="L53" s="2327">
        <f t="shared" si="8"/>
        <v>0</v>
      </c>
      <c r="M53" s="2329"/>
      <c r="N53" s="2327"/>
      <c r="O53" s="2331">
        <f t="shared" si="9"/>
        <v>0</v>
      </c>
      <c r="P53" t="s">
        <v>130</v>
      </c>
    </row>
    <row r="54" spans="2:16" hidden="1">
      <c r="B54" s="2325"/>
      <c r="C54" s="2257"/>
      <c r="D54" s="2257"/>
      <c r="E54" s="2257"/>
      <c r="F54" s="2301" t="e">
        <f>$F$50</f>
        <v>#DIV/0!</v>
      </c>
      <c r="G54" s="2257"/>
      <c r="H54" s="2301">
        <f>IF(OR($F$20=$R$6,$F$20=$U$6),CO2データ!I230,IF($F$20=$S$6,CO2データ!L230,CO2データ!O230))</f>
        <v>2.4E-2</v>
      </c>
      <c r="I54" s="2301">
        <f>IF(OR($F$20=$R$6,$F$20=$U$6),CO2データ!J230,IF($F$20=$S$6,CO2データ!M230,CO2データ!P230))</f>
        <v>0</v>
      </c>
      <c r="J54" s="2301">
        <f>IF(OR($F$20=$R$6,$F$20=$U$6),CO2データ!K230,IF($F$20=$S$6,CO2データ!N230,CO2データ!Q230))</f>
        <v>2.4E-2</v>
      </c>
      <c r="K54" s="2329"/>
      <c r="L54" s="2327">
        <f t="shared" si="8"/>
        <v>1.6800000000000002E-2</v>
      </c>
      <c r="M54" s="2329"/>
      <c r="N54" s="2327"/>
      <c r="O54" s="2331">
        <f t="shared" si="9"/>
        <v>2.4E-2</v>
      </c>
      <c r="P54" t="s">
        <v>130</v>
      </c>
    </row>
    <row r="55" spans="2:16" hidden="1">
      <c r="B55" s="2325"/>
      <c r="C55" s="2257"/>
      <c r="D55" s="2257"/>
      <c r="E55" s="2257"/>
      <c r="F55" s="2301" t="e">
        <f>$F$50</f>
        <v>#DIV/0!</v>
      </c>
      <c r="G55" s="2257"/>
      <c r="H55" s="2301">
        <f>IF(OR($F$20=$R$6,$F$20=$U$6),CO2データ!I231,IF($F$20=$S$6,CO2データ!L231,CO2データ!O231))</f>
        <v>2E-3</v>
      </c>
      <c r="I55" s="2301">
        <f>IF(OR($F$20=$R$6,$F$20=$U$6),CO2データ!J231,IF($F$20=$S$6,CO2データ!M231,CO2データ!P231))</f>
        <v>0</v>
      </c>
      <c r="J55" s="2301">
        <f>IF(OR($F$20=$R$6,$F$20=$U$6),CO2データ!K231,IF($F$20=$S$6,CO2データ!N231,CO2データ!Q231))</f>
        <v>1.8600000000000001E-3</v>
      </c>
      <c r="K55" s="2329"/>
      <c r="L55" s="2327">
        <f t="shared" si="8"/>
        <v>1.4000000000000002E-3</v>
      </c>
      <c r="M55" s="2329"/>
      <c r="N55" s="2327"/>
      <c r="O55" s="2331">
        <f t="shared" si="9"/>
        <v>2E-3</v>
      </c>
      <c r="P55" t="s">
        <v>130</v>
      </c>
    </row>
    <row r="56" spans="2:16" hidden="1">
      <c r="B56" s="2325"/>
      <c r="C56" s="2257"/>
      <c r="D56" s="2257" t="s">
        <v>204</v>
      </c>
      <c r="E56" s="2257"/>
      <c r="F56" s="2301" t="e">
        <f>F13</f>
        <v>#DIV/0!</v>
      </c>
      <c r="G56" s="2257"/>
      <c r="H56" s="2301">
        <f>IF(OR($F$20=$R$6,$F$20=$U$6),CO2データ!I232,IF($F$20=$S$6,CO2データ!L232,CO2データ!O232))</f>
        <v>0.34200000000000003</v>
      </c>
      <c r="I56" s="2301">
        <f>IF(OR($F$20=$R$6,$F$20=$U$6),CO2データ!J232,IF($F$20=$S$6,CO2データ!M232,CO2データ!P232))</f>
        <v>0</v>
      </c>
      <c r="J56" s="2301">
        <f>IF(OR($F$20=$R$6,$F$20=$U$6),CO2データ!K232,IF($F$20=$S$6,CO2データ!N232,CO2データ!Q232))</f>
        <v>0</v>
      </c>
      <c r="K56" s="2329"/>
      <c r="L56" s="2327">
        <f t="shared" si="8"/>
        <v>0.2394</v>
      </c>
      <c r="M56" s="2329"/>
      <c r="N56" s="2327"/>
      <c r="O56" s="2331">
        <f t="shared" si="9"/>
        <v>0.34200000000000003</v>
      </c>
      <c r="P56" t="s">
        <v>200</v>
      </c>
    </row>
    <row r="57" spans="2:16" hidden="1">
      <c r="B57" s="2325"/>
      <c r="C57" s="2257"/>
      <c r="D57" s="2257"/>
      <c r="E57" s="2257"/>
      <c r="F57" s="2301" t="e">
        <f>$F$56</f>
        <v>#DIV/0!</v>
      </c>
      <c r="G57" s="2257"/>
      <c r="H57" s="2301">
        <f>IF(OR($F$20=$R$6,$F$20=$U$6),CO2データ!I233,IF($F$20=$S$6,CO2データ!L233,CO2データ!O233))</f>
        <v>0</v>
      </c>
      <c r="I57" s="2301">
        <f>IF(OR($F$20=$R$6,$F$20=$U$6),CO2データ!J233,IF($F$20=$S$6,CO2データ!M233,CO2データ!P233))</f>
        <v>0</v>
      </c>
      <c r="J57" s="2301">
        <f>IF(OR($F$20=$R$6,$F$20=$U$6),CO2データ!K233,IF($F$20=$S$6,CO2データ!N233,CO2データ!Q233))</f>
        <v>0.34200000000000003</v>
      </c>
      <c r="K57" s="2329"/>
      <c r="L57" s="2327">
        <f t="shared" si="8"/>
        <v>0</v>
      </c>
      <c r="M57" s="2329"/>
      <c r="N57" s="2327"/>
      <c r="O57" s="2331">
        <f t="shared" si="9"/>
        <v>0</v>
      </c>
      <c r="P57" t="s">
        <v>200</v>
      </c>
    </row>
    <row r="58" spans="2:16" hidden="1">
      <c r="B58" s="2325"/>
      <c r="C58" s="2257"/>
      <c r="D58" s="2257"/>
      <c r="E58" s="2257"/>
      <c r="F58" s="2301" t="e">
        <f>$F$56</f>
        <v>#DIV/0!</v>
      </c>
      <c r="G58" s="2257"/>
      <c r="H58" s="2301">
        <f>IF(OR($F$20=$R$6,$F$20=$U$6),CO2データ!I234,IF($F$20=$S$6,CO2データ!L234,CO2データ!O234))</f>
        <v>7.1999999999999995E-2</v>
      </c>
      <c r="I58" s="2301">
        <f>IF(OR($F$20=$R$6,$F$20=$U$6),CO2データ!J234,IF($F$20=$S$6,CO2データ!M234,CO2データ!P234))</f>
        <v>0</v>
      </c>
      <c r="J58" s="2301">
        <f>IF(OR($F$20=$R$6,$F$20=$U$6),CO2データ!K234,IF($F$20=$S$6,CO2データ!N234,CO2データ!Q234))</f>
        <v>7.1999999999999995E-2</v>
      </c>
      <c r="K58" s="2329"/>
      <c r="L58" s="2327">
        <f t="shared" si="8"/>
        <v>5.04E-2</v>
      </c>
      <c r="M58" s="2329"/>
      <c r="N58" s="2327"/>
      <c r="O58" s="2331">
        <f t="shared" si="9"/>
        <v>7.1999999999999995E-2</v>
      </c>
      <c r="P58" t="s">
        <v>130</v>
      </c>
    </row>
    <row r="59" spans="2:16" hidden="1">
      <c r="B59" s="2325"/>
      <c r="C59" s="2257"/>
      <c r="D59" s="2257"/>
      <c r="E59" s="2257"/>
      <c r="F59" s="2301" t="e">
        <f>$F$56</f>
        <v>#DIV/0!</v>
      </c>
      <c r="G59" s="2257"/>
      <c r="H59" s="2301">
        <f>IF(OR($F$20=$R$6,$F$20=$U$6),CO2データ!I235,IF($F$20=$S$6,CO2データ!L235,CO2データ!O235))</f>
        <v>0</v>
      </c>
      <c r="I59" s="2301">
        <f>IF(OR($F$20=$R$6,$F$20=$U$6),CO2データ!J235,IF($F$20=$S$6,CO2データ!M235,CO2データ!P235))</f>
        <v>0</v>
      </c>
      <c r="J59" s="2301">
        <f>IF(OR($F$20=$R$6,$F$20=$U$6),CO2データ!K235,IF($F$20=$S$6,CO2データ!N235,CO2データ!Q235))</f>
        <v>0</v>
      </c>
      <c r="K59" s="2329"/>
      <c r="L59" s="2327">
        <f t="shared" si="8"/>
        <v>0</v>
      </c>
      <c r="M59" s="2329"/>
      <c r="N59" s="2327"/>
      <c r="O59" s="2331">
        <f t="shared" si="9"/>
        <v>0</v>
      </c>
      <c r="P59" t="s">
        <v>130</v>
      </c>
    </row>
    <row r="60" spans="2:16" hidden="1">
      <c r="B60" s="2325"/>
      <c r="C60" s="2257"/>
      <c r="D60" s="2257"/>
      <c r="E60" s="2257"/>
      <c r="F60" s="2301" t="e">
        <f>$F$56</f>
        <v>#DIV/0!</v>
      </c>
      <c r="G60" s="2257"/>
      <c r="H60" s="2301">
        <f>IF(OR($F$20=$R$6,$F$20=$U$6),CO2データ!I236,IF($F$20=$S$6,CO2データ!L236,CO2データ!O236))</f>
        <v>2.4E-2</v>
      </c>
      <c r="I60" s="2301">
        <f>IF(OR($F$20=$R$6,$F$20=$U$6),CO2データ!J236,IF($F$20=$S$6,CO2データ!M236,CO2データ!P236))</f>
        <v>0</v>
      </c>
      <c r="J60" s="2301">
        <f>IF(OR($F$20=$R$6,$F$20=$U$6),CO2データ!K236,IF($F$20=$S$6,CO2データ!N236,CO2データ!Q236))</f>
        <v>2.4E-2</v>
      </c>
      <c r="K60" s="2329"/>
      <c r="L60" s="2327">
        <f t="shared" si="8"/>
        <v>1.6800000000000002E-2</v>
      </c>
      <c r="M60" s="2329"/>
      <c r="N60" s="2327"/>
      <c r="O60" s="2331">
        <f t="shared" si="9"/>
        <v>2.4E-2</v>
      </c>
      <c r="P60" t="s">
        <v>130</v>
      </c>
    </row>
    <row r="61" spans="2:16" hidden="1">
      <c r="B61" s="2325"/>
      <c r="C61" s="2257"/>
      <c r="D61" s="2257"/>
      <c r="E61" s="2257"/>
      <c r="F61" s="2301" t="e">
        <f>$F$56</f>
        <v>#DIV/0!</v>
      </c>
      <c r="G61" s="2257"/>
      <c r="H61" s="2301">
        <f>IF(OR($F$20=$R$6,$F$20=$U$6),CO2データ!I237,IF($F$20=$S$6,CO2データ!L237,CO2データ!O237))</f>
        <v>2E-3</v>
      </c>
      <c r="I61" s="2301">
        <f>IF(OR($F$20=$R$6,$F$20=$U$6),CO2データ!J237,IF($F$20=$S$6,CO2データ!M237,CO2データ!P237))</f>
        <v>0</v>
      </c>
      <c r="J61" s="2301">
        <f>IF(OR($F$20=$R$6,$F$20=$U$6),CO2データ!K237,IF($F$20=$S$6,CO2データ!N237,CO2データ!Q237))</f>
        <v>1.8600000000000001E-3</v>
      </c>
      <c r="K61" s="2329"/>
      <c r="L61" s="2327">
        <f t="shared" si="8"/>
        <v>1.4000000000000002E-3</v>
      </c>
      <c r="M61" s="2329"/>
      <c r="N61" s="2327"/>
      <c r="O61" s="2331">
        <f t="shared" si="9"/>
        <v>2E-3</v>
      </c>
      <c r="P61" t="s">
        <v>130</v>
      </c>
    </row>
    <row r="62" spans="2:16" hidden="1">
      <c r="B62" s="2325"/>
      <c r="C62" s="2257"/>
      <c r="D62" s="2257" t="s">
        <v>205</v>
      </c>
      <c r="E62" s="2257"/>
      <c r="F62" s="2301" t="e">
        <f>F14</f>
        <v>#DIV/0!</v>
      </c>
      <c r="G62" s="2257"/>
      <c r="H62" s="2301">
        <f>IF(OR($F$20=$R$6,$F$20=$U$6),CO2データ!I238,IF($F$20=$S$6,CO2データ!L238,CO2データ!O238))</f>
        <v>0.34499999999999997</v>
      </c>
      <c r="I62" s="2301">
        <f>IF(OR($F$20=$R$6,$F$20=$U$6),CO2データ!J238,IF($F$20=$S$6,CO2データ!M238,CO2データ!P238))</f>
        <v>0</v>
      </c>
      <c r="J62" s="2301">
        <f>IF(OR($F$20=$R$6,$F$20=$U$6),CO2データ!K238,IF($F$20=$S$6,CO2データ!N238,CO2データ!Q238))</f>
        <v>0</v>
      </c>
      <c r="K62" s="2329"/>
      <c r="L62" s="2327">
        <f t="shared" si="8"/>
        <v>0.24149999999999999</v>
      </c>
      <c r="M62" s="2329"/>
      <c r="N62" s="2327"/>
      <c r="O62" s="2331">
        <f t="shared" si="9"/>
        <v>0.34499999999999997</v>
      </c>
      <c r="P62" t="s">
        <v>200</v>
      </c>
    </row>
    <row r="63" spans="2:16" hidden="1">
      <c r="B63" s="2325"/>
      <c r="C63" s="2257"/>
      <c r="D63" s="2257"/>
      <c r="E63" s="2257"/>
      <c r="F63" s="2301" t="e">
        <f>$F$62</f>
        <v>#DIV/0!</v>
      </c>
      <c r="G63" s="2257"/>
      <c r="H63" s="2301">
        <f>IF(OR($F$20=$R$6,$F$20=$U$6),CO2データ!I239,IF($F$20=$S$6,CO2データ!L239,CO2データ!O239))</f>
        <v>0</v>
      </c>
      <c r="I63" s="2301">
        <f>IF(OR($F$20=$R$6,$F$20=$U$6),CO2データ!J239,IF($F$20=$S$6,CO2データ!M239,CO2データ!P239))</f>
        <v>0</v>
      </c>
      <c r="J63" s="2301">
        <f>IF(OR($F$20=$R$6,$F$20=$U$6),CO2データ!K239,IF($F$20=$S$6,CO2データ!N239,CO2データ!Q239))</f>
        <v>0.34499999999999997</v>
      </c>
      <c r="K63" s="2329"/>
      <c r="L63" s="2327">
        <f t="shared" si="8"/>
        <v>0</v>
      </c>
      <c r="M63" s="2329"/>
      <c r="N63" s="2327"/>
      <c r="O63" s="2331">
        <f t="shared" si="9"/>
        <v>0</v>
      </c>
      <c r="P63" t="s">
        <v>200</v>
      </c>
    </row>
    <row r="64" spans="2:16" hidden="1">
      <c r="B64" s="2325"/>
      <c r="C64" s="2257"/>
      <c r="D64" s="2257"/>
      <c r="E64" s="2257"/>
      <c r="F64" s="2301" t="e">
        <f>$F$62</f>
        <v>#DIV/0!</v>
      </c>
      <c r="G64" s="2257"/>
      <c r="H64" s="2301">
        <f>IF(OR($F$20=$R$6,$F$20=$U$6),CO2データ!I240,IF($F$20=$S$6,CO2データ!L240,CO2データ!O240))</f>
        <v>0.13900000000000001</v>
      </c>
      <c r="I64" s="2301">
        <f>IF(OR($F$20=$R$6,$F$20=$U$6),CO2データ!J240,IF($F$20=$S$6,CO2データ!M240,CO2データ!P240))</f>
        <v>0</v>
      </c>
      <c r="J64" s="2301">
        <f>IF(OR($F$20=$R$6,$F$20=$U$6),CO2データ!K240,IF($F$20=$S$6,CO2データ!N240,CO2データ!Q240))</f>
        <v>0.13900000000000001</v>
      </c>
      <c r="K64" s="2329"/>
      <c r="L64" s="2327">
        <f t="shared" si="8"/>
        <v>9.7300000000000011E-2</v>
      </c>
      <c r="M64" s="2329"/>
      <c r="N64" s="2327"/>
      <c r="O64" s="2331">
        <f t="shared" si="9"/>
        <v>0.13900000000000001</v>
      </c>
      <c r="P64" t="s">
        <v>130</v>
      </c>
    </row>
    <row r="65" spans="2:16" hidden="1">
      <c r="B65" s="2325"/>
      <c r="C65" s="2257"/>
      <c r="D65" s="2257"/>
      <c r="E65" s="2257"/>
      <c r="F65" s="2301" t="e">
        <f>$F$62</f>
        <v>#DIV/0!</v>
      </c>
      <c r="G65" s="2257"/>
      <c r="H65" s="2301">
        <f>IF(OR($F$20=$R$6,$F$20=$U$6),CO2データ!I241,IF($F$20=$S$6,CO2データ!L241,CO2データ!O241))</f>
        <v>0</v>
      </c>
      <c r="I65" s="2301">
        <f>IF(OR($F$20=$R$6,$F$20=$U$6),CO2データ!J241,IF($F$20=$S$6,CO2データ!M241,CO2データ!P241))</f>
        <v>0</v>
      </c>
      <c r="J65" s="2301">
        <f>IF(OR($F$20=$R$6,$F$20=$U$6),CO2データ!K241,IF($F$20=$S$6,CO2データ!N241,CO2データ!Q241))</f>
        <v>0</v>
      </c>
      <c r="K65" s="2329"/>
      <c r="L65" s="2327">
        <f t="shared" si="8"/>
        <v>0</v>
      </c>
      <c r="M65" s="2329"/>
      <c r="N65" s="2327"/>
      <c r="O65" s="2331">
        <f t="shared" si="9"/>
        <v>0</v>
      </c>
      <c r="P65" t="s">
        <v>130</v>
      </c>
    </row>
    <row r="66" spans="2:16" hidden="1">
      <c r="B66" s="2325"/>
      <c r="C66" s="2257"/>
      <c r="D66" s="2257"/>
      <c r="E66" s="2257"/>
      <c r="F66" s="2301" t="e">
        <f>$F$62</f>
        <v>#DIV/0!</v>
      </c>
      <c r="G66" s="2257"/>
      <c r="H66" s="2301">
        <f>IF(OR($F$20=$R$6,$F$20=$U$6),CO2データ!I242,IF($F$20=$S$6,CO2データ!L242,CO2データ!O242))</f>
        <v>0.04</v>
      </c>
      <c r="I66" s="2301">
        <f>IF(OR($F$20=$R$6,$F$20=$U$6),CO2データ!J242,IF($F$20=$S$6,CO2データ!M242,CO2データ!P242))</f>
        <v>0</v>
      </c>
      <c r="J66" s="2301">
        <f>IF(OR($F$20=$R$6,$F$20=$U$6),CO2データ!K242,IF($F$20=$S$6,CO2データ!N242,CO2データ!Q242))</f>
        <v>0.04</v>
      </c>
      <c r="K66" s="2329"/>
      <c r="L66" s="2327">
        <f t="shared" si="8"/>
        <v>2.8000000000000001E-2</v>
      </c>
      <c r="M66" s="2329"/>
      <c r="N66" s="2327"/>
      <c r="O66" s="2331">
        <f t="shared" si="9"/>
        <v>0.04</v>
      </c>
      <c r="P66" t="s">
        <v>130</v>
      </c>
    </row>
    <row r="67" spans="2:16" hidden="1">
      <c r="B67" s="2325"/>
      <c r="C67" s="2257"/>
      <c r="D67" s="2257"/>
      <c r="E67" s="2257"/>
      <c r="F67" s="2301" t="e">
        <f>$F$62</f>
        <v>#DIV/0!</v>
      </c>
      <c r="G67" s="2257"/>
      <c r="H67" s="2301">
        <f>IF(OR($F$20=$R$6,$F$20=$U$6),CO2データ!I243,IF($F$20=$S$6,CO2データ!L243,CO2データ!O243))</f>
        <v>4.0000000000000001E-3</v>
      </c>
      <c r="I67" s="2301">
        <f>IF(OR($F$20=$R$6,$F$20=$U$6),CO2データ!J243,IF($F$20=$S$6,CO2データ!M243,CO2データ!P243))</f>
        <v>0</v>
      </c>
      <c r="J67" s="2301">
        <f>IF(OR($F$20=$R$6,$F$20=$U$6),CO2データ!K243,IF($F$20=$S$6,CO2データ!N243,CO2データ!Q243))</f>
        <v>4.3499999999999997E-3</v>
      </c>
      <c r="K67" s="2329"/>
      <c r="L67" s="2327">
        <f t="shared" si="8"/>
        <v>2.8000000000000004E-3</v>
      </c>
      <c r="M67" s="2329"/>
      <c r="N67" s="2327"/>
      <c r="O67" s="2331">
        <f t="shared" si="9"/>
        <v>4.0000000000000001E-3</v>
      </c>
      <c r="P67" t="s">
        <v>130</v>
      </c>
    </row>
    <row r="68" spans="2:16" hidden="1">
      <c r="B68" s="2325"/>
      <c r="C68" s="2257"/>
      <c r="D68" s="2257" t="s">
        <v>535</v>
      </c>
      <c r="E68" s="2257"/>
      <c r="F68" s="2301" t="e">
        <f>F15</f>
        <v>#DIV/0!</v>
      </c>
      <c r="G68" s="2257"/>
      <c r="H68" s="2301">
        <f>IF(OR($F$20=$R$6,$F$20=$U$6),CO2データ!I244,IF($F$20=$S$6,CO2データ!L244,CO2データ!O244))</f>
        <v>0.35399999999999998</v>
      </c>
      <c r="I68" s="2301">
        <f>IF(OR($F$20=$R$6,$F$20=$U$6),CO2データ!J244,IF($F$20=$S$6,CO2データ!M244,CO2データ!P244))</f>
        <v>0</v>
      </c>
      <c r="J68" s="2301">
        <f>IF(OR($F$20=$R$6,$F$20=$U$6),CO2データ!K244,IF($F$20=$S$6,CO2データ!N244,CO2データ!Q244))</f>
        <v>0</v>
      </c>
      <c r="K68" s="2329"/>
      <c r="L68" s="2327">
        <f t="shared" si="8"/>
        <v>0.24779999999999999</v>
      </c>
      <c r="M68" s="2329"/>
      <c r="N68" s="2327"/>
      <c r="O68" s="2331">
        <f t="shared" si="9"/>
        <v>0.35399999999999998</v>
      </c>
      <c r="P68" t="s">
        <v>200</v>
      </c>
    </row>
    <row r="69" spans="2:16" hidden="1">
      <c r="B69" s="2325"/>
      <c r="C69" s="2257"/>
      <c r="D69" s="2257"/>
      <c r="E69" s="2257"/>
      <c r="F69" s="2301" t="e">
        <f>$F$68</f>
        <v>#DIV/0!</v>
      </c>
      <c r="G69" s="2257"/>
      <c r="H69" s="2301">
        <f>IF(OR($F$20=$R$6,$F$20=$U$6),CO2データ!I245,IF($F$20=$S$6,CO2データ!L245,CO2データ!O245))</f>
        <v>0</v>
      </c>
      <c r="I69" s="2301">
        <f>IF(OR($F$20=$R$6,$F$20=$U$6),CO2データ!J245,IF($F$20=$S$6,CO2データ!M245,CO2データ!P245))</f>
        <v>0</v>
      </c>
      <c r="J69" s="2301">
        <f>IF(OR($F$20=$R$6,$F$20=$U$6),CO2データ!K245,IF($F$20=$S$6,CO2データ!N245,CO2データ!Q245))</f>
        <v>0.35399999999999998</v>
      </c>
      <c r="K69" s="2329"/>
      <c r="L69" s="2327">
        <f t="shared" si="8"/>
        <v>0</v>
      </c>
      <c r="M69" s="2329"/>
      <c r="N69" s="2327"/>
      <c r="O69" s="2331">
        <f t="shared" si="9"/>
        <v>0</v>
      </c>
      <c r="P69" t="s">
        <v>200</v>
      </c>
    </row>
    <row r="70" spans="2:16" hidden="1">
      <c r="B70" s="2325"/>
      <c r="C70" s="2257"/>
      <c r="D70" s="2257"/>
      <c r="E70" s="2257"/>
      <c r="F70" s="2301" t="e">
        <f>$F$68</f>
        <v>#DIV/0!</v>
      </c>
      <c r="G70" s="2257"/>
      <c r="H70" s="2301">
        <f>IF(OR($F$20=$R$6,$F$20=$U$6),CO2データ!I246,IF($F$20=$S$6,CO2データ!L246,CO2データ!O246))</f>
        <v>8.7999999999999995E-2</v>
      </c>
      <c r="I70" s="2301">
        <f>IF(OR($F$20=$R$6,$F$20=$U$6),CO2データ!J246,IF($F$20=$S$6,CO2データ!M246,CO2データ!P246))</f>
        <v>0</v>
      </c>
      <c r="J70" s="2301">
        <f>IF(OR($F$20=$R$6,$F$20=$U$6),CO2データ!K246,IF($F$20=$S$6,CO2データ!N246,CO2データ!Q246))</f>
        <v>8.7999999999999995E-2</v>
      </c>
      <c r="K70" s="2329"/>
      <c r="L70" s="2327">
        <f t="shared" si="8"/>
        <v>6.1600000000000002E-2</v>
      </c>
      <c r="M70" s="2329"/>
      <c r="N70" s="2327"/>
      <c r="O70" s="2331">
        <f t="shared" si="9"/>
        <v>8.7999999999999995E-2</v>
      </c>
      <c r="P70" t="s">
        <v>130</v>
      </c>
    </row>
    <row r="71" spans="2:16" hidden="1">
      <c r="B71" s="2325"/>
      <c r="C71" s="2257"/>
      <c r="D71" s="2257"/>
      <c r="E71" s="2257"/>
      <c r="F71" s="2301" t="e">
        <f>$F$68</f>
        <v>#DIV/0!</v>
      </c>
      <c r="G71" s="2257"/>
      <c r="H71" s="2301">
        <f>IF(OR($F$20=$R$6,$F$20=$U$6),CO2データ!I247,IF($F$20=$S$6,CO2データ!L247,CO2データ!O247))</f>
        <v>0</v>
      </c>
      <c r="I71" s="2301">
        <f>IF(OR($F$20=$R$6,$F$20=$U$6),CO2データ!J247,IF($F$20=$S$6,CO2データ!M247,CO2データ!P247))</f>
        <v>0</v>
      </c>
      <c r="J71" s="2301">
        <f>IF(OR($F$20=$R$6,$F$20=$U$6),CO2データ!K247,IF($F$20=$S$6,CO2データ!N247,CO2データ!Q247))</f>
        <v>0</v>
      </c>
      <c r="K71" s="2329"/>
      <c r="L71" s="2327">
        <f t="shared" si="8"/>
        <v>0</v>
      </c>
      <c r="M71" s="2329"/>
      <c r="N71" s="2327"/>
      <c r="O71" s="2331">
        <f t="shared" si="9"/>
        <v>0</v>
      </c>
      <c r="P71" t="s">
        <v>130</v>
      </c>
    </row>
    <row r="72" spans="2:16" hidden="1">
      <c r="B72" s="2325"/>
      <c r="C72" s="2257"/>
      <c r="D72" s="2257"/>
      <c r="E72" s="2257"/>
      <c r="F72" s="2301" t="e">
        <f>$F$68</f>
        <v>#DIV/0!</v>
      </c>
      <c r="G72" s="2257"/>
      <c r="H72" s="2301">
        <f>IF(OR($F$20=$R$6,$F$20=$U$6),CO2データ!I248,IF($F$20=$S$6,CO2データ!L248,CO2データ!O248))</f>
        <v>3.1E-2</v>
      </c>
      <c r="I72" s="2301">
        <f>IF(OR($F$20=$R$6,$F$20=$U$6),CO2データ!J248,IF($F$20=$S$6,CO2データ!M248,CO2データ!P248))</f>
        <v>0</v>
      </c>
      <c r="J72" s="2301">
        <f>IF(OR($F$20=$R$6,$F$20=$U$6),CO2データ!K248,IF($F$20=$S$6,CO2データ!N248,CO2データ!Q248))</f>
        <v>3.1E-2</v>
      </c>
      <c r="K72" s="2329"/>
      <c r="L72" s="2327">
        <f t="shared" si="8"/>
        <v>2.1700000000000001E-2</v>
      </c>
      <c r="M72" s="2329"/>
      <c r="N72" s="2327"/>
      <c r="O72" s="2331">
        <f t="shared" si="9"/>
        <v>3.1E-2</v>
      </c>
      <c r="P72" t="s">
        <v>130</v>
      </c>
    </row>
    <row r="73" spans="2:16" hidden="1">
      <c r="B73" s="2325"/>
      <c r="C73" s="2257"/>
      <c r="D73" s="2257"/>
      <c r="E73" s="2257"/>
      <c r="F73" s="2301" t="e">
        <f>$F$68</f>
        <v>#DIV/0!</v>
      </c>
      <c r="G73" s="2257"/>
      <c r="H73" s="2301">
        <f>IF(OR($F$20=$R$6,$F$20=$U$6),CO2データ!I249,IF($F$20=$S$6,CO2データ!L249,CO2データ!O249))</f>
        <v>2E-3</v>
      </c>
      <c r="I73" s="2301">
        <f>IF(OR($F$20=$R$6,$F$20=$U$6),CO2データ!J249,IF($F$20=$S$6,CO2データ!M249,CO2データ!P249))</f>
        <v>0</v>
      </c>
      <c r="J73" s="2301">
        <f>IF(OR($F$20=$R$6,$F$20=$U$6),CO2データ!K249,IF($F$20=$S$6,CO2データ!N249,CO2データ!Q249))</f>
        <v>2.0999999999999999E-3</v>
      </c>
      <c r="K73" s="2329"/>
      <c r="L73" s="2327">
        <f t="shared" si="8"/>
        <v>1.4000000000000002E-3</v>
      </c>
      <c r="M73" s="2329"/>
      <c r="N73" s="2327"/>
      <c r="O73" s="2331">
        <f t="shared" si="9"/>
        <v>2E-3</v>
      </c>
      <c r="P73" t="s">
        <v>130</v>
      </c>
    </row>
    <row r="74" spans="2:16" hidden="1">
      <c r="B74" s="2325"/>
      <c r="C74" s="2257"/>
      <c r="D74" s="2257" t="s">
        <v>206</v>
      </c>
      <c r="E74" s="2257"/>
      <c r="F74" s="2301" t="e">
        <f>F16</f>
        <v>#DIV/0!</v>
      </c>
      <c r="G74" s="2257"/>
      <c r="H74" s="2301">
        <f>IF(OR($F$20=$R$6,$F$20=$U$6),CO2データ!I250,IF($F$20=$S$6,CO2データ!L250,CO2データ!O250))</f>
        <v>0.317</v>
      </c>
      <c r="I74" s="2301">
        <f>IF(OR($F$20=$R$6,$F$20=$U$6),CO2データ!J250,IF($F$20=$S$6,CO2データ!M250,CO2データ!P250))</f>
        <v>0</v>
      </c>
      <c r="J74" s="2301">
        <f>IF(OR($F$20=$R$6,$F$20=$U$6),CO2データ!K250,IF($F$20=$S$6,CO2データ!N250,CO2データ!Q250))</f>
        <v>0</v>
      </c>
      <c r="K74" s="2329"/>
      <c r="L74" s="2327">
        <f t="shared" si="8"/>
        <v>0.22189999999999999</v>
      </c>
      <c r="M74" s="2329"/>
      <c r="N74" s="2327"/>
      <c r="O74" s="2331">
        <f t="shared" si="9"/>
        <v>0.317</v>
      </c>
      <c r="P74" t="s">
        <v>200</v>
      </c>
    </row>
    <row r="75" spans="2:16" hidden="1">
      <c r="B75" s="2325"/>
      <c r="C75" s="2257"/>
      <c r="D75" s="2257"/>
      <c r="E75" s="2257"/>
      <c r="F75" s="2301" t="e">
        <f>$F$74</f>
        <v>#DIV/0!</v>
      </c>
      <c r="G75" s="2257"/>
      <c r="H75" s="2301">
        <f>IF(OR($F$20=$R$6,$F$20=$U$6),CO2データ!I251,IF($F$20=$S$6,CO2データ!L251,CO2データ!O251))</f>
        <v>0</v>
      </c>
      <c r="I75" s="2301">
        <f>IF(OR($F$20=$R$6,$F$20=$U$6),CO2データ!J251,IF($F$20=$S$6,CO2データ!M251,CO2データ!P251))</f>
        <v>0</v>
      </c>
      <c r="J75" s="2301">
        <f>IF(OR($F$20=$R$6,$F$20=$U$6),CO2データ!K251,IF($F$20=$S$6,CO2データ!N251,CO2データ!Q251))</f>
        <v>0.317</v>
      </c>
      <c r="K75" s="2329"/>
      <c r="L75" s="2327">
        <f t="shared" si="8"/>
        <v>0</v>
      </c>
      <c r="M75" s="2329"/>
      <c r="N75" s="2327"/>
      <c r="O75" s="2331">
        <f t="shared" si="9"/>
        <v>0</v>
      </c>
      <c r="P75" t="s">
        <v>200</v>
      </c>
    </row>
    <row r="76" spans="2:16" hidden="1">
      <c r="B76" s="2325"/>
      <c r="C76" s="2257"/>
      <c r="D76" s="2257"/>
      <c r="E76" s="2257"/>
      <c r="F76" s="2301" t="e">
        <f>$F$74</f>
        <v>#DIV/0!</v>
      </c>
      <c r="G76" s="2257"/>
      <c r="H76" s="2301">
        <f>IF(OR($F$20=$R$6,$F$20=$U$6),CO2データ!I252,IF($F$20=$S$6,CO2データ!L252,CO2データ!O252))</f>
        <v>7.3999999999999996E-2</v>
      </c>
      <c r="I76" s="2301">
        <f>IF(OR($F$20=$R$6,$F$20=$U$6),CO2データ!J252,IF($F$20=$S$6,CO2データ!M252,CO2データ!P252))</f>
        <v>0</v>
      </c>
      <c r="J76" s="2301">
        <f>IF(OR($F$20=$R$6,$F$20=$U$6),CO2データ!K252,IF($F$20=$S$6,CO2データ!N252,CO2データ!Q252))</f>
        <v>7.3999999999999996E-2</v>
      </c>
      <c r="K76" s="2329"/>
      <c r="L76" s="2327">
        <f t="shared" si="8"/>
        <v>5.1799999999999999E-2</v>
      </c>
      <c r="M76" s="2329"/>
      <c r="N76" s="2327"/>
      <c r="O76" s="2331">
        <f t="shared" si="9"/>
        <v>7.3999999999999996E-2</v>
      </c>
      <c r="P76" t="s">
        <v>130</v>
      </c>
    </row>
    <row r="77" spans="2:16" hidden="1">
      <c r="B77" s="2325"/>
      <c r="C77" s="2257"/>
      <c r="D77" s="2257"/>
      <c r="E77" s="2257"/>
      <c r="F77" s="2301" t="e">
        <f>$F$74</f>
        <v>#DIV/0!</v>
      </c>
      <c r="G77" s="2257"/>
      <c r="H77" s="2301">
        <f>IF(OR($F$20=$R$6,$F$20=$U$6),CO2データ!I253,IF($F$20=$S$6,CO2データ!L253,CO2データ!O253))</f>
        <v>0</v>
      </c>
      <c r="I77" s="2301">
        <f>IF(OR($F$20=$R$6,$F$20=$U$6),CO2データ!J253,IF($F$20=$S$6,CO2データ!M253,CO2データ!P253))</f>
        <v>0</v>
      </c>
      <c r="J77" s="2301">
        <f>IF(OR($F$20=$R$6,$F$20=$U$6),CO2データ!K253,IF($F$20=$S$6,CO2データ!N253,CO2データ!Q253))</f>
        <v>0</v>
      </c>
      <c r="K77" s="2329"/>
      <c r="L77" s="2327">
        <f t="shared" si="8"/>
        <v>0</v>
      </c>
      <c r="M77" s="2329"/>
      <c r="N77" s="2327"/>
      <c r="O77" s="2331">
        <f t="shared" si="9"/>
        <v>0</v>
      </c>
      <c r="P77" t="s">
        <v>130</v>
      </c>
    </row>
    <row r="78" spans="2:16" hidden="1">
      <c r="B78" s="2325"/>
      <c r="C78" s="2257"/>
      <c r="D78" s="2257"/>
      <c r="E78" s="2257"/>
      <c r="F78" s="2301" t="e">
        <f>$F$74</f>
        <v>#DIV/0!</v>
      </c>
      <c r="G78" s="2257"/>
      <c r="H78" s="2301">
        <f>IF(OR($F$20=$R$6,$F$20=$U$6),CO2データ!I254,IF($F$20=$S$6,CO2データ!L254,CO2データ!O254))</f>
        <v>3.4000000000000002E-2</v>
      </c>
      <c r="I78" s="2301">
        <f>IF(OR($F$20=$R$6,$F$20=$U$6),CO2データ!J254,IF($F$20=$S$6,CO2データ!M254,CO2データ!P254))</f>
        <v>0</v>
      </c>
      <c r="J78" s="2301">
        <f>IF(OR($F$20=$R$6,$F$20=$U$6),CO2データ!K254,IF($F$20=$S$6,CO2データ!N254,CO2データ!Q254))</f>
        <v>3.4000000000000002E-2</v>
      </c>
      <c r="K78" s="2329"/>
      <c r="L78" s="2327">
        <f t="shared" si="8"/>
        <v>2.3800000000000002E-2</v>
      </c>
      <c r="M78" s="2329"/>
      <c r="N78" s="2327"/>
      <c r="O78" s="2331">
        <f t="shared" si="9"/>
        <v>3.4000000000000002E-2</v>
      </c>
      <c r="P78" t="s">
        <v>130</v>
      </c>
    </row>
    <row r="79" spans="2:16" hidden="1">
      <c r="B79" s="2325"/>
      <c r="C79" s="2257"/>
      <c r="D79" s="2257"/>
      <c r="E79" s="2257"/>
      <c r="F79" s="2301" t="e">
        <f>$F$74</f>
        <v>#DIV/0!</v>
      </c>
      <c r="G79" s="2257"/>
      <c r="H79" s="2301">
        <f>IF(OR($F$20=$R$6,$F$20=$U$6),CO2データ!I255,IF($F$20=$S$6,CO2データ!L255,CO2データ!O255))</f>
        <v>2E-3</v>
      </c>
      <c r="I79" s="2301">
        <f>IF(OR($F$20=$R$6,$F$20=$U$6),CO2データ!J255,IF($F$20=$S$6,CO2データ!M255,CO2データ!P255))</f>
        <v>0</v>
      </c>
      <c r="J79" s="2301">
        <f>IF(OR($F$20=$R$6,$F$20=$U$6),CO2データ!K255,IF($F$20=$S$6,CO2データ!N255,CO2データ!Q255))</f>
        <v>2E-3</v>
      </c>
      <c r="K79" s="2329"/>
      <c r="L79" s="2327">
        <f t="shared" si="8"/>
        <v>1.4000000000000002E-3</v>
      </c>
      <c r="M79" s="2329"/>
      <c r="N79" s="2327"/>
      <c r="O79" s="2331">
        <f t="shared" si="9"/>
        <v>2E-3</v>
      </c>
      <c r="P79" t="s">
        <v>130</v>
      </c>
    </row>
    <row r="80" spans="2:16" hidden="1">
      <c r="B80" s="2325"/>
      <c r="C80" s="2257"/>
      <c r="D80" s="2257" t="s">
        <v>1720</v>
      </c>
      <c r="E80" s="2257"/>
      <c r="F80" s="2301" t="e">
        <f>F17</f>
        <v>#DIV/0!</v>
      </c>
      <c r="G80" s="2257"/>
      <c r="H80" s="2301">
        <f>IF(OR($F$20=$R$6,$F$20=$U$6),CO2データ!I256,IF($F$20=$S$6,CO2データ!L256,CO2データ!O256))</f>
        <v>0.436</v>
      </c>
      <c r="I80" s="2301">
        <f>IF(OR($F$20=$R$6,$F$20=$U$6),CO2データ!J256,IF($F$20=$S$6,CO2データ!M256,CO2データ!P256))</f>
        <v>0</v>
      </c>
      <c r="J80" s="2301">
        <f>IF(OR($F$20=$R$6,$F$20=$U$6),CO2データ!K256,IF($F$20=$S$6,CO2データ!N256,CO2データ!Q256))</f>
        <v>0</v>
      </c>
      <c r="K80" s="2329"/>
      <c r="L80" s="2327">
        <f t="shared" si="8"/>
        <v>0.30520000000000003</v>
      </c>
      <c r="M80" s="2329"/>
      <c r="N80" s="2327"/>
      <c r="O80" s="2331">
        <f t="shared" si="9"/>
        <v>0.436</v>
      </c>
      <c r="P80" t="s">
        <v>200</v>
      </c>
    </row>
    <row r="81" spans="2:16" hidden="1">
      <c r="B81" s="2325"/>
      <c r="C81" s="2257"/>
      <c r="D81" s="2257"/>
      <c r="E81" s="2257"/>
      <c r="F81" s="2301" t="e">
        <f>$F$80</f>
        <v>#DIV/0!</v>
      </c>
      <c r="G81" s="2257"/>
      <c r="H81" s="2301">
        <f>IF(OR($F$20=$R$6,$F$20=$U$6),CO2データ!I257,IF($F$20=$S$6,CO2データ!L257,CO2データ!O257))</f>
        <v>0</v>
      </c>
      <c r="I81" s="2301">
        <f>IF(OR($F$20=$R$6,$F$20=$U$6),CO2データ!J257,IF($F$20=$S$6,CO2データ!M257,CO2データ!P257))</f>
        <v>0</v>
      </c>
      <c r="J81" s="2301">
        <f>IF(OR($F$20=$R$6,$F$20=$U$6),CO2データ!K257,IF($F$20=$S$6,CO2データ!N257,CO2データ!Q257))</f>
        <v>0.436</v>
      </c>
      <c r="K81" s="2329"/>
      <c r="L81" s="2327">
        <f t="shared" si="8"/>
        <v>0</v>
      </c>
      <c r="M81" s="2329"/>
      <c r="N81" s="2327"/>
      <c r="O81" s="2331">
        <f t="shared" si="9"/>
        <v>0</v>
      </c>
      <c r="P81" t="s">
        <v>200</v>
      </c>
    </row>
    <row r="82" spans="2:16" hidden="1">
      <c r="B82" s="2325"/>
      <c r="C82" s="2257"/>
      <c r="D82" s="2257"/>
      <c r="E82" s="2257"/>
      <c r="F82" s="2301" t="e">
        <f>$F$80</f>
        <v>#DIV/0!</v>
      </c>
      <c r="G82" s="2257"/>
      <c r="H82" s="2301">
        <f>IF(OR($F$20=$R$6,$F$20=$U$6),CO2データ!I258,IF($F$20=$S$6,CO2データ!L258,CO2データ!O258))</f>
        <v>0.10299999999999999</v>
      </c>
      <c r="I82" s="2301">
        <f>IF(OR($F$20=$R$6,$F$20=$U$6),CO2データ!J258,IF($F$20=$S$6,CO2データ!M258,CO2データ!P258))</f>
        <v>0</v>
      </c>
      <c r="J82" s="2301">
        <f>IF(OR($F$20=$R$6,$F$20=$U$6),CO2データ!K258,IF($F$20=$S$6,CO2データ!N258,CO2データ!Q258))</f>
        <v>0.10299999999999999</v>
      </c>
      <c r="K82" s="2329"/>
      <c r="L82" s="2327">
        <f t="shared" si="8"/>
        <v>7.2099999999999997E-2</v>
      </c>
      <c r="M82" s="2329"/>
      <c r="N82" s="2327"/>
      <c r="O82" s="2331">
        <f t="shared" si="9"/>
        <v>0.10299999999999999</v>
      </c>
      <c r="P82" t="s">
        <v>130</v>
      </c>
    </row>
    <row r="83" spans="2:16" hidden="1">
      <c r="B83" s="2325"/>
      <c r="C83" s="2257"/>
      <c r="D83" s="2257"/>
      <c r="E83" s="2257"/>
      <c r="F83" s="2301" t="e">
        <f>$F$80</f>
        <v>#DIV/0!</v>
      </c>
      <c r="G83" s="2257"/>
      <c r="H83" s="2301">
        <f>IF(OR($F$20=$R$6,$F$20=$U$6),CO2データ!I259,IF($F$20=$S$6,CO2データ!L259,CO2データ!O259))</f>
        <v>0</v>
      </c>
      <c r="I83" s="2301">
        <f>IF(OR($F$20=$R$6,$F$20=$U$6),CO2データ!J259,IF($F$20=$S$6,CO2データ!M259,CO2データ!P259))</f>
        <v>0</v>
      </c>
      <c r="J83" s="2301">
        <f>IF(OR($F$20=$R$6,$F$20=$U$6),CO2データ!K259,IF($F$20=$S$6,CO2データ!N259,CO2データ!Q259))</f>
        <v>0</v>
      </c>
      <c r="K83" s="2329"/>
      <c r="L83" s="2327">
        <f t="shared" si="8"/>
        <v>0</v>
      </c>
      <c r="M83" s="2329"/>
      <c r="N83" s="2327"/>
      <c r="O83" s="2331">
        <f t="shared" si="9"/>
        <v>0</v>
      </c>
      <c r="P83" t="s">
        <v>130</v>
      </c>
    </row>
    <row r="84" spans="2:16" hidden="1">
      <c r="B84" s="2325"/>
      <c r="C84" s="2257"/>
      <c r="D84" s="2257"/>
      <c r="E84" s="2257"/>
      <c r="F84" s="2301" t="e">
        <f>$F$80</f>
        <v>#DIV/0!</v>
      </c>
      <c r="G84" s="2257"/>
      <c r="H84" s="2301">
        <f>IF(OR($F$20=$R$6,$F$20=$U$6),CO2データ!I260,IF($F$20=$S$6,CO2データ!L260,CO2データ!O260))</f>
        <v>3.4000000000000002E-2</v>
      </c>
      <c r="I84" s="2301">
        <f>IF(OR($F$20=$R$6,$F$20=$U$6),CO2データ!J260,IF($F$20=$S$6,CO2データ!M260,CO2データ!P260))</f>
        <v>0</v>
      </c>
      <c r="J84" s="2301">
        <f>IF(OR($F$20=$R$6,$F$20=$U$6),CO2データ!K260,IF($F$20=$S$6,CO2データ!N260,CO2データ!Q260))</f>
        <v>3.4000000000000002E-2</v>
      </c>
      <c r="K84" s="2329"/>
      <c r="L84" s="2327">
        <f t="shared" si="8"/>
        <v>2.3800000000000002E-2</v>
      </c>
      <c r="M84" s="2329"/>
      <c r="N84" s="2327"/>
      <c r="O84" s="2331">
        <f t="shared" si="9"/>
        <v>3.4000000000000002E-2</v>
      </c>
      <c r="P84" t="s">
        <v>130</v>
      </c>
    </row>
    <row r="85" spans="2:16" hidden="1">
      <c r="B85" s="2325"/>
      <c r="C85" s="2257"/>
      <c r="D85" s="2257"/>
      <c r="E85" s="2257"/>
      <c r="F85" s="2301" t="e">
        <f>$F$80</f>
        <v>#DIV/0!</v>
      </c>
      <c r="G85" s="2257"/>
      <c r="H85" s="2301">
        <f>IF(OR($F$20=$R$6,$F$20=$U$6),CO2データ!I261,IF($F$20=$S$6,CO2データ!L261,CO2データ!O261))</f>
        <v>5.0000000000000001E-3</v>
      </c>
      <c r="I85" s="2301">
        <f>IF(OR($F$20=$R$6,$F$20=$U$6),CO2データ!J261,IF($F$20=$S$6,CO2データ!M261,CO2データ!P261))</f>
        <v>0</v>
      </c>
      <c r="J85" s="2301">
        <f>IF(OR($F$20=$R$6,$F$20=$U$6),CO2データ!K261,IF($F$20=$S$6,CO2データ!N261,CO2データ!Q261))</f>
        <v>4.7099999999999998E-3</v>
      </c>
      <c r="K85" s="2329"/>
      <c r="L85" s="2327">
        <f t="shared" si="8"/>
        <v>3.5000000000000001E-3</v>
      </c>
      <c r="M85" s="2329"/>
      <c r="N85" s="2327"/>
      <c r="O85" s="2331">
        <f t="shared" si="9"/>
        <v>5.0000000000000001E-3</v>
      </c>
      <c r="P85" t="s">
        <v>130</v>
      </c>
    </row>
    <row r="86" spans="2:16" hidden="1">
      <c r="B86" s="2325"/>
      <c r="C86" s="2257"/>
      <c r="D86" s="2257" t="s">
        <v>816</v>
      </c>
      <c r="E86" s="2257"/>
      <c r="F86" s="2301" t="e">
        <f>F18</f>
        <v>#DIV/0!</v>
      </c>
      <c r="G86" s="2257"/>
      <c r="H86" s="2301">
        <f>IF(OR($F$20=$R$6,$F$20=$U$6),CO2データ!I262,IF($F$20=$S$6,CO2データ!L262,CO2データ!O262))</f>
        <v>0.32300000000000001</v>
      </c>
      <c r="I86" s="2301">
        <f>IF(OR($F$20=$R$6,$F$20=$U$6),CO2データ!J262,IF($F$20=$S$6,CO2データ!M262,CO2データ!P262))</f>
        <v>0</v>
      </c>
      <c r="J86" s="2301">
        <f>IF(OR($F$20=$R$6,$F$20=$U$6),CO2データ!K262,IF($F$20=$S$6,CO2データ!N262,CO2データ!Q262))</f>
        <v>0</v>
      </c>
      <c r="K86" s="2329"/>
      <c r="L86" s="2327">
        <f t="shared" si="8"/>
        <v>0.22610000000000002</v>
      </c>
      <c r="M86" s="2329"/>
      <c r="N86" s="2327"/>
      <c r="O86" s="2331">
        <f t="shared" si="9"/>
        <v>0.32300000000000001</v>
      </c>
      <c r="P86" t="s">
        <v>200</v>
      </c>
    </row>
    <row r="87" spans="2:16" hidden="1">
      <c r="B87" s="2325"/>
      <c r="C87" s="2257"/>
      <c r="D87" s="2257"/>
      <c r="E87" s="2257"/>
      <c r="F87" s="2301" t="e">
        <f>$F$86</f>
        <v>#DIV/0!</v>
      </c>
      <c r="G87" s="2257"/>
      <c r="H87" s="2301">
        <f>IF(OR($F$20=$R$6,$F$20=$U$6),CO2データ!I263,IF($F$20=$S$6,CO2データ!L263,CO2データ!O263))</f>
        <v>0</v>
      </c>
      <c r="I87" s="2301">
        <f>IF(OR($F$20=$R$6,$F$20=$U$6),CO2データ!J263,IF($F$20=$S$6,CO2データ!M263,CO2データ!P263))</f>
        <v>0</v>
      </c>
      <c r="J87" s="2301">
        <f>IF(OR($F$20=$R$6,$F$20=$U$6),CO2データ!K263,IF($F$20=$S$6,CO2データ!N263,CO2データ!Q263))</f>
        <v>0.32300000000000001</v>
      </c>
      <c r="K87" s="2329"/>
      <c r="L87" s="2327">
        <f t="shared" si="8"/>
        <v>0</v>
      </c>
      <c r="M87" s="2329"/>
      <c r="N87" s="2327"/>
      <c r="O87" s="2331">
        <f t="shared" si="9"/>
        <v>0</v>
      </c>
      <c r="P87" t="s">
        <v>200</v>
      </c>
    </row>
    <row r="88" spans="2:16" hidden="1">
      <c r="B88" s="2325"/>
      <c r="C88" s="2257"/>
      <c r="D88" s="2257"/>
      <c r="E88" s="2257"/>
      <c r="F88" s="2301" t="e">
        <f>$F$86</f>
        <v>#DIV/0!</v>
      </c>
      <c r="G88" s="2257"/>
      <c r="H88" s="2301">
        <f>IF(OR($F$20=$R$6,$F$20=$U$6),CO2データ!I264,IF($F$20=$S$6,CO2データ!L264,CO2データ!O264))</f>
        <v>4.8000000000000001E-2</v>
      </c>
      <c r="I88" s="2301">
        <f>IF(OR($F$20=$R$6,$F$20=$U$6),CO2データ!J264,IF($F$20=$S$6,CO2データ!M264,CO2データ!P264))</f>
        <v>0</v>
      </c>
      <c r="J88" s="2301">
        <f>IF(OR($F$20=$R$6,$F$20=$U$6),CO2データ!K264,IF($F$20=$S$6,CO2データ!N264,CO2データ!Q264))</f>
        <v>4.8000000000000001E-2</v>
      </c>
      <c r="K88" s="2329"/>
      <c r="L88" s="2327">
        <f t="shared" si="8"/>
        <v>3.3600000000000005E-2</v>
      </c>
      <c r="M88" s="2329"/>
      <c r="N88" s="2327"/>
      <c r="O88" s="2331">
        <f t="shared" si="9"/>
        <v>4.8000000000000001E-2</v>
      </c>
      <c r="P88" t="s">
        <v>130</v>
      </c>
    </row>
    <row r="89" spans="2:16" hidden="1">
      <c r="B89" s="2325"/>
      <c r="C89" s="2257"/>
      <c r="D89" s="2257"/>
      <c r="E89" s="2257"/>
      <c r="F89" s="2301" t="e">
        <f>$F$86</f>
        <v>#DIV/0!</v>
      </c>
      <c r="G89" s="2257"/>
      <c r="H89" s="2301">
        <f>IF(OR($F$20=$R$6,$F$20=$U$6),CO2データ!I265,IF($F$20=$S$6,CO2データ!L265,CO2データ!O265))</f>
        <v>0</v>
      </c>
      <c r="I89" s="2301">
        <f>IF(OR($F$20=$R$6,$F$20=$U$6),CO2データ!J265,IF($F$20=$S$6,CO2データ!M265,CO2データ!P265))</f>
        <v>0</v>
      </c>
      <c r="J89" s="2301">
        <f>IF(OR($F$20=$R$6,$F$20=$U$6),CO2データ!K265,IF($F$20=$S$6,CO2データ!N265,CO2データ!Q265))</f>
        <v>0</v>
      </c>
      <c r="K89" s="2329"/>
      <c r="L89" s="2327">
        <f t="shared" si="8"/>
        <v>0</v>
      </c>
      <c r="M89" s="2329"/>
      <c r="N89" s="2327"/>
      <c r="O89" s="2331">
        <f t="shared" si="9"/>
        <v>0</v>
      </c>
      <c r="P89" t="s">
        <v>130</v>
      </c>
    </row>
    <row r="90" spans="2:16" hidden="1">
      <c r="B90" s="2325"/>
      <c r="C90" s="2257"/>
      <c r="D90" s="2257"/>
      <c r="E90" s="2257"/>
      <c r="F90" s="2301" t="e">
        <f>$F$86</f>
        <v>#DIV/0!</v>
      </c>
      <c r="G90" s="2257"/>
      <c r="H90" s="2301">
        <f>IF(OR($F$20=$R$6,$F$20=$U$6),CO2データ!I266,IF($F$20=$S$6,CO2データ!L266,CO2データ!O266))</f>
        <v>1.9E-2</v>
      </c>
      <c r="I90" s="2301">
        <f>IF(OR($F$20=$R$6,$F$20=$U$6),CO2データ!J266,IF($F$20=$S$6,CO2データ!M266,CO2データ!P266))</f>
        <v>0</v>
      </c>
      <c r="J90" s="2301">
        <f>IF(OR($F$20=$R$6,$F$20=$U$6),CO2データ!K266,IF($F$20=$S$6,CO2データ!N266,CO2データ!Q266))</f>
        <v>1.9E-2</v>
      </c>
      <c r="K90" s="2329"/>
      <c r="L90" s="2327">
        <f t="shared" si="8"/>
        <v>1.3299999999999999E-2</v>
      </c>
      <c r="M90" s="2329"/>
      <c r="N90" s="2327"/>
      <c r="O90" s="2331">
        <f t="shared" si="9"/>
        <v>1.9E-2</v>
      </c>
      <c r="P90" t="s">
        <v>130</v>
      </c>
    </row>
    <row r="91" spans="2:16" hidden="1">
      <c r="B91" s="2325"/>
      <c r="C91" s="2257"/>
      <c r="D91" s="2257"/>
      <c r="E91" s="2257"/>
      <c r="F91" s="2301" t="e">
        <f>$F$86</f>
        <v>#DIV/0!</v>
      </c>
      <c r="G91" s="2257"/>
      <c r="H91" s="2301">
        <f>IF(OR($F$20=$R$6,$F$20=$U$6),CO2データ!I267,IF($F$20=$S$6,CO2データ!L267,CO2データ!O267))</f>
        <v>2E-3</v>
      </c>
      <c r="I91" s="2301">
        <f>IF(OR($F$20=$R$6,$F$20=$U$6),CO2データ!J267,IF($F$20=$S$6,CO2データ!M267,CO2データ!P267))</f>
        <v>0</v>
      </c>
      <c r="J91" s="2301">
        <f>IF(OR($F$20=$R$6,$F$20=$U$6),CO2データ!K267,IF($F$20=$S$6,CO2データ!N267,CO2データ!Q267))</f>
        <v>1.98E-3</v>
      </c>
      <c r="K91" s="2329"/>
      <c r="L91" s="2327">
        <f t="shared" si="8"/>
        <v>1.4000000000000002E-3</v>
      </c>
      <c r="M91" s="2329"/>
      <c r="N91" s="2327"/>
      <c r="O91" s="2331">
        <f t="shared" si="9"/>
        <v>2E-3</v>
      </c>
      <c r="P91" t="s">
        <v>130</v>
      </c>
    </row>
    <row r="92" spans="2:16" ht="14.25" hidden="1" thickBot="1">
      <c r="B92" s="2314"/>
      <c r="C92" s="2205"/>
      <c r="D92" s="2205"/>
      <c r="E92" s="2205"/>
      <c r="F92" s="2205"/>
      <c r="G92" s="2205"/>
      <c r="H92" s="2205"/>
      <c r="I92" s="2205"/>
      <c r="J92" s="2205"/>
      <c r="K92" s="2205"/>
      <c r="L92" s="2205"/>
      <c r="M92" s="2205"/>
      <c r="N92" s="2205"/>
      <c r="O92" s="2206"/>
    </row>
    <row r="93" spans="2:16" hidden="1">
      <c r="B93" s="2325"/>
      <c r="C93" s="2257" t="s">
        <v>1736</v>
      </c>
      <c r="D93" s="2257" t="s">
        <v>537</v>
      </c>
      <c r="E93" s="2257"/>
      <c r="F93" s="2205"/>
      <c r="G93" s="2205"/>
      <c r="H93" s="2205"/>
      <c r="I93" s="2205"/>
      <c r="J93" s="2205"/>
      <c r="K93" s="2329"/>
      <c r="L93" s="2332" t="e">
        <f t="shared" ref="L93:L98" si="10">$F38*L38+$F44*L44+$F50*L50+$F56*L56+$F62*L62+$F68*L68+$F74*L74+$F80*L80+$F86*L86</f>
        <v>#DIV/0!</v>
      </c>
      <c r="M93" s="2329"/>
      <c r="N93" s="2333"/>
      <c r="O93" s="2332" t="e">
        <f t="shared" ref="O93:O98" si="11">$F38*O38+$F44*O44+$F50*O50+$F56*O56+$F62*O62+$F68*O68+$F74*O74+$F80*O80+$F86*O86</f>
        <v>#DIV/0!</v>
      </c>
      <c r="P93" t="s">
        <v>200</v>
      </c>
    </row>
    <row r="94" spans="2:16" hidden="1">
      <c r="B94" s="2325"/>
      <c r="C94" s="2257"/>
      <c r="D94" s="2257"/>
      <c r="E94" s="2257"/>
      <c r="F94" s="2205"/>
      <c r="G94" s="2205"/>
      <c r="H94" s="2205"/>
      <c r="I94" s="2205"/>
      <c r="J94" s="2205"/>
      <c r="K94" s="2329"/>
      <c r="L94" s="2334" t="e">
        <f t="shared" si="10"/>
        <v>#DIV/0!</v>
      </c>
      <c r="M94" s="2329"/>
      <c r="N94" s="2333"/>
      <c r="O94" s="2334" t="e">
        <f t="shared" si="11"/>
        <v>#DIV/0!</v>
      </c>
      <c r="P94" t="s">
        <v>200</v>
      </c>
    </row>
    <row r="95" spans="2:16" hidden="1">
      <c r="B95" s="2325"/>
      <c r="C95" s="2257"/>
      <c r="D95" s="2257"/>
      <c r="E95" s="2257"/>
      <c r="F95" s="2205"/>
      <c r="G95" s="2205"/>
      <c r="H95" s="2205"/>
      <c r="I95" s="2205"/>
      <c r="J95" s="2205"/>
      <c r="K95" s="2329"/>
      <c r="L95" s="2334" t="e">
        <f t="shared" si="10"/>
        <v>#DIV/0!</v>
      </c>
      <c r="M95" s="2329"/>
      <c r="N95" s="2333"/>
      <c r="O95" s="2334" t="e">
        <f t="shared" si="11"/>
        <v>#DIV/0!</v>
      </c>
      <c r="P95" t="s">
        <v>130</v>
      </c>
    </row>
    <row r="96" spans="2:16" hidden="1">
      <c r="B96" s="2325"/>
      <c r="C96" s="2257"/>
      <c r="D96" s="2257"/>
      <c r="E96" s="2257"/>
      <c r="F96" s="2205"/>
      <c r="G96" s="2205"/>
      <c r="H96" s="2205"/>
      <c r="I96" s="2205"/>
      <c r="J96" s="2205"/>
      <c r="K96" s="2329"/>
      <c r="L96" s="2334" t="e">
        <f t="shared" si="10"/>
        <v>#DIV/0!</v>
      </c>
      <c r="M96" s="2329"/>
      <c r="N96" s="2333"/>
      <c r="O96" s="2334" t="e">
        <f t="shared" si="11"/>
        <v>#DIV/0!</v>
      </c>
      <c r="P96" t="s">
        <v>130</v>
      </c>
    </row>
    <row r="97" spans="2:16" hidden="1">
      <c r="B97" s="2325"/>
      <c r="C97" s="2257"/>
      <c r="D97" s="2257"/>
      <c r="E97" s="2257"/>
      <c r="F97" s="2205"/>
      <c r="G97" s="2205"/>
      <c r="H97" s="2205"/>
      <c r="I97" s="2205"/>
      <c r="J97" s="2205"/>
      <c r="K97" s="2329"/>
      <c r="L97" s="2334" t="e">
        <f t="shared" si="10"/>
        <v>#DIV/0!</v>
      </c>
      <c r="M97" s="2329"/>
      <c r="N97" s="2333"/>
      <c r="O97" s="2334" t="e">
        <f t="shared" si="11"/>
        <v>#DIV/0!</v>
      </c>
      <c r="P97" t="s">
        <v>130</v>
      </c>
    </row>
    <row r="98" spans="2:16" ht="14.25" hidden="1" thickBot="1">
      <c r="B98" s="2325"/>
      <c r="C98" s="2257"/>
      <c r="D98" s="2257"/>
      <c r="E98" s="2257"/>
      <c r="F98" s="2205"/>
      <c r="G98" s="2205"/>
      <c r="H98" s="2205"/>
      <c r="I98" s="2205"/>
      <c r="J98" s="2205"/>
      <c r="K98" s="2329"/>
      <c r="L98" s="2335" t="e">
        <f t="shared" si="10"/>
        <v>#DIV/0!</v>
      </c>
      <c r="M98" s="2329"/>
      <c r="N98" s="2333"/>
      <c r="O98" s="2335" t="e">
        <f t="shared" si="11"/>
        <v>#DIV/0!</v>
      </c>
      <c r="P98" t="s">
        <v>130</v>
      </c>
    </row>
    <row r="99" spans="2:16" hidden="1">
      <c r="B99" s="2314"/>
      <c r="C99" s="2205"/>
      <c r="D99" s="2205"/>
      <c r="E99" s="2205"/>
      <c r="F99" s="2205"/>
      <c r="G99" s="2205"/>
      <c r="H99" s="2205"/>
      <c r="I99" s="2205"/>
      <c r="J99" s="2205"/>
      <c r="K99" s="2205"/>
      <c r="L99" s="2205"/>
      <c r="M99" s="2205"/>
      <c r="N99" s="2205"/>
      <c r="O99" s="2206"/>
    </row>
    <row r="100" spans="2:16" ht="16.5">
      <c r="B100" s="1442" t="s">
        <v>207</v>
      </c>
      <c r="C100" s="1452"/>
      <c r="D100" s="1455"/>
      <c r="E100" s="1452"/>
      <c r="F100" s="2205"/>
      <c r="G100" s="2205"/>
      <c r="H100" s="1443"/>
      <c r="I100" s="1444"/>
      <c r="J100" s="1444"/>
      <c r="K100" s="1444"/>
      <c r="L100" s="1444"/>
      <c r="M100" s="1444"/>
      <c r="N100" s="1444"/>
      <c r="O100" s="1458"/>
    </row>
    <row r="101" spans="2:16" ht="14.25">
      <c r="B101" s="1442"/>
      <c r="C101" s="1446" t="s">
        <v>208</v>
      </c>
      <c r="D101" s="1455"/>
      <c r="E101" s="1452"/>
      <c r="F101" s="2205"/>
      <c r="G101" s="2205"/>
      <c r="H101" s="1443"/>
      <c r="I101" s="1444"/>
      <c r="J101" s="1443" t="s">
        <v>182</v>
      </c>
      <c r="K101" s="1444"/>
      <c r="L101" s="1443" t="s">
        <v>182</v>
      </c>
      <c r="M101" s="1444"/>
      <c r="N101" s="1444"/>
      <c r="O101" s="1445" t="s">
        <v>182</v>
      </c>
    </row>
    <row r="102" spans="2:16">
      <c r="B102" s="2204"/>
      <c r="C102" s="1455"/>
      <c r="D102" s="1455" t="s">
        <v>189</v>
      </c>
      <c r="E102" s="1452"/>
      <c r="F102" s="2300" t="s">
        <v>184</v>
      </c>
      <c r="G102" s="1452"/>
      <c r="H102" s="1449" t="s">
        <v>185</v>
      </c>
      <c r="I102" s="1449" t="s">
        <v>186</v>
      </c>
      <c r="J102" s="1449" t="s">
        <v>187</v>
      </c>
      <c r="K102" s="1450" t="s">
        <v>188</v>
      </c>
      <c r="L102" s="1451" t="s">
        <v>117</v>
      </c>
      <c r="M102" s="1452"/>
      <c r="N102" s="1450" t="s">
        <v>188</v>
      </c>
      <c r="O102" s="1453" t="s">
        <v>117</v>
      </c>
    </row>
    <row r="103" spans="2:16">
      <c r="B103" s="2204"/>
      <c r="C103" s="1455"/>
      <c r="D103" s="1455"/>
      <c r="E103" s="1455" t="s">
        <v>519</v>
      </c>
      <c r="F103" s="2301" t="e">
        <f t="shared" ref="F103:F111" si="12">F10</f>
        <v>#DIV/0!</v>
      </c>
      <c r="G103" s="1452"/>
      <c r="H103" s="2301">
        <f>IF(OR($F$20=$R$6,$F$20=$U$6),CO2データ!I67,IF($F$20=$S$6,CO2データ!L67,CO2データ!O67))</f>
        <v>15.990999999999998</v>
      </c>
      <c r="I103" s="2301">
        <f>IF(OR($F$20=$R$6,$F$20=$U$6),CO2データ!J67,IF($F$20=$S$6,CO2データ!M67,CO2データ!P67))</f>
        <v>15.990999999999998</v>
      </c>
      <c r="J103" s="2301">
        <f>IF(OR($F$20=$R$6,$F$20=$U$6),CO2データ!K67,IF($F$20=$S$6,CO2データ!N67,CO2データ!Q67))</f>
        <v>15.990999999999998</v>
      </c>
      <c r="K103" s="2287" t="e">
        <f>スコア表示!M80</f>
        <v>#DIV/0!</v>
      </c>
      <c r="L103" s="2303" t="e">
        <f t="shared" ref="L103:L111" si="13">IF(K103&gt;=5,$J103,IF(K103&gt;=4,$I103,$H103))</f>
        <v>#DIV/0!</v>
      </c>
      <c r="M103" s="1452"/>
      <c r="N103" s="2287">
        <v>3</v>
      </c>
      <c r="O103" s="2304">
        <f>IF(OR($F$20=$R$6,$F$20=$U$6),CO2データ!I65,IF($F$20=$S$6,CO2データ!L65,CO2データ!O65))</f>
        <v>15.990999999999998</v>
      </c>
    </row>
    <row r="104" spans="2:16">
      <c r="B104" s="2204"/>
      <c r="C104" s="1452"/>
      <c r="D104" s="1455"/>
      <c r="E104" s="1455" t="s">
        <v>521</v>
      </c>
      <c r="F104" s="2301" t="e">
        <f t="shared" si="12"/>
        <v>#DIV/0!</v>
      </c>
      <c r="G104" s="1452"/>
      <c r="H104" s="2301">
        <f>IF(OR($F$20=$R$6,$F$20=$U$6),CO2データ!I70,IF($F$20=$S$6,CO2データ!L70,CO2データ!O70))</f>
        <v>11.802</v>
      </c>
      <c r="I104" s="2301">
        <f>IF(OR($F$20=$R$6,$F$20=$U$6),CO2データ!J70,IF($F$20=$S$6,CO2データ!M70,CO2データ!P70))</f>
        <v>11.802</v>
      </c>
      <c r="J104" s="2301">
        <f>IF(OR($F$20=$R$6,$F$20=$U$6),CO2データ!K70,IF($F$20=$S$6,CO2データ!N70,CO2データ!Q70))</f>
        <v>11.802</v>
      </c>
      <c r="K104" s="2287" t="e">
        <f t="shared" ref="K104:K111" si="14">K$103</f>
        <v>#DIV/0!</v>
      </c>
      <c r="L104" s="2303" t="e">
        <f t="shared" si="13"/>
        <v>#DIV/0!</v>
      </c>
      <c r="M104" s="1452"/>
      <c r="N104" s="2287">
        <v>3</v>
      </c>
      <c r="O104" s="2304">
        <f>IF(OR($F$20=$R$6,$F$20=$U$6),CO2データ!I68,IF($F$20=$S$6,CO2データ!L68,CO2データ!O68))</f>
        <v>11.802</v>
      </c>
    </row>
    <row r="105" spans="2:16">
      <c r="B105" s="2204"/>
      <c r="C105" s="1452"/>
      <c r="D105" s="2205"/>
      <c r="E105" s="1455" t="s">
        <v>523</v>
      </c>
      <c r="F105" s="2301" t="e">
        <f t="shared" si="12"/>
        <v>#DIV/0!</v>
      </c>
      <c r="G105" s="1452"/>
      <c r="H105" s="2301">
        <f>IF(OR($F$20=$R$6,$F$20=$U$6),CO2データ!I73,IF($F$20=$S$6,CO2データ!L73,CO2データ!O73))</f>
        <v>6.88</v>
      </c>
      <c r="I105" s="2301">
        <f>IF(OR($F$20=$R$6,$F$20=$U$6),CO2データ!J73,IF($F$20=$S$6,CO2データ!M73,CO2データ!P73))</f>
        <v>6.88</v>
      </c>
      <c r="J105" s="2301">
        <f>IF(OR($F$20=$R$6,$F$20=$U$6),CO2データ!K73,IF($F$20=$S$6,CO2データ!N73,CO2データ!Q73))</f>
        <v>6.88</v>
      </c>
      <c r="K105" s="2287" t="e">
        <f t="shared" si="14"/>
        <v>#DIV/0!</v>
      </c>
      <c r="L105" s="2303" t="e">
        <f t="shared" si="13"/>
        <v>#DIV/0!</v>
      </c>
      <c r="M105" s="1452"/>
      <c r="N105" s="2287">
        <v>3</v>
      </c>
      <c r="O105" s="2304">
        <f>IF(OR($F$20=$R$6,$F$20=$U$6),CO2データ!I71,IF($F$20=$S$6,CO2データ!L71,CO2データ!O71))</f>
        <v>6.88</v>
      </c>
    </row>
    <row r="106" spans="2:16">
      <c r="B106" s="2204"/>
      <c r="C106" s="1452"/>
      <c r="D106" s="1455"/>
      <c r="E106" s="1455" t="s">
        <v>525</v>
      </c>
      <c r="F106" s="2301" t="e">
        <f t="shared" si="12"/>
        <v>#DIV/0!</v>
      </c>
      <c r="G106" s="1452"/>
      <c r="H106" s="2301">
        <f>IF(OR($F$20=$R$6,$F$20=$U$6),CO2データ!I76,IF($F$20=$S$6,CO2データ!L76,CO2データ!O76))</f>
        <v>6.88</v>
      </c>
      <c r="I106" s="2301">
        <f>IF(OR($F$20=$R$6,$F$20=$U$6),CO2データ!J76,IF($F$20=$S$6,CO2データ!M76,CO2データ!P76))</f>
        <v>6.88</v>
      </c>
      <c r="J106" s="2301">
        <f>IF(OR($F$20=$R$6,$F$20=$U$6),CO2データ!K76,IF($F$20=$S$6,CO2データ!N76,CO2データ!Q76))</f>
        <v>6.88</v>
      </c>
      <c r="K106" s="2287" t="e">
        <f t="shared" si="14"/>
        <v>#DIV/0!</v>
      </c>
      <c r="L106" s="2303" t="e">
        <f t="shared" si="13"/>
        <v>#DIV/0!</v>
      </c>
      <c r="M106" s="1452"/>
      <c r="N106" s="2287">
        <v>3</v>
      </c>
      <c r="O106" s="2304">
        <f>IF(OR($F$20=$R$6,$F$20=$U$6),CO2データ!I74,IF($F$20=$S$6,CO2データ!L74,CO2データ!O74))</f>
        <v>6.88</v>
      </c>
    </row>
    <row r="107" spans="2:16">
      <c r="B107" s="2204"/>
      <c r="C107" s="2205"/>
      <c r="D107" s="2205"/>
      <c r="E107" s="147" t="s">
        <v>819</v>
      </c>
      <c r="F107" s="2301" t="e">
        <f t="shared" si="12"/>
        <v>#DIV/0!</v>
      </c>
      <c r="G107" s="1452"/>
      <c r="H107" s="2301">
        <f>IF(OR($F$20=$R$6,$F$20=$U$6),CO2データ!I79,IF($F$20=$S$6,CO2データ!L79,CO2データ!O79))</f>
        <v>12.809999999999999</v>
      </c>
      <c r="I107" s="2301">
        <f>IF(OR($F$20=$R$6,$F$20=$U$6),CO2データ!J79,IF($F$20=$S$6,CO2データ!M79,CO2データ!P79))</f>
        <v>12.809999999999999</v>
      </c>
      <c r="J107" s="2301">
        <f>IF(OR($F$20=$R$6,$F$20=$U$6),CO2データ!K79,IF($F$20=$S$6,CO2データ!N79,CO2データ!Q79))</f>
        <v>12.809999999999999</v>
      </c>
      <c r="K107" s="2287" t="e">
        <f t="shared" si="14"/>
        <v>#DIV/0!</v>
      </c>
      <c r="L107" s="2303" t="e">
        <f t="shared" si="13"/>
        <v>#DIV/0!</v>
      </c>
      <c r="M107" s="1452"/>
      <c r="N107" s="2287">
        <v>3</v>
      </c>
      <c r="O107" s="2304">
        <f>IF(OR($F$20=$R$6,$F$20=$U$6),CO2データ!I77,IF($F$20=$S$6,CO2データ!L77,CO2データ!O77))</f>
        <v>12.809999999999999</v>
      </c>
    </row>
    <row r="108" spans="2:16">
      <c r="B108" s="2204"/>
      <c r="C108" s="2205"/>
      <c r="D108" s="2205"/>
      <c r="E108" s="147" t="s">
        <v>535</v>
      </c>
      <c r="F108" s="2301" t="e">
        <f t="shared" si="12"/>
        <v>#DIV/0!</v>
      </c>
      <c r="G108" s="1452"/>
      <c r="H108" s="2301">
        <f>IF(OR($F$20=$R$6,$F$20=$U$6),CO2データ!I82,IF($F$20=$S$6,CO2データ!L82,CO2データ!O82))</f>
        <v>8.6499999999999986</v>
      </c>
      <c r="I108" s="2301">
        <f>IF(OR($F$20=$R$6,$F$20=$U$6),CO2データ!J82,IF($F$20=$S$6,CO2データ!M82,CO2データ!P82))</f>
        <v>8.6499999999999986</v>
      </c>
      <c r="J108" s="2301">
        <f>IF(OR($F$20=$R$6,$F$20=$U$6),CO2データ!K82,IF($F$20=$S$6,CO2データ!N82,CO2データ!Q82))</f>
        <v>8.6499999999999986</v>
      </c>
      <c r="K108" s="2287" t="e">
        <f t="shared" si="14"/>
        <v>#DIV/0!</v>
      </c>
      <c r="L108" s="2303" t="e">
        <f t="shared" si="13"/>
        <v>#DIV/0!</v>
      </c>
      <c r="M108" s="1452"/>
      <c r="N108" s="2287">
        <v>3</v>
      </c>
      <c r="O108" s="2304">
        <f>IF(OR($F$20=$R$6,$F$20=$U$6),CO2データ!I80,IF($F$20=$S$6,CO2データ!L80,CO2データ!O80))</f>
        <v>8.6499999999999986</v>
      </c>
    </row>
    <row r="109" spans="2:16">
      <c r="B109" s="2204"/>
      <c r="C109" s="2205"/>
      <c r="D109" s="2205"/>
      <c r="E109" s="147" t="s">
        <v>529</v>
      </c>
      <c r="F109" s="2301" t="e">
        <f t="shared" si="12"/>
        <v>#DIV/0!</v>
      </c>
      <c r="G109" s="1452"/>
      <c r="H109" s="2301">
        <f>IF(OR($F$20=$R$6,$F$20=$U$6),CO2データ!I85,IF($F$20=$S$6,CO2データ!L85,CO2データ!O85))</f>
        <v>15.425999999999998</v>
      </c>
      <c r="I109" s="2301">
        <f>IF(OR($F$20=$R$6,$F$20=$U$6),CO2データ!J85,IF($F$20=$S$6,CO2データ!M85,CO2データ!P85))</f>
        <v>15.425999999999998</v>
      </c>
      <c r="J109" s="2301">
        <f>IF(OR($F$20=$R$6,$F$20=$U$6),CO2データ!K85,IF($F$20=$S$6,CO2データ!N85,CO2データ!Q85))</f>
        <v>15.425999999999998</v>
      </c>
      <c r="K109" s="2287" t="e">
        <f t="shared" si="14"/>
        <v>#DIV/0!</v>
      </c>
      <c r="L109" s="2303" t="e">
        <f t="shared" si="13"/>
        <v>#DIV/0!</v>
      </c>
      <c r="M109" s="1452"/>
      <c r="N109" s="2287">
        <v>3</v>
      </c>
      <c r="O109" s="2304">
        <f>IF(OR($F$20=$R$6,$F$20=$U$6),CO2データ!I83,IF($F$20=$S$6,CO2データ!L83,CO2データ!O83))</f>
        <v>15.425999999999998</v>
      </c>
    </row>
    <row r="110" spans="2:16">
      <c r="B110" s="2204"/>
      <c r="C110" s="2205"/>
      <c r="D110" s="2205"/>
      <c r="E110" s="147" t="s">
        <v>820</v>
      </c>
      <c r="F110" s="2301" t="e">
        <f t="shared" si="12"/>
        <v>#DIV/0!</v>
      </c>
      <c r="G110" s="1452"/>
      <c r="H110" s="2301">
        <f>IF(OR($F$20=$R$6,$F$20=$U$6),CO2データ!I88,IF($F$20=$S$6,CO2データ!L88,CO2データ!O88))</f>
        <v>13.297999999999998</v>
      </c>
      <c r="I110" s="2301">
        <f>IF(OR($F$20=$R$6,$F$20=$U$6),CO2データ!J88,IF($F$20=$S$6,CO2データ!M88,CO2データ!P88))</f>
        <v>13.297999999999998</v>
      </c>
      <c r="J110" s="2301">
        <f>IF(OR($F$20=$R$6,$F$20=$U$6),CO2データ!K88,IF($F$20=$S$6,CO2データ!N88,CO2データ!Q88))</f>
        <v>13.297999999999998</v>
      </c>
      <c r="K110" s="2287" t="e">
        <f t="shared" si="14"/>
        <v>#DIV/0!</v>
      </c>
      <c r="L110" s="2303" t="e">
        <f t="shared" si="13"/>
        <v>#DIV/0!</v>
      </c>
      <c r="M110" s="1452"/>
      <c r="N110" s="2287">
        <v>3</v>
      </c>
      <c r="O110" s="2304">
        <f>IF(OR($F$20=$R$6,$F$20=$U$6),CO2データ!I86,IF($F$20=$S$6,CO2データ!L86,CO2データ!O86))</f>
        <v>13.297999999999998</v>
      </c>
    </row>
    <row r="111" spans="2:16">
      <c r="B111" s="2204"/>
      <c r="C111" s="2205"/>
      <c r="D111" s="2205"/>
      <c r="E111" s="147" t="s">
        <v>533</v>
      </c>
      <c r="F111" s="2301" t="e">
        <f t="shared" si="12"/>
        <v>#DIV/0!</v>
      </c>
      <c r="G111" s="1452"/>
      <c r="H111" s="2301">
        <f>IF(OR($F$20=$R$6,$F$20=$U$6),CO2データ!I91,IF($F$20=$S$6,CO2データ!L91,CO2データ!O91))</f>
        <v>8.0190000000000001</v>
      </c>
      <c r="I111" s="2301">
        <f>IF(OR($F$20=$R$6,$F$20=$U$6),CO2データ!J91,IF($F$20=$S$6,CO2データ!M91,CO2データ!P91))</f>
        <v>9.7210000000000001</v>
      </c>
      <c r="J111" s="2301">
        <f>IF(OR($F$20=$R$6,$F$20=$U$6),CO2データ!K91,IF($F$20=$S$6,CO2データ!N91,CO2データ!Q91))</f>
        <v>10.979000000000001</v>
      </c>
      <c r="K111" s="2287" t="e">
        <f t="shared" si="14"/>
        <v>#DIV/0!</v>
      </c>
      <c r="L111" s="2303" t="e">
        <f t="shared" si="13"/>
        <v>#DIV/0!</v>
      </c>
      <c r="M111" s="1452"/>
      <c r="N111" s="2287">
        <v>3</v>
      </c>
      <c r="O111" s="2304">
        <f>IF(OR($F$20=$R$6,$F$20=$U$6),CO2データ!I89,IF($F$20=$S$6,CO2データ!L89,CO2データ!O89))</f>
        <v>8.0190000000000001</v>
      </c>
    </row>
    <row r="112" spans="2:16" ht="14.25" thickBot="1">
      <c r="B112" s="2204"/>
      <c r="C112" s="2205"/>
      <c r="D112" s="2205"/>
      <c r="E112" s="2205"/>
      <c r="F112" s="2205"/>
      <c r="G112" s="2205"/>
      <c r="H112" s="2205"/>
      <c r="I112" s="2205"/>
      <c r="J112" s="2205"/>
      <c r="K112" s="2205"/>
      <c r="L112" s="2205"/>
      <c r="M112" s="2205"/>
      <c r="N112" s="2205"/>
      <c r="O112" s="2206"/>
    </row>
    <row r="113" spans="2:18" ht="14.25" thickBot="1">
      <c r="B113" s="2314"/>
      <c r="C113" s="1446" t="s">
        <v>209</v>
      </c>
      <c r="D113" s="1455"/>
      <c r="E113" s="147"/>
      <c r="F113" s="2205"/>
      <c r="G113" s="2205"/>
      <c r="H113" s="2205"/>
      <c r="I113" s="2205"/>
      <c r="J113" s="2205"/>
      <c r="K113" s="2205"/>
      <c r="L113" s="2317" t="e">
        <f>SUMPRODUCT(F103:F111,L103:L111)</f>
        <v>#DIV/0!</v>
      </c>
      <c r="M113" s="2205"/>
      <c r="N113" s="2205"/>
      <c r="O113" s="2317" t="e">
        <f>SUMPRODUCT(F103:F111,O103:O111)</f>
        <v>#DIV/0!</v>
      </c>
    </row>
    <row r="114" spans="2:18">
      <c r="B114" s="2204"/>
      <c r="C114" s="2205"/>
      <c r="D114" s="2205"/>
      <c r="E114" s="2205"/>
      <c r="F114" s="2205"/>
      <c r="G114" s="2205"/>
      <c r="H114" s="2205"/>
      <c r="I114" s="2205"/>
      <c r="J114" s="2205"/>
      <c r="K114" s="2205"/>
      <c r="L114" s="2205"/>
      <c r="M114" s="2205"/>
      <c r="N114" s="2205"/>
      <c r="O114" s="2206"/>
    </row>
    <row r="115" spans="2:18" ht="17.25" thickBot="1">
      <c r="B115" s="1442" t="s">
        <v>210</v>
      </c>
      <c r="C115" s="2205"/>
      <c r="D115" s="2205"/>
      <c r="E115" s="2205"/>
      <c r="F115" s="2205"/>
      <c r="G115" s="2205"/>
      <c r="H115" s="2205"/>
      <c r="I115" s="2205"/>
      <c r="J115" s="2205"/>
      <c r="K115" s="2205"/>
      <c r="L115" s="1443" t="s">
        <v>182</v>
      </c>
      <c r="M115" s="1452"/>
      <c r="N115" s="1452"/>
      <c r="O115" s="1445" t="s">
        <v>182</v>
      </c>
      <c r="R115" t="s">
        <v>1737</v>
      </c>
    </row>
    <row r="116" spans="2:18" ht="14.25" thickBot="1">
      <c r="B116" s="1442"/>
      <c r="C116" s="1446" t="s">
        <v>1812</v>
      </c>
      <c r="D116" s="2205"/>
      <c r="E116" s="2205"/>
      <c r="F116" s="2205" t="s">
        <v>1306</v>
      </c>
      <c r="G116" s="2205"/>
      <c r="H116" s="2205" t="s">
        <v>1738</v>
      </c>
      <c r="I116" s="2205"/>
      <c r="J116" s="2205" t="s">
        <v>1209</v>
      </c>
      <c r="K116" s="2205"/>
      <c r="L116" s="1985">
        <f>SUM(L118:L121)</f>
        <v>0</v>
      </c>
      <c r="M116" s="1452"/>
      <c r="N116" s="1986" t="s">
        <v>1125</v>
      </c>
      <c r="O116" s="1985">
        <f>SUM(O118:O121)</f>
        <v>0</v>
      </c>
    </row>
    <row r="117" spans="2:18">
      <c r="B117" s="1442"/>
      <c r="C117" s="1446"/>
      <c r="D117" s="2205"/>
      <c r="E117" s="2205"/>
      <c r="F117" s="2336" t="s">
        <v>1683</v>
      </c>
      <c r="G117" s="2205"/>
      <c r="H117" s="1439" t="s">
        <v>1397</v>
      </c>
      <c r="I117" s="1439" t="s">
        <v>1398</v>
      </c>
      <c r="J117" s="1455" t="s">
        <v>1739</v>
      </c>
      <c r="K117" s="2205"/>
      <c r="L117" s="1991"/>
      <c r="M117" s="1452"/>
      <c r="N117" s="1986"/>
      <c r="O117" s="2284"/>
    </row>
    <row r="118" spans="2:18">
      <c r="B118" s="1442"/>
      <c r="C118" s="1446"/>
      <c r="D118" s="2205"/>
      <c r="E118" s="2205" t="s">
        <v>1370</v>
      </c>
      <c r="F118" s="2337">
        <f>計画書_対象外!I29</f>
        <v>0</v>
      </c>
      <c r="G118" s="2205"/>
      <c r="H118" s="2337" t="e">
        <f>計画書_対象外!Q74+H125</f>
        <v>#VALUE!</v>
      </c>
      <c r="I118" s="2371"/>
      <c r="J118" s="2214" t="e">
        <f>計画書_対象外!L94</f>
        <v>#VALUE!</v>
      </c>
      <c r="K118" s="2205"/>
      <c r="L118" s="1991"/>
      <c r="M118" s="1452"/>
      <c r="N118" s="1986"/>
      <c r="O118" s="2339">
        <f>IF(F118=0,0,H118*J118/F118*1000)</f>
        <v>0</v>
      </c>
    </row>
    <row r="119" spans="2:18">
      <c r="B119" s="1442"/>
      <c r="C119" s="1446"/>
      <c r="D119" s="2205"/>
      <c r="E119" s="2205"/>
      <c r="F119" s="2205"/>
      <c r="G119" s="2205"/>
      <c r="H119" s="2205"/>
      <c r="I119" s="2337">
        <f>I125+H125</f>
        <v>0</v>
      </c>
      <c r="J119" s="2205"/>
      <c r="K119" s="2205"/>
      <c r="L119" s="2338">
        <f>IF(F118=0,0,L125+(H125*J118)/F118*1000)</f>
        <v>0</v>
      </c>
      <c r="M119" s="1452"/>
      <c r="N119" s="1986"/>
      <c r="O119" s="2372"/>
    </row>
    <row r="120" spans="2:18">
      <c r="B120" s="1442"/>
      <c r="C120" s="1446"/>
      <c r="D120" s="2205"/>
      <c r="E120" s="2205" t="s">
        <v>1400</v>
      </c>
      <c r="F120" s="2337">
        <f>計画書_対象外!N29</f>
        <v>0</v>
      </c>
      <c r="G120" s="2205"/>
      <c r="H120" s="2337">
        <f>計画書_対象外!Q108</f>
        <v>0</v>
      </c>
      <c r="I120" s="2337">
        <f>計画書_対象外!N108</f>
        <v>0</v>
      </c>
      <c r="J120" s="2214" t="e">
        <f>CO2データ!R168</f>
        <v>#VALUE!</v>
      </c>
      <c r="K120" s="2205"/>
      <c r="L120" s="2338">
        <f>IF(F120=0,0,I120*J120/F120*1000)</f>
        <v>0</v>
      </c>
      <c r="M120" s="1452"/>
      <c r="N120" s="1986"/>
      <c r="O120" s="2339">
        <f>IF(F120=0,0,H120*J120/F120*1000)</f>
        <v>0</v>
      </c>
    </row>
    <row r="121" spans="2:18">
      <c r="B121" s="1442"/>
      <c r="C121" s="1446"/>
      <c r="D121" s="2205"/>
      <c r="E121" s="2205" t="s">
        <v>1401</v>
      </c>
      <c r="F121" s="2337">
        <f>計画書_対象外!M29</f>
        <v>0</v>
      </c>
      <c r="G121" s="2205"/>
      <c r="H121" s="2337">
        <f>計画書_対象外!Q112</f>
        <v>0</v>
      </c>
      <c r="I121" s="2337">
        <f>計画書_対象外!N112</f>
        <v>0</v>
      </c>
      <c r="J121" s="2214" t="e">
        <f>CO2データ!R169</f>
        <v>#VALUE!</v>
      </c>
      <c r="K121" s="2205"/>
      <c r="L121" s="2338">
        <f>IF(F121=0,0,I121*J121/F121*1000)</f>
        <v>0</v>
      </c>
      <c r="M121" s="1452"/>
      <c r="N121" s="1986"/>
      <c r="O121" s="2339">
        <f>IF(F121=0,0,H121*J121/F121*1000)</f>
        <v>0</v>
      </c>
    </row>
    <row r="122" spans="2:18" ht="14.25" thickBot="1">
      <c r="B122" s="1442"/>
      <c r="C122" s="2205"/>
      <c r="D122" s="2205"/>
      <c r="E122" s="2205"/>
      <c r="F122" s="2205"/>
      <c r="G122" s="2205"/>
      <c r="H122" s="2205"/>
      <c r="I122" s="2205"/>
      <c r="J122" s="2205"/>
      <c r="K122" s="2205"/>
      <c r="L122" s="1443"/>
      <c r="M122" s="1452"/>
      <c r="N122" s="1452"/>
      <c r="O122" s="1445"/>
    </row>
    <row r="123" spans="2:18" ht="14.25" thickBot="1">
      <c r="B123" s="2204"/>
      <c r="C123" s="1446" t="s">
        <v>1126</v>
      </c>
      <c r="D123" s="2205"/>
      <c r="E123" s="2205"/>
      <c r="F123" s="2205" t="s">
        <v>1306</v>
      </c>
      <c r="G123" s="2205"/>
      <c r="H123" s="2205" t="s">
        <v>1738</v>
      </c>
      <c r="I123" s="2205"/>
      <c r="J123" s="2205" t="s">
        <v>1209</v>
      </c>
      <c r="K123" s="2205"/>
      <c r="L123" s="1985">
        <f>SUM(L125:L127)</f>
        <v>0</v>
      </c>
      <c r="M123" s="2205"/>
      <c r="N123" s="2205"/>
      <c r="O123" s="2206"/>
    </row>
    <row r="124" spans="2:18">
      <c r="B124" s="2204"/>
      <c r="C124" s="1446"/>
      <c r="D124" s="2205"/>
      <c r="E124" s="2205"/>
      <c r="F124" s="2212" t="s">
        <v>1683</v>
      </c>
      <c r="G124" s="2205"/>
      <c r="H124" s="2340" t="s">
        <v>1402</v>
      </c>
      <c r="I124" s="1439" t="s">
        <v>1403</v>
      </c>
      <c r="J124" s="1455" t="s">
        <v>1739</v>
      </c>
      <c r="K124" s="2205"/>
      <c r="L124" s="2205"/>
      <c r="M124" s="2205"/>
      <c r="N124" s="2205"/>
      <c r="O124" s="2206"/>
    </row>
    <row r="125" spans="2:18">
      <c r="B125" s="2204"/>
      <c r="C125" s="1446"/>
      <c r="D125" s="2205"/>
      <c r="E125" s="2205" t="s">
        <v>1370</v>
      </c>
      <c r="F125" s="2337">
        <f>F118</f>
        <v>0</v>
      </c>
      <c r="G125" s="2205"/>
      <c r="H125" s="2337">
        <f>計画書_対象外!I43</f>
        <v>0</v>
      </c>
      <c r="I125" s="2337">
        <f>計画書_対象外!N74</f>
        <v>0</v>
      </c>
      <c r="J125" s="2214" t="e">
        <f>CO2データ!R170</f>
        <v>#VALUE!</v>
      </c>
      <c r="K125" s="2205"/>
      <c r="L125" s="2338">
        <f>IF(F125=0,0,I125*J125/F125*1000)</f>
        <v>0</v>
      </c>
      <c r="M125" s="2205"/>
      <c r="N125" s="2205"/>
      <c r="O125" s="2206"/>
    </row>
    <row r="126" spans="2:18">
      <c r="B126" s="2204"/>
      <c r="C126" s="1446"/>
      <c r="D126" s="2205"/>
      <c r="E126" s="2205" t="s">
        <v>1400</v>
      </c>
      <c r="F126" s="2337">
        <f>F120</f>
        <v>0</v>
      </c>
      <c r="G126" s="2205"/>
      <c r="H126" s="2337">
        <f>計画書_対象外!N43</f>
        <v>0</v>
      </c>
      <c r="I126" s="2337">
        <f>I120-H126</f>
        <v>0</v>
      </c>
      <c r="J126" s="2214" t="e">
        <f>J120</f>
        <v>#VALUE!</v>
      </c>
      <c r="K126" s="2205"/>
      <c r="L126" s="2338">
        <f>IF(F126=0,0,I126*J126/F126*1000)</f>
        <v>0</v>
      </c>
      <c r="M126" s="2205"/>
      <c r="N126" s="2205"/>
      <c r="O126" s="2206"/>
    </row>
    <row r="127" spans="2:18">
      <c r="B127" s="2204"/>
      <c r="C127" s="1446"/>
      <c r="D127" s="2205"/>
      <c r="E127" s="2205" t="s">
        <v>1401</v>
      </c>
      <c r="F127" s="2337">
        <f>F121</f>
        <v>0</v>
      </c>
      <c r="G127" s="2205"/>
      <c r="H127" s="2337">
        <f>計画書_対象外!M43</f>
        <v>0</v>
      </c>
      <c r="I127" s="2337">
        <f>I121-H127</f>
        <v>0</v>
      </c>
      <c r="J127" s="2214" t="e">
        <f>J121</f>
        <v>#VALUE!</v>
      </c>
      <c r="K127" s="2205"/>
      <c r="L127" s="2338">
        <f>IF(F127=0,0,I127*J127/F127*1000)</f>
        <v>0</v>
      </c>
      <c r="M127" s="2205"/>
      <c r="N127" s="2205"/>
      <c r="O127" s="2206"/>
    </row>
    <row r="128" spans="2:18">
      <c r="B128" s="2204"/>
      <c r="C128" s="1446"/>
      <c r="D128" s="2205"/>
      <c r="E128" s="2205"/>
      <c r="F128" s="2205"/>
      <c r="G128" s="2205"/>
      <c r="H128" s="2205"/>
      <c r="I128" s="2205"/>
      <c r="J128" s="2205"/>
      <c r="K128" s="2205"/>
      <c r="L128" s="2205"/>
      <c r="M128" s="2205"/>
      <c r="N128" s="2205"/>
      <c r="O128" s="2206"/>
    </row>
    <row r="129" spans="2:15" hidden="1">
      <c r="B129" s="2204"/>
      <c r="C129" s="1446"/>
      <c r="D129" s="2205"/>
      <c r="E129" s="2205"/>
      <c r="F129" s="2205" t="s">
        <v>1128</v>
      </c>
      <c r="G129" s="2205"/>
      <c r="H129" s="2337"/>
      <c r="I129" s="2214"/>
      <c r="J129" s="2262"/>
      <c r="K129" s="2205"/>
      <c r="L129" s="2205"/>
      <c r="M129" s="2205"/>
      <c r="N129" s="2205"/>
      <c r="O129" s="2206"/>
    </row>
    <row r="130" spans="2:15" hidden="1">
      <c r="B130" s="2204"/>
      <c r="C130" s="1446"/>
      <c r="D130" s="2205"/>
      <c r="E130" s="2205"/>
      <c r="F130" s="2205"/>
      <c r="G130" s="2205"/>
      <c r="H130" s="1452"/>
      <c r="I130" s="2205"/>
      <c r="J130" s="2205"/>
      <c r="K130" s="2205"/>
      <c r="L130" s="2297"/>
      <c r="M130" s="2205"/>
      <c r="N130" s="2205"/>
      <c r="O130" s="2206"/>
    </row>
    <row r="131" spans="2:15" ht="16.5">
      <c r="B131" s="1442" t="s">
        <v>211</v>
      </c>
      <c r="C131" s="1452"/>
      <c r="D131" s="1455"/>
      <c r="E131" s="1452"/>
      <c r="F131" s="1444"/>
      <c r="G131" s="1452"/>
      <c r="H131" s="1452"/>
      <c r="I131" s="1452"/>
      <c r="J131" s="1452"/>
      <c r="K131" s="2341"/>
      <c r="L131" s="1443" t="s">
        <v>182</v>
      </c>
      <c r="M131" s="1452"/>
      <c r="N131" s="1452"/>
      <c r="O131" s="1445" t="s">
        <v>182</v>
      </c>
    </row>
    <row r="132" spans="2:15">
      <c r="B132" s="2255"/>
      <c r="C132" s="1452"/>
      <c r="D132" s="1455"/>
      <c r="E132" s="1452"/>
      <c r="F132" s="1444"/>
      <c r="G132" s="1452"/>
      <c r="H132" s="1452"/>
      <c r="I132" s="1452"/>
      <c r="J132" s="1452"/>
      <c r="K132" s="2341"/>
      <c r="L132" s="1451" t="s">
        <v>117</v>
      </c>
      <c r="M132" s="1452"/>
      <c r="N132" s="1459"/>
      <c r="O132" s="1453" t="s">
        <v>117</v>
      </c>
    </row>
    <row r="133" spans="2:15">
      <c r="B133" s="2255"/>
      <c r="C133" s="1460" t="s">
        <v>1010</v>
      </c>
      <c r="D133" s="1461"/>
      <c r="E133" s="1461"/>
      <c r="F133" s="1462"/>
      <c r="G133" s="1452"/>
      <c r="H133" s="1452"/>
      <c r="I133" s="1452"/>
      <c r="J133" s="1452"/>
      <c r="K133" s="2341"/>
      <c r="L133" s="1463" t="e">
        <f>L24</f>
        <v>#DIV/0!</v>
      </c>
      <c r="M133" s="1452"/>
      <c r="N133" s="1452"/>
      <c r="O133" s="1464" t="e">
        <f>O24</f>
        <v>#DIV/0!</v>
      </c>
    </row>
    <row r="134" spans="2:15">
      <c r="B134" s="2255"/>
      <c r="C134" s="1460" t="s">
        <v>212</v>
      </c>
      <c r="D134" s="1461"/>
      <c r="E134" s="1461"/>
      <c r="F134" s="1462"/>
      <c r="G134" s="1452"/>
      <c r="H134" s="1452"/>
      <c r="I134" s="1452"/>
      <c r="J134" s="1452"/>
      <c r="K134" s="2341"/>
      <c r="L134" s="1463" t="e">
        <f>L113</f>
        <v>#DIV/0!</v>
      </c>
      <c r="M134" s="1452"/>
      <c r="N134" s="1452"/>
      <c r="O134" s="1464" t="e">
        <f>O113</f>
        <v>#DIV/0!</v>
      </c>
    </row>
    <row r="135" spans="2:15">
      <c r="B135" s="2255"/>
      <c r="C135" s="1460" t="s">
        <v>1012</v>
      </c>
      <c r="D135" s="1461"/>
      <c r="E135" s="1461"/>
      <c r="F135" s="1462"/>
      <c r="G135" s="1452"/>
      <c r="H135" s="1452"/>
      <c r="I135" s="1452"/>
      <c r="J135" s="1452"/>
      <c r="K135" s="2341"/>
      <c r="L135" s="1465">
        <f>L123</f>
        <v>0</v>
      </c>
      <c r="M135" s="1452"/>
      <c r="N135" s="1452"/>
      <c r="O135" s="2342">
        <f>O116</f>
        <v>0</v>
      </c>
    </row>
    <row r="136" spans="2:15">
      <c r="B136" s="2255"/>
      <c r="C136" s="2381" t="s">
        <v>537</v>
      </c>
      <c r="D136" s="2382"/>
      <c r="E136" s="2383"/>
      <c r="F136" s="2384"/>
      <c r="G136" s="1452"/>
      <c r="H136" s="1452"/>
      <c r="I136" s="1452"/>
      <c r="J136" s="1452"/>
      <c r="K136" s="2341"/>
      <c r="L136" s="2385" t="e">
        <f>IF(COUNTIF(L133:L135,$R$115)&gt;0,$R$115,SUM(L133:L135))</f>
        <v>#DIV/0!</v>
      </c>
      <c r="M136" s="1452"/>
      <c r="N136" s="1452"/>
      <c r="O136" s="2386" t="e">
        <f>IF(COUNTIF(O133:O135,$R$115)&gt;0,$R$115,SUM(O133:O135))</f>
        <v>#DIV/0!</v>
      </c>
    </row>
    <row r="137" spans="2:15">
      <c r="B137" s="2255"/>
      <c r="C137" s="2376" t="s">
        <v>213</v>
      </c>
      <c r="D137" s="1461"/>
      <c r="E137" s="1461"/>
      <c r="F137" s="1462"/>
      <c r="G137" s="1452"/>
      <c r="H137" s="1452"/>
      <c r="I137" s="1452"/>
      <c r="J137" s="1452"/>
      <c r="K137" s="2341"/>
      <c r="L137" s="1471" t="e">
        <f>IF(O136=R115,R115,L136/O136)</f>
        <v>#DIV/0!</v>
      </c>
      <c r="M137" s="1452"/>
      <c r="N137" s="1452"/>
      <c r="O137" s="1472">
        <v>1</v>
      </c>
    </row>
    <row r="138" spans="2:15" ht="14.25" thickBot="1">
      <c r="B138" s="1442"/>
      <c r="C138" s="1448"/>
      <c r="D138" s="1448"/>
      <c r="E138" s="1448"/>
      <c r="F138" s="1448"/>
      <c r="G138" s="1452"/>
      <c r="H138" s="1452"/>
      <c r="I138" s="1452"/>
      <c r="J138" s="1452"/>
      <c r="K138" s="2341"/>
      <c r="L138" s="2375"/>
      <c r="M138" s="1452"/>
      <c r="N138" s="1452"/>
      <c r="O138" s="1473"/>
    </row>
    <row r="139" spans="2:15" ht="17.25" thickBot="1">
      <c r="B139" s="1442" t="s">
        <v>216</v>
      </c>
      <c r="C139" s="1448"/>
      <c r="D139" s="1448"/>
      <c r="E139" s="1448"/>
      <c r="F139" s="1448"/>
      <c r="G139" s="1448"/>
      <c r="H139" s="1448"/>
      <c r="I139" s="1448"/>
      <c r="J139" s="1448"/>
      <c r="K139" s="1474" t="s">
        <v>217</v>
      </c>
      <c r="L139" s="1988" t="e">
        <f>ROUNDDOWN(IF(L137=R115,0,IF(L137&lt;0.5,5,IF(L137&gt;1.25,1,IF(L137&gt;1,-8*L137+11,3+(1-L137)*4)))),1)</f>
        <v>#DIV/0!</v>
      </c>
      <c r="M139" s="1452"/>
      <c r="N139" s="1448"/>
      <c r="O139" s="1473"/>
    </row>
    <row r="140" spans="2:15" ht="14.25" thickBot="1">
      <c r="B140" s="1475"/>
      <c r="C140" s="1476"/>
      <c r="D140" s="1476"/>
      <c r="E140" s="1476"/>
      <c r="F140" s="1476"/>
      <c r="G140" s="1476"/>
      <c r="H140" s="1476"/>
      <c r="I140" s="1476"/>
      <c r="J140" s="1476"/>
      <c r="K140" s="1476"/>
      <c r="L140" s="1476"/>
      <c r="M140" s="1476"/>
      <c r="N140" s="1476"/>
      <c r="O140" s="1477"/>
    </row>
    <row r="141" spans="2:15"/>
    <row r="142" spans="2:15"/>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sheetData>
  <sheetProtection password="CC47" sheet="1" objects="1" scenarios="1"/>
  <mergeCells count="5">
    <mergeCell ref="L2:M2"/>
    <mergeCell ref="N2:O2"/>
    <mergeCell ref="L3:M3"/>
    <mergeCell ref="B3:E3"/>
    <mergeCell ref="N3:O3"/>
  </mergeCells>
  <phoneticPr fontId="20"/>
  <conditionalFormatting sqref="E135 E133">
    <cfRule type="cellIs" dxfId="26" priority="4" stopIfTrue="1" operator="equal">
      <formula>5</formula>
    </cfRule>
    <cfRule type="cellIs" dxfId="25" priority="5" stopIfTrue="1" operator="equal">
      <formula>4</formula>
    </cfRule>
    <cfRule type="cellIs" dxfId="24" priority="6" stopIfTrue="1" operator="equal">
      <formula>2</formula>
    </cfRule>
  </conditionalFormatting>
  <conditionalFormatting sqref="E137">
    <cfRule type="cellIs" dxfId="23" priority="1" stopIfTrue="1" operator="equal">
      <formula>5</formula>
    </cfRule>
    <cfRule type="cellIs" dxfId="22" priority="2" stopIfTrue="1" operator="equal">
      <formula>4</formula>
    </cfRule>
    <cfRule type="cellIs" dxfId="21"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1" orientation="portrait" verticalDpi="300" r:id="rId1"/>
  <headerFooter alignWithMargins="0">
    <oddHeader>&amp;L&amp;F&amp;R&amp;A</oddHeader>
    <oddFooter>&amp;C&amp;P/&amp;N</oddFooter>
  </headerFooter>
</worksheet>
</file>

<file path=xl/worksheets/sheet16.xml><?xml version="1.0" encoding="utf-8"?>
<worksheet xmlns="http://schemas.openxmlformats.org/spreadsheetml/2006/main" xmlns:r="http://schemas.openxmlformats.org/officeDocument/2006/relationships">
  <sheetPr codeName="Sheet2">
    <pageSetUpPr fitToPage="1"/>
  </sheetPr>
  <dimension ref="A1:WVX115"/>
  <sheetViews>
    <sheetView showGridLines="0" zoomScaleNormal="100" zoomScaleSheetLayoutView="85" workbookViewId="0">
      <selection activeCell="F84" sqref="F84:M84"/>
    </sheetView>
  </sheetViews>
  <sheetFormatPr defaultColWidth="0" defaultRowHeight="12" customHeight="1" zeroHeight="1"/>
  <cols>
    <col min="1" max="1" width="2.875" style="2453" customWidth="1"/>
    <col min="2" max="2" width="2.625" style="2453" customWidth="1"/>
    <col min="3" max="3" width="18" style="2453" customWidth="1"/>
    <col min="4" max="4" width="12.5" style="2453" customWidth="1"/>
    <col min="5" max="5" width="9.25" style="2453" customWidth="1"/>
    <col min="6" max="6" width="6.875" style="2453" customWidth="1"/>
    <col min="7" max="7" width="5.125" style="2453" customWidth="1"/>
    <col min="8" max="8" width="7.375" style="2453" customWidth="1"/>
    <col min="9" max="9" width="11" style="2453" customWidth="1"/>
    <col min="10" max="10" width="12.375" style="2453" customWidth="1"/>
    <col min="11" max="11" width="12.625" style="2453" customWidth="1"/>
    <col min="12" max="12" width="12.375" style="2453" customWidth="1"/>
    <col min="13" max="13" width="5.25" style="2453" customWidth="1"/>
    <col min="14" max="14" width="7.5" style="2453" customWidth="1"/>
    <col min="15" max="15" width="1.875" style="2453" customWidth="1"/>
    <col min="16" max="16" width="1.875" style="2453" hidden="1" customWidth="1"/>
    <col min="17" max="17" width="8.375" style="2452" hidden="1" customWidth="1"/>
    <col min="18" max="18" width="6.625" style="2452" hidden="1" customWidth="1"/>
    <col min="19" max="19" width="6.875" style="2453" hidden="1" customWidth="1"/>
    <col min="20" max="20" width="10.875" style="2453" hidden="1" customWidth="1"/>
    <col min="21" max="209" width="10.625" style="2453" hidden="1" customWidth="1"/>
    <col min="210" max="257" width="9" style="2453" hidden="1" customWidth="1"/>
    <col min="258" max="258" width="2.875" style="2453" hidden="1" customWidth="1"/>
    <col min="259" max="259" width="2.625" style="2453" hidden="1" customWidth="1"/>
    <col min="260" max="260" width="18" style="2453" hidden="1" customWidth="1"/>
    <col min="261" max="261" width="12.5" style="2453" hidden="1" customWidth="1"/>
    <col min="262" max="262" width="9.25" style="2453" hidden="1" customWidth="1"/>
    <col min="263" max="263" width="6.875" style="2453" hidden="1" customWidth="1"/>
    <col min="264" max="264" width="5.125" style="2453" hidden="1" customWidth="1"/>
    <col min="265" max="265" width="7.375" style="2453" hidden="1" customWidth="1"/>
    <col min="266" max="266" width="11" style="2453" hidden="1" customWidth="1"/>
    <col min="267" max="267" width="12.375" style="2453" hidden="1" customWidth="1"/>
    <col min="268" max="268" width="12.625" style="2453" hidden="1" customWidth="1"/>
    <col min="269" max="269" width="12.375" style="2453" hidden="1" customWidth="1"/>
    <col min="270" max="270" width="5.25" style="2453" hidden="1" customWidth="1"/>
    <col min="271" max="271" width="7.5" style="2453" hidden="1" customWidth="1"/>
    <col min="272" max="272" width="1.875" style="2453" hidden="1" customWidth="1"/>
    <col min="273" max="465" width="9" style="2453" hidden="1" customWidth="1"/>
    <col min="466" max="513" width="9" style="2453" hidden="1"/>
    <col min="514" max="514" width="2.875" style="2453" hidden="1" customWidth="1"/>
    <col min="515" max="515" width="2.625" style="2453" hidden="1" customWidth="1"/>
    <col min="516" max="516" width="18" style="2453" hidden="1" customWidth="1"/>
    <col min="517" max="517" width="12.5" style="2453" hidden="1" customWidth="1"/>
    <col min="518" max="518" width="9.25" style="2453" hidden="1" customWidth="1"/>
    <col min="519" max="519" width="6.875" style="2453" hidden="1" customWidth="1"/>
    <col min="520" max="520" width="5.125" style="2453" hidden="1" customWidth="1"/>
    <col min="521" max="521" width="7.375" style="2453" hidden="1" customWidth="1"/>
    <col min="522" max="522" width="11" style="2453" hidden="1" customWidth="1"/>
    <col min="523" max="523" width="12.375" style="2453" hidden="1" customWidth="1"/>
    <col min="524" max="524" width="12.625" style="2453" hidden="1" customWidth="1"/>
    <col min="525" max="525" width="12.375" style="2453" hidden="1" customWidth="1"/>
    <col min="526" max="526" width="5.25" style="2453" hidden="1" customWidth="1"/>
    <col min="527" max="527" width="7.5" style="2453" hidden="1" customWidth="1"/>
    <col min="528" max="528" width="1.875" style="2453" hidden="1" customWidth="1"/>
    <col min="529" max="721" width="9" style="2453" hidden="1" customWidth="1"/>
    <col min="722" max="769" width="9" style="2453" hidden="1"/>
    <col min="770" max="770" width="2.875" style="2453" hidden="1" customWidth="1"/>
    <col min="771" max="771" width="2.625" style="2453" hidden="1" customWidth="1"/>
    <col min="772" max="772" width="18" style="2453" hidden="1" customWidth="1"/>
    <col min="773" max="773" width="12.5" style="2453" hidden="1" customWidth="1"/>
    <col min="774" max="774" width="9.25" style="2453" hidden="1" customWidth="1"/>
    <col min="775" max="775" width="6.875" style="2453" hidden="1" customWidth="1"/>
    <col min="776" max="776" width="5.125" style="2453" hidden="1" customWidth="1"/>
    <col min="777" max="777" width="7.375" style="2453" hidden="1" customWidth="1"/>
    <col min="778" max="778" width="11" style="2453" hidden="1" customWidth="1"/>
    <col min="779" max="779" width="12.375" style="2453" hidden="1" customWidth="1"/>
    <col min="780" max="780" width="12.625" style="2453" hidden="1" customWidth="1"/>
    <col min="781" max="781" width="12.375" style="2453" hidden="1" customWidth="1"/>
    <col min="782" max="782" width="5.25" style="2453" hidden="1" customWidth="1"/>
    <col min="783" max="783" width="7.5" style="2453" hidden="1" customWidth="1"/>
    <col min="784" max="784" width="1.875" style="2453" hidden="1" customWidth="1"/>
    <col min="785" max="977" width="9" style="2453" hidden="1" customWidth="1"/>
    <col min="978" max="1025" width="9" style="2453" hidden="1"/>
    <col min="1026" max="1026" width="2.875" style="2453" hidden="1" customWidth="1"/>
    <col min="1027" max="1027" width="2.625" style="2453" hidden="1" customWidth="1"/>
    <col min="1028" max="1028" width="18" style="2453" hidden="1" customWidth="1"/>
    <col min="1029" max="1029" width="12.5" style="2453" hidden="1" customWidth="1"/>
    <col min="1030" max="1030" width="9.25" style="2453" hidden="1" customWidth="1"/>
    <col min="1031" max="1031" width="6.875" style="2453" hidden="1" customWidth="1"/>
    <col min="1032" max="1032" width="5.125" style="2453" hidden="1" customWidth="1"/>
    <col min="1033" max="1033" width="7.375" style="2453" hidden="1" customWidth="1"/>
    <col min="1034" max="1034" width="11" style="2453" hidden="1" customWidth="1"/>
    <col min="1035" max="1035" width="12.375" style="2453" hidden="1" customWidth="1"/>
    <col min="1036" max="1036" width="12.625" style="2453" hidden="1" customWidth="1"/>
    <col min="1037" max="1037" width="12.375" style="2453" hidden="1" customWidth="1"/>
    <col min="1038" max="1038" width="5.25" style="2453" hidden="1" customWidth="1"/>
    <col min="1039" max="1039" width="7.5" style="2453" hidden="1" customWidth="1"/>
    <col min="1040" max="1040" width="1.875" style="2453" hidden="1" customWidth="1"/>
    <col min="1041" max="1233" width="9" style="2453" hidden="1" customWidth="1"/>
    <col min="1234" max="1281" width="9" style="2453" hidden="1"/>
    <col min="1282" max="1282" width="2.875" style="2453" hidden="1" customWidth="1"/>
    <col min="1283" max="1283" width="2.625" style="2453" hidden="1" customWidth="1"/>
    <col min="1284" max="1284" width="18" style="2453" hidden="1" customWidth="1"/>
    <col min="1285" max="1285" width="12.5" style="2453" hidden="1" customWidth="1"/>
    <col min="1286" max="1286" width="9.25" style="2453" hidden="1" customWidth="1"/>
    <col min="1287" max="1287" width="6.875" style="2453" hidden="1" customWidth="1"/>
    <col min="1288" max="1288" width="5.125" style="2453" hidden="1" customWidth="1"/>
    <col min="1289" max="1289" width="7.375" style="2453" hidden="1" customWidth="1"/>
    <col min="1290" max="1290" width="11" style="2453" hidden="1" customWidth="1"/>
    <col min="1291" max="1291" width="12.375" style="2453" hidden="1" customWidth="1"/>
    <col min="1292" max="1292" width="12.625" style="2453" hidden="1" customWidth="1"/>
    <col min="1293" max="1293" width="12.375" style="2453" hidden="1" customWidth="1"/>
    <col min="1294" max="1294" width="5.25" style="2453" hidden="1" customWidth="1"/>
    <col min="1295" max="1295" width="7.5" style="2453" hidden="1" customWidth="1"/>
    <col min="1296" max="1296" width="1.875" style="2453" hidden="1" customWidth="1"/>
    <col min="1297" max="1489" width="9" style="2453" hidden="1" customWidth="1"/>
    <col min="1490" max="1537" width="9" style="2453" hidden="1"/>
    <col min="1538" max="1538" width="2.875" style="2453" hidden="1" customWidth="1"/>
    <col min="1539" max="1539" width="2.625" style="2453" hidden="1" customWidth="1"/>
    <col min="1540" max="1540" width="18" style="2453" hidden="1" customWidth="1"/>
    <col min="1541" max="1541" width="12.5" style="2453" hidden="1" customWidth="1"/>
    <col min="1542" max="1542" width="9.25" style="2453" hidden="1" customWidth="1"/>
    <col min="1543" max="1543" width="6.875" style="2453" hidden="1" customWidth="1"/>
    <col min="1544" max="1544" width="5.125" style="2453" hidden="1" customWidth="1"/>
    <col min="1545" max="1545" width="7.375" style="2453" hidden="1" customWidth="1"/>
    <col min="1546" max="1546" width="11" style="2453" hidden="1" customWidth="1"/>
    <col min="1547" max="1547" width="12.375" style="2453" hidden="1" customWidth="1"/>
    <col min="1548" max="1548" width="12.625" style="2453" hidden="1" customWidth="1"/>
    <col min="1549" max="1549" width="12.375" style="2453" hidden="1" customWidth="1"/>
    <col min="1550" max="1550" width="5.25" style="2453" hidden="1" customWidth="1"/>
    <col min="1551" max="1551" width="7.5" style="2453" hidden="1" customWidth="1"/>
    <col min="1552" max="1552" width="1.875" style="2453" hidden="1" customWidth="1"/>
    <col min="1553" max="1745" width="9" style="2453" hidden="1" customWidth="1"/>
    <col min="1746" max="1793" width="9" style="2453" hidden="1"/>
    <col min="1794" max="1794" width="2.875" style="2453" hidden="1" customWidth="1"/>
    <col min="1795" max="1795" width="2.625" style="2453" hidden="1" customWidth="1"/>
    <col min="1796" max="1796" width="18" style="2453" hidden="1" customWidth="1"/>
    <col min="1797" max="1797" width="12.5" style="2453" hidden="1" customWidth="1"/>
    <col min="1798" max="1798" width="9.25" style="2453" hidden="1" customWidth="1"/>
    <col min="1799" max="1799" width="6.875" style="2453" hidden="1" customWidth="1"/>
    <col min="1800" max="1800" width="5.125" style="2453" hidden="1" customWidth="1"/>
    <col min="1801" max="1801" width="7.375" style="2453" hidden="1" customWidth="1"/>
    <col min="1802" max="1802" width="11" style="2453" hidden="1" customWidth="1"/>
    <col min="1803" max="1803" width="12.375" style="2453" hidden="1" customWidth="1"/>
    <col min="1804" max="1804" width="12.625" style="2453" hidden="1" customWidth="1"/>
    <col min="1805" max="1805" width="12.375" style="2453" hidden="1" customWidth="1"/>
    <col min="1806" max="1806" width="5.25" style="2453" hidden="1" customWidth="1"/>
    <col min="1807" max="1807" width="7.5" style="2453" hidden="1" customWidth="1"/>
    <col min="1808" max="1808" width="1.875" style="2453" hidden="1" customWidth="1"/>
    <col min="1809" max="2001" width="9" style="2453" hidden="1" customWidth="1"/>
    <col min="2002" max="2049" width="9" style="2453" hidden="1"/>
    <col min="2050" max="2050" width="2.875" style="2453" hidden="1" customWidth="1"/>
    <col min="2051" max="2051" width="2.625" style="2453" hidden="1" customWidth="1"/>
    <col min="2052" max="2052" width="18" style="2453" hidden="1" customWidth="1"/>
    <col min="2053" max="2053" width="12.5" style="2453" hidden="1" customWidth="1"/>
    <col min="2054" max="2054" width="9.25" style="2453" hidden="1" customWidth="1"/>
    <col min="2055" max="2055" width="6.875" style="2453" hidden="1" customWidth="1"/>
    <col min="2056" max="2056" width="5.125" style="2453" hidden="1" customWidth="1"/>
    <col min="2057" max="2057" width="7.375" style="2453" hidden="1" customWidth="1"/>
    <col min="2058" max="2058" width="11" style="2453" hidden="1" customWidth="1"/>
    <col min="2059" max="2059" width="12.375" style="2453" hidden="1" customWidth="1"/>
    <col min="2060" max="2060" width="12.625" style="2453" hidden="1" customWidth="1"/>
    <col min="2061" max="2061" width="12.375" style="2453" hidden="1" customWidth="1"/>
    <col min="2062" max="2062" width="5.25" style="2453" hidden="1" customWidth="1"/>
    <col min="2063" max="2063" width="7.5" style="2453" hidden="1" customWidth="1"/>
    <col min="2064" max="2064" width="1.875" style="2453" hidden="1" customWidth="1"/>
    <col min="2065" max="2257" width="9" style="2453" hidden="1" customWidth="1"/>
    <col min="2258" max="2305" width="9" style="2453" hidden="1"/>
    <col min="2306" max="2306" width="2.875" style="2453" hidden="1" customWidth="1"/>
    <col min="2307" max="2307" width="2.625" style="2453" hidden="1" customWidth="1"/>
    <col min="2308" max="2308" width="18" style="2453" hidden="1" customWidth="1"/>
    <col min="2309" max="2309" width="12.5" style="2453" hidden="1" customWidth="1"/>
    <col min="2310" max="2310" width="9.25" style="2453" hidden="1" customWidth="1"/>
    <col min="2311" max="2311" width="6.875" style="2453" hidden="1" customWidth="1"/>
    <col min="2312" max="2312" width="5.125" style="2453" hidden="1" customWidth="1"/>
    <col min="2313" max="2313" width="7.375" style="2453" hidden="1" customWidth="1"/>
    <col min="2314" max="2314" width="11" style="2453" hidden="1" customWidth="1"/>
    <col min="2315" max="2315" width="12.375" style="2453" hidden="1" customWidth="1"/>
    <col min="2316" max="2316" width="12.625" style="2453" hidden="1" customWidth="1"/>
    <col min="2317" max="2317" width="12.375" style="2453" hidden="1" customWidth="1"/>
    <col min="2318" max="2318" width="5.25" style="2453" hidden="1" customWidth="1"/>
    <col min="2319" max="2319" width="7.5" style="2453" hidden="1" customWidth="1"/>
    <col min="2320" max="2320" width="1.875" style="2453" hidden="1" customWidth="1"/>
    <col min="2321" max="2513" width="9" style="2453" hidden="1" customWidth="1"/>
    <col min="2514" max="2561" width="9" style="2453" hidden="1"/>
    <col min="2562" max="2562" width="2.875" style="2453" hidden="1" customWidth="1"/>
    <col min="2563" max="2563" width="2.625" style="2453" hidden="1" customWidth="1"/>
    <col min="2564" max="2564" width="18" style="2453" hidden="1" customWidth="1"/>
    <col min="2565" max="2565" width="12.5" style="2453" hidden="1" customWidth="1"/>
    <col min="2566" max="2566" width="9.25" style="2453" hidden="1" customWidth="1"/>
    <col min="2567" max="2567" width="6.875" style="2453" hidden="1" customWidth="1"/>
    <col min="2568" max="2568" width="5.125" style="2453" hidden="1" customWidth="1"/>
    <col min="2569" max="2569" width="7.375" style="2453" hidden="1" customWidth="1"/>
    <col min="2570" max="2570" width="11" style="2453" hidden="1" customWidth="1"/>
    <col min="2571" max="2571" width="12.375" style="2453" hidden="1" customWidth="1"/>
    <col min="2572" max="2572" width="12.625" style="2453" hidden="1" customWidth="1"/>
    <col min="2573" max="2573" width="12.375" style="2453" hidden="1" customWidth="1"/>
    <col min="2574" max="2574" width="5.25" style="2453" hidden="1" customWidth="1"/>
    <col min="2575" max="2575" width="7.5" style="2453" hidden="1" customWidth="1"/>
    <col min="2576" max="2576" width="1.875" style="2453" hidden="1" customWidth="1"/>
    <col min="2577" max="2769" width="9" style="2453" hidden="1" customWidth="1"/>
    <col min="2770" max="2817" width="9" style="2453" hidden="1"/>
    <col min="2818" max="2818" width="2.875" style="2453" hidden="1" customWidth="1"/>
    <col min="2819" max="2819" width="2.625" style="2453" hidden="1" customWidth="1"/>
    <col min="2820" max="2820" width="18" style="2453" hidden="1" customWidth="1"/>
    <col min="2821" max="2821" width="12.5" style="2453" hidden="1" customWidth="1"/>
    <col min="2822" max="2822" width="9.25" style="2453" hidden="1" customWidth="1"/>
    <col min="2823" max="2823" width="6.875" style="2453" hidden="1" customWidth="1"/>
    <col min="2824" max="2824" width="5.125" style="2453" hidden="1" customWidth="1"/>
    <col min="2825" max="2825" width="7.375" style="2453" hidden="1" customWidth="1"/>
    <col min="2826" max="2826" width="11" style="2453" hidden="1" customWidth="1"/>
    <col min="2827" max="2827" width="12.375" style="2453" hidden="1" customWidth="1"/>
    <col min="2828" max="2828" width="12.625" style="2453" hidden="1" customWidth="1"/>
    <col min="2829" max="2829" width="12.375" style="2453" hidden="1" customWidth="1"/>
    <col min="2830" max="2830" width="5.25" style="2453" hidden="1" customWidth="1"/>
    <col min="2831" max="2831" width="7.5" style="2453" hidden="1" customWidth="1"/>
    <col min="2832" max="2832" width="1.875" style="2453" hidden="1" customWidth="1"/>
    <col min="2833" max="3025" width="9" style="2453" hidden="1" customWidth="1"/>
    <col min="3026" max="3073" width="9" style="2453" hidden="1"/>
    <col min="3074" max="3074" width="2.875" style="2453" hidden="1" customWidth="1"/>
    <col min="3075" max="3075" width="2.625" style="2453" hidden="1" customWidth="1"/>
    <col min="3076" max="3076" width="18" style="2453" hidden="1" customWidth="1"/>
    <col min="3077" max="3077" width="12.5" style="2453" hidden="1" customWidth="1"/>
    <col min="3078" max="3078" width="9.25" style="2453" hidden="1" customWidth="1"/>
    <col min="3079" max="3079" width="6.875" style="2453" hidden="1" customWidth="1"/>
    <col min="3080" max="3080" width="5.125" style="2453" hidden="1" customWidth="1"/>
    <col min="3081" max="3081" width="7.375" style="2453" hidden="1" customWidth="1"/>
    <col min="3082" max="3082" width="11" style="2453" hidden="1" customWidth="1"/>
    <col min="3083" max="3083" width="12.375" style="2453" hidden="1" customWidth="1"/>
    <col min="3084" max="3084" width="12.625" style="2453" hidden="1" customWidth="1"/>
    <col min="3085" max="3085" width="12.375" style="2453" hidden="1" customWidth="1"/>
    <col min="3086" max="3086" width="5.25" style="2453" hidden="1" customWidth="1"/>
    <col min="3087" max="3087" width="7.5" style="2453" hidden="1" customWidth="1"/>
    <col min="3088" max="3088" width="1.875" style="2453" hidden="1" customWidth="1"/>
    <col min="3089" max="3281" width="9" style="2453" hidden="1" customWidth="1"/>
    <col min="3282" max="3329" width="9" style="2453" hidden="1"/>
    <col min="3330" max="3330" width="2.875" style="2453" hidden="1" customWidth="1"/>
    <col min="3331" max="3331" width="2.625" style="2453" hidden="1" customWidth="1"/>
    <col min="3332" max="3332" width="18" style="2453" hidden="1" customWidth="1"/>
    <col min="3333" max="3333" width="12.5" style="2453" hidden="1" customWidth="1"/>
    <col min="3334" max="3334" width="9.25" style="2453" hidden="1" customWidth="1"/>
    <col min="3335" max="3335" width="6.875" style="2453" hidden="1" customWidth="1"/>
    <col min="3336" max="3336" width="5.125" style="2453" hidden="1" customWidth="1"/>
    <col min="3337" max="3337" width="7.375" style="2453" hidden="1" customWidth="1"/>
    <col min="3338" max="3338" width="11" style="2453" hidden="1" customWidth="1"/>
    <col min="3339" max="3339" width="12.375" style="2453" hidden="1" customWidth="1"/>
    <col min="3340" max="3340" width="12.625" style="2453" hidden="1" customWidth="1"/>
    <col min="3341" max="3341" width="12.375" style="2453" hidden="1" customWidth="1"/>
    <col min="3342" max="3342" width="5.25" style="2453" hidden="1" customWidth="1"/>
    <col min="3343" max="3343" width="7.5" style="2453" hidden="1" customWidth="1"/>
    <col min="3344" max="3344" width="1.875" style="2453" hidden="1" customWidth="1"/>
    <col min="3345" max="3537" width="9" style="2453" hidden="1" customWidth="1"/>
    <col min="3538" max="3585" width="9" style="2453" hidden="1"/>
    <col min="3586" max="3586" width="2.875" style="2453" hidden="1" customWidth="1"/>
    <col min="3587" max="3587" width="2.625" style="2453" hidden="1" customWidth="1"/>
    <col min="3588" max="3588" width="18" style="2453" hidden="1" customWidth="1"/>
    <col min="3589" max="3589" width="12.5" style="2453" hidden="1" customWidth="1"/>
    <col min="3590" max="3590" width="9.25" style="2453" hidden="1" customWidth="1"/>
    <col min="3591" max="3591" width="6.875" style="2453" hidden="1" customWidth="1"/>
    <col min="3592" max="3592" width="5.125" style="2453" hidden="1" customWidth="1"/>
    <col min="3593" max="3593" width="7.375" style="2453" hidden="1" customWidth="1"/>
    <col min="3594" max="3594" width="11" style="2453" hidden="1" customWidth="1"/>
    <col min="3595" max="3595" width="12.375" style="2453" hidden="1" customWidth="1"/>
    <col min="3596" max="3596" width="12.625" style="2453" hidden="1" customWidth="1"/>
    <col min="3597" max="3597" width="12.375" style="2453" hidden="1" customWidth="1"/>
    <col min="3598" max="3598" width="5.25" style="2453" hidden="1" customWidth="1"/>
    <col min="3599" max="3599" width="7.5" style="2453" hidden="1" customWidth="1"/>
    <col min="3600" max="3600" width="1.875" style="2453" hidden="1" customWidth="1"/>
    <col min="3601" max="3793" width="9" style="2453" hidden="1" customWidth="1"/>
    <col min="3794" max="3841" width="9" style="2453" hidden="1"/>
    <col min="3842" max="3842" width="2.875" style="2453" hidden="1" customWidth="1"/>
    <col min="3843" max="3843" width="2.625" style="2453" hidden="1" customWidth="1"/>
    <col min="3844" max="3844" width="18" style="2453" hidden="1" customWidth="1"/>
    <col min="3845" max="3845" width="12.5" style="2453" hidden="1" customWidth="1"/>
    <col min="3846" max="3846" width="9.25" style="2453" hidden="1" customWidth="1"/>
    <col min="3847" max="3847" width="6.875" style="2453" hidden="1" customWidth="1"/>
    <col min="3848" max="3848" width="5.125" style="2453" hidden="1" customWidth="1"/>
    <col min="3849" max="3849" width="7.375" style="2453" hidden="1" customWidth="1"/>
    <col min="3850" max="3850" width="11" style="2453" hidden="1" customWidth="1"/>
    <col min="3851" max="3851" width="12.375" style="2453" hidden="1" customWidth="1"/>
    <col min="3852" max="3852" width="12.625" style="2453" hidden="1" customWidth="1"/>
    <col min="3853" max="3853" width="12.375" style="2453" hidden="1" customWidth="1"/>
    <col min="3854" max="3854" width="5.25" style="2453" hidden="1" customWidth="1"/>
    <col min="3855" max="3855" width="7.5" style="2453" hidden="1" customWidth="1"/>
    <col min="3856" max="3856" width="1.875" style="2453" hidden="1" customWidth="1"/>
    <col min="3857" max="4049" width="9" style="2453" hidden="1" customWidth="1"/>
    <col min="4050" max="4097" width="9" style="2453" hidden="1"/>
    <col min="4098" max="4098" width="2.875" style="2453" hidden="1" customWidth="1"/>
    <col min="4099" max="4099" width="2.625" style="2453" hidden="1" customWidth="1"/>
    <col min="4100" max="4100" width="18" style="2453" hidden="1" customWidth="1"/>
    <col min="4101" max="4101" width="12.5" style="2453" hidden="1" customWidth="1"/>
    <col min="4102" max="4102" width="9.25" style="2453" hidden="1" customWidth="1"/>
    <col min="4103" max="4103" width="6.875" style="2453" hidden="1" customWidth="1"/>
    <col min="4104" max="4104" width="5.125" style="2453" hidden="1" customWidth="1"/>
    <col min="4105" max="4105" width="7.375" style="2453" hidden="1" customWidth="1"/>
    <col min="4106" max="4106" width="11" style="2453" hidden="1" customWidth="1"/>
    <col min="4107" max="4107" width="12.375" style="2453" hidden="1" customWidth="1"/>
    <col min="4108" max="4108" width="12.625" style="2453" hidden="1" customWidth="1"/>
    <col min="4109" max="4109" width="12.375" style="2453" hidden="1" customWidth="1"/>
    <col min="4110" max="4110" width="5.25" style="2453" hidden="1" customWidth="1"/>
    <col min="4111" max="4111" width="7.5" style="2453" hidden="1" customWidth="1"/>
    <col min="4112" max="4112" width="1.875" style="2453" hidden="1" customWidth="1"/>
    <col min="4113" max="4305" width="9" style="2453" hidden="1" customWidth="1"/>
    <col min="4306" max="4353" width="9" style="2453" hidden="1"/>
    <col min="4354" max="4354" width="2.875" style="2453" hidden="1" customWidth="1"/>
    <col min="4355" max="4355" width="2.625" style="2453" hidden="1" customWidth="1"/>
    <col min="4356" max="4356" width="18" style="2453" hidden="1" customWidth="1"/>
    <col min="4357" max="4357" width="12.5" style="2453" hidden="1" customWidth="1"/>
    <col min="4358" max="4358" width="9.25" style="2453" hidden="1" customWidth="1"/>
    <col min="4359" max="4359" width="6.875" style="2453" hidden="1" customWidth="1"/>
    <col min="4360" max="4360" width="5.125" style="2453" hidden="1" customWidth="1"/>
    <col min="4361" max="4361" width="7.375" style="2453" hidden="1" customWidth="1"/>
    <col min="4362" max="4362" width="11" style="2453" hidden="1" customWidth="1"/>
    <col min="4363" max="4363" width="12.375" style="2453" hidden="1" customWidth="1"/>
    <col min="4364" max="4364" width="12.625" style="2453" hidden="1" customWidth="1"/>
    <col min="4365" max="4365" width="12.375" style="2453" hidden="1" customWidth="1"/>
    <col min="4366" max="4366" width="5.25" style="2453" hidden="1" customWidth="1"/>
    <col min="4367" max="4367" width="7.5" style="2453" hidden="1" customWidth="1"/>
    <col min="4368" max="4368" width="1.875" style="2453" hidden="1" customWidth="1"/>
    <col min="4369" max="4561" width="9" style="2453" hidden="1" customWidth="1"/>
    <col min="4562" max="4609" width="9" style="2453" hidden="1"/>
    <col min="4610" max="4610" width="2.875" style="2453" hidden="1" customWidth="1"/>
    <col min="4611" max="4611" width="2.625" style="2453" hidden="1" customWidth="1"/>
    <col min="4612" max="4612" width="18" style="2453" hidden="1" customWidth="1"/>
    <col min="4613" max="4613" width="12.5" style="2453" hidden="1" customWidth="1"/>
    <col min="4614" max="4614" width="9.25" style="2453" hidden="1" customWidth="1"/>
    <col min="4615" max="4615" width="6.875" style="2453" hidden="1" customWidth="1"/>
    <col min="4616" max="4616" width="5.125" style="2453" hidden="1" customWidth="1"/>
    <col min="4617" max="4617" width="7.375" style="2453" hidden="1" customWidth="1"/>
    <col min="4618" max="4618" width="11" style="2453" hidden="1" customWidth="1"/>
    <col min="4619" max="4619" width="12.375" style="2453" hidden="1" customWidth="1"/>
    <col min="4620" max="4620" width="12.625" style="2453" hidden="1" customWidth="1"/>
    <col min="4621" max="4621" width="12.375" style="2453" hidden="1" customWidth="1"/>
    <col min="4622" max="4622" width="5.25" style="2453" hidden="1" customWidth="1"/>
    <col min="4623" max="4623" width="7.5" style="2453" hidden="1" customWidth="1"/>
    <col min="4624" max="4624" width="1.875" style="2453" hidden="1" customWidth="1"/>
    <col min="4625" max="4817" width="9" style="2453" hidden="1" customWidth="1"/>
    <col min="4818" max="4865" width="9" style="2453" hidden="1"/>
    <col min="4866" max="4866" width="2.875" style="2453" hidden="1" customWidth="1"/>
    <col min="4867" max="4867" width="2.625" style="2453" hidden="1" customWidth="1"/>
    <col min="4868" max="4868" width="18" style="2453" hidden="1" customWidth="1"/>
    <col min="4869" max="4869" width="12.5" style="2453" hidden="1" customWidth="1"/>
    <col min="4870" max="4870" width="9.25" style="2453" hidden="1" customWidth="1"/>
    <col min="4871" max="4871" width="6.875" style="2453" hidden="1" customWidth="1"/>
    <col min="4872" max="4872" width="5.125" style="2453" hidden="1" customWidth="1"/>
    <col min="4873" max="4873" width="7.375" style="2453" hidden="1" customWidth="1"/>
    <col min="4874" max="4874" width="11" style="2453" hidden="1" customWidth="1"/>
    <col min="4875" max="4875" width="12.375" style="2453" hidden="1" customWidth="1"/>
    <col min="4876" max="4876" width="12.625" style="2453" hidden="1" customWidth="1"/>
    <col min="4877" max="4877" width="12.375" style="2453" hidden="1" customWidth="1"/>
    <col min="4878" max="4878" width="5.25" style="2453" hidden="1" customWidth="1"/>
    <col min="4879" max="4879" width="7.5" style="2453" hidden="1" customWidth="1"/>
    <col min="4880" max="4880" width="1.875" style="2453" hidden="1" customWidth="1"/>
    <col min="4881" max="5073" width="9" style="2453" hidden="1" customWidth="1"/>
    <col min="5074" max="5121" width="9" style="2453" hidden="1"/>
    <col min="5122" max="5122" width="2.875" style="2453" hidden="1" customWidth="1"/>
    <col min="5123" max="5123" width="2.625" style="2453" hidden="1" customWidth="1"/>
    <col min="5124" max="5124" width="18" style="2453" hidden="1" customWidth="1"/>
    <col min="5125" max="5125" width="12.5" style="2453" hidden="1" customWidth="1"/>
    <col min="5126" max="5126" width="9.25" style="2453" hidden="1" customWidth="1"/>
    <col min="5127" max="5127" width="6.875" style="2453" hidden="1" customWidth="1"/>
    <col min="5128" max="5128" width="5.125" style="2453" hidden="1" customWidth="1"/>
    <col min="5129" max="5129" width="7.375" style="2453" hidden="1" customWidth="1"/>
    <col min="5130" max="5130" width="11" style="2453" hidden="1" customWidth="1"/>
    <col min="5131" max="5131" width="12.375" style="2453" hidden="1" customWidth="1"/>
    <col min="5132" max="5132" width="12.625" style="2453" hidden="1" customWidth="1"/>
    <col min="5133" max="5133" width="12.375" style="2453" hidden="1" customWidth="1"/>
    <col min="5134" max="5134" width="5.25" style="2453" hidden="1" customWidth="1"/>
    <col min="5135" max="5135" width="7.5" style="2453" hidden="1" customWidth="1"/>
    <col min="5136" max="5136" width="1.875" style="2453" hidden="1" customWidth="1"/>
    <col min="5137" max="5329" width="9" style="2453" hidden="1" customWidth="1"/>
    <col min="5330" max="5377" width="9" style="2453" hidden="1"/>
    <col min="5378" max="5378" width="2.875" style="2453" hidden="1" customWidth="1"/>
    <col min="5379" max="5379" width="2.625" style="2453" hidden="1" customWidth="1"/>
    <col min="5380" max="5380" width="18" style="2453" hidden="1" customWidth="1"/>
    <col min="5381" max="5381" width="12.5" style="2453" hidden="1" customWidth="1"/>
    <col min="5382" max="5382" width="9.25" style="2453" hidden="1" customWidth="1"/>
    <col min="5383" max="5383" width="6.875" style="2453" hidden="1" customWidth="1"/>
    <col min="5384" max="5384" width="5.125" style="2453" hidden="1" customWidth="1"/>
    <col min="5385" max="5385" width="7.375" style="2453" hidden="1" customWidth="1"/>
    <col min="5386" max="5386" width="11" style="2453" hidden="1" customWidth="1"/>
    <col min="5387" max="5387" width="12.375" style="2453" hidden="1" customWidth="1"/>
    <col min="5388" max="5388" width="12.625" style="2453" hidden="1" customWidth="1"/>
    <col min="5389" max="5389" width="12.375" style="2453" hidden="1" customWidth="1"/>
    <col min="5390" max="5390" width="5.25" style="2453" hidden="1" customWidth="1"/>
    <col min="5391" max="5391" width="7.5" style="2453" hidden="1" customWidth="1"/>
    <col min="5392" max="5392" width="1.875" style="2453" hidden="1" customWidth="1"/>
    <col min="5393" max="5585" width="9" style="2453" hidden="1" customWidth="1"/>
    <col min="5586" max="5633" width="9" style="2453" hidden="1"/>
    <col min="5634" max="5634" width="2.875" style="2453" hidden="1" customWidth="1"/>
    <col min="5635" max="5635" width="2.625" style="2453" hidden="1" customWidth="1"/>
    <col min="5636" max="5636" width="18" style="2453" hidden="1" customWidth="1"/>
    <col min="5637" max="5637" width="12.5" style="2453" hidden="1" customWidth="1"/>
    <col min="5638" max="5638" width="9.25" style="2453" hidden="1" customWidth="1"/>
    <col min="5639" max="5639" width="6.875" style="2453" hidden="1" customWidth="1"/>
    <col min="5640" max="5640" width="5.125" style="2453" hidden="1" customWidth="1"/>
    <col min="5641" max="5641" width="7.375" style="2453" hidden="1" customWidth="1"/>
    <col min="5642" max="5642" width="11" style="2453" hidden="1" customWidth="1"/>
    <col min="5643" max="5643" width="12.375" style="2453" hidden="1" customWidth="1"/>
    <col min="5644" max="5644" width="12.625" style="2453" hidden="1" customWidth="1"/>
    <col min="5645" max="5645" width="12.375" style="2453" hidden="1" customWidth="1"/>
    <col min="5646" max="5646" width="5.25" style="2453" hidden="1" customWidth="1"/>
    <col min="5647" max="5647" width="7.5" style="2453" hidden="1" customWidth="1"/>
    <col min="5648" max="5648" width="1.875" style="2453" hidden="1" customWidth="1"/>
    <col min="5649" max="5841" width="9" style="2453" hidden="1" customWidth="1"/>
    <col min="5842" max="5889" width="9" style="2453" hidden="1"/>
    <col min="5890" max="5890" width="2.875" style="2453" hidden="1" customWidth="1"/>
    <col min="5891" max="5891" width="2.625" style="2453" hidden="1" customWidth="1"/>
    <col min="5892" max="5892" width="18" style="2453" hidden="1" customWidth="1"/>
    <col min="5893" max="5893" width="12.5" style="2453" hidden="1" customWidth="1"/>
    <col min="5894" max="5894" width="9.25" style="2453" hidden="1" customWidth="1"/>
    <col min="5895" max="5895" width="6.875" style="2453" hidden="1" customWidth="1"/>
    <col min="5896" max="5896" width="5.125" style="2453" hidden="1" customWidth="1"/>
    <col min="5897" max="5897" width="7.375" style="2453" hidden="1" customWidth="1"/>
    <col min="5898" max="5898" width="11" style="2453" hidden="1" customWidth="1"/>
    <col min="5899" max="5899" width="12.375" style="2453" hidden="1" customWidth="1"/>
    <col min="5900" max="5900" width="12.625" style="2453" hidden="1" customWidth="1"/>
    <col min="5901" max="5901" width="12.375" style="2453" hidden="1" customWidth="1"/>
    <col min="5902" max="5902" width="5.25" style="2453" hidden="1" customWidth="1"/>
    <col min="5903" max="5903" width="7.5" style="2453" hidden="1" customWidth="1"/>
    <col min="5904" max="5904" width="1.875" style="2453" hidden="1" customWidth="1"/>
    <col min="5905" max="6097" width="9" style="2453" hidden="1" customWidth="1"/>
    <col min="6098" max="6145" width="9" style="2453" hidden="1"/>
    <col min="6146" max="6146" width="2.875" style="2453" hidden="1" customWidth="1"/>
    <col min="6147" max="6147" width="2.625" style="2453" hidden="1" customWidth="1"/>
    <col min="6148" max="6148" width="18" style="2453" hidden="1" customWidth="1"/>
    <col min="6149" max="6149" width="12.5" style="2453" hidden="1" customWidth="1"/>
    <col min="6150" max="6150" width="9.25" style="2453" hidden="1" customWidth="1"/>
    <col min="6151" max="6151" width="6.875" style="2453" hidden="1" customWidth="1"/>
    <col min="6152" max="6152" width="5.125" style="2453" hidden="1" customWidth="1"/>
    <col min="6153" max="6153" width="7.375" style="2453" hidden="1" customWidth="1"/>
    <col min="6154" max="6154" width="11" style="2453" hidden="1" customWidth="1"/>
    <col min="6155" max="6155" width="12.375" style="2453" hidden="1" customWidth="1"/>
    <col min="6156" max="6156" width="12.625" style="2453" hidden="1" customWidth="1"/>
    <col min="6157" max="6157" width="12.375" style="2453" hidden="1" customWidth="1"/>
    <col min="6158" max="6158" width="5.25" style="2453" hidden="1" customWidth="1"/>
    <col min="6159" max="6159" width="7.5" style="2453" hidden="1" customWidth="1"/>
    <col min="6160" max="6160" width="1.875" style="2453" hidden="1" customWidth="1"/>
    <col min="6161" max="6353" width="9" style="2453" hidden="1" customWidth="1"/>
    <col min="6354" max="6401" width="9" style="2453" hidden="1"/>
    <col min="6402" max="6402" width="2.875" style="2453" hidden="1" customWidth="1"/>
    <col min="6403" max="6403" width="2.625" style="2453" hidden="1" customWidth="1"/>
    <col min="6404" max="6404" width="18" style="2453" hidden="1" customWidth="1"/>
    <col min="6405" max="6405" width="12.5" style="2453" hidden="1" customWidth="1"/>
    <col min="6406" max="6406" width="9.25" style="2453" hidden="1" customWidth="1"/>
    <col min="6407" max="6407" width="6.875" style="2453" hidden="1" customWidth="1"/>
    <col min="6408" max="6408" width="5.125" style="2453" hidden="1" customWidth="1"/>
    <col min="6409" max="6409" width="7.375" style="2453" hidden="1" customWidth="1"/>
    <col min="6410" max="6410" width="11" style="2453" hidden="1" customWidth="1"/>
    <col min="6411" max="6411" width="12.375" style="2453" hidden="1" customWidth="1"/>
    <col min="6412" max="6412" width="12.625" style="2453" hidden="1" customWidth="1"/>
    <col min="6413" max="6413" width="12.375" style="2453" hidden="1" customWidth="1"/>
    <col min="6414" max="6414" width="5.25" style="2453" hidden="1" customWidth="1"/>
    <col min="6415" max="6415" width="7.5" style="2453" hidden="1" customWidth="1"/>
    <col min="6416" max="6416" width="1.875" style="2453" hidden="1" customWidth="1"/>
    <col min="6417" max="6609" width="9" style="2453" hidden="1" customWidth="1"/>
    <col min="6610" max="6657" width="9" style="2453" hidden="1"/>
    <col min="6658" max="6658" width="2.875" style="2453" hidden="1" customWidth="1"/>
    <col min="6659" max="6659" width="2.625" style="2453" hidden="1" customWidth="1"/>
    <col min="6660" max="6660" width="18" style="2453" hidden="1" customWidth="1"/>
    <col min="6661" max="6661" width="12.5" style="2453" hidden="1" customWidth="1"/>
    <col min="6662" max="6662" width="9.25" style="2453" hidden="1" customWidth="1"/>
    <col min="6663" max="6663" width="6.875" style="2453" hidden="1" customWidth="1"/>
    <col min="6664" max="6664" width="5.125" style="2453" hidden="1" customWidth="1"/>
    <col min="6665" max="6665" width="7.375" style="2453" hidden="1" customWidth="1"/>
    <col min="6666" max="6666" width="11" style="2453" hidden="1" customWidth="1"/>
    <col min="6667" max="6667" width="12.375" style="2453" hidden="1" customWidth="1"/>
    <col min="6668" max="6668" width="12.625" style="2453" hidden="1" customWidth="1"/>
    <col min="6669" max="6669" width="12.375" style="2453" hidden="1" customWidth="1"/>
    <col min="6670" max="6670" width="5.25" style="2453" hidden="1" customWidth="1"/>
    <col min="6671" max="6671" width="7.5" style="2453" hidden="1" customWidth="1"/>
    <col min="6672" max="6672" width="1.875" style="2453" hidden="1" customWidth="1"/>
    <col min="6673" max="6865" width="9" style="2453" hidden="1" customWidth="1"/>
    <col min="6866" max="6913" width="9" style="2453" hidden="1"/>
    <col min="6914" max="6914" width="2.875" style="2453" hidden="1" customWidth="1"/>
    <col min="6915" max="6915" width="2.625" style="2453" hidden="1" customWidth="1"/>
    <col min="6916" max="6916" width="18" style="2453" hidden="1" customWidth="1"/>
    <col min="6917" max="6917" width="12.5" style="2453" hidden="1" customWidth="1"/>
    <col min="6918" max="6918" width="9.25" style="2453" hidden="1" customWidth="1"/>
    <col min="6919" max="6919" width="6.875" style="2453" hidden="1" customWidth="1"/>
    <col min="6920" max="6920" width="5.125" style="2453" hidden="1" customWidth="1"/>
    <col min="6921" max="6921" width="7.375" style="2453" hidden="1" customWidth="1"/>
    <col min="6922" max="6922" width="11" style="2453" hidden="1" customWidth="1"/>
    <col min="6923" max="6923" width="12.375" style="2453" hidden="1" customWidth="1"/>
    <col min="6924" max="6924" width="12.625" style="2453" hidden="1" customWidth="1"/>
    <col min="6925" max="6925" width="12.375" style="2453" hidden="1" customWidth="1"/>
    <col min="6926" max="6926" width="5.25" style="2453" hidden="1" customWidth="1"/>
    <col min="6927" max="6927" width="7.5" style="2453" hidden="1" customWidth="1"/>
    <col min="6928" max="6928" width="1.875" style="2453" hidden="1" customWidth="1"/>
    <col min="6929" max="7121" width="9" style="2453" hidden="1" customWidth="1"/>
    <col min="7122" max="7169" width="9" style="2453" hidden="1"/>
    <col min="7170" max="7170" width="2.875" style="2453" hidden="1" customWidth="1"/>
    <col min="7171" max="7171" width="2.625" style="2453" hidden="1" customWidth="1"/>
    <col min="7172" max="7172" width="18" style="2453" hidden="1" customWidth="1"/>
    <col min="7173" max="7173" width="12.5" style="2453" hidden="1" customWidth="1"/>
    <col min="7174" max="7174" width="9.25" style="2453" hidden="1" customWidth="1"/>
    <col min="7175" max="7175" width="6.875" style="2453" hidden="1" customWidth="1"/>
    <col min="7176" max="7176" width="5.125" style="2453" hidden="1" customWidth="1"/>
    <col min="7177" max="7177" width="7.375" style="2453" hidden="1" customWidth="1"/>
    <col min="7178" max="7178" width="11" style="2453" hidden="1" customWidth="1"/>
    <col min="7179" max="7179" width="12.375" style="2453" hidden="1" customWidth="1"/>
    <col min="7180" max="7180" width="12.625" style="2453" hidden="1" customWidth="1"/>
    <col min="7181" max="7181" width="12.375" style="2453" hidden="1" customWidth="1"/>
    <col min="7182" max="7182" width="5.25" style="2453" hidden="1" customWidth="1"/>
    <col min="7183" max="7183" width="7.5" style="2453" hidden="1" customWidth="1"/>
    <col min="7184" max="7184" width="1.875" style="2453" hidden="1" customWidth="1"/>
    <col min="7185" max="7377" width="9" style="2453" hidden="1" customWidth="1"/>
    <col min="7378" max="7425" width="9" style="2453" hidden="1"/>
    <col min="7426" max="7426" width="2.875" style="2453" hidden="1" customWidth="1"/>
    <col min="7427" max="7427" width="2.625" style="2453" hidden="1" customWidth="1"/>
    <col min="7428" max="7428" width="18" style="2453" hidden="1" customWidth="1"/>
    <col min="7429" max="7429" width="12.5" style="2453" hidden="1" customWidth="1"/>
    <col min="7430" max="7430" width="9.25" style="2453" hidden="1" customWidth="1"/>
    <col min="7431" max="7431" width="6.875" style="2453" hidden="1" customWidth="1"/>
    <col min="7432" max="7432" width="5.125" style="2453" hidden="1" customWidth="1"/>
    <col min="7433" max="7433" width="7.375" style="2453" hidden="1" customWidth="1"/>
    <col min="7434" max="7434" width="11" style="2453" hidden="1" customWidth="1"/>
    <col min="7435" max="7435" width="12.375" style="2453" hidden="1" customWidth="1"/>
    <col min="7436" max="7436" width="12.625" style="2453" hidden="1" customWidth="1"/>
    <col min="7437" max="7437" width="12.375" style="2453" hidden="1" customWidth="1"/>
    <col min="7438" max="7438" width="5.25" style="2453" hidden="1" customWidth="1"/>
    <col min="7439" max="7439" width="7.5" style="2453" hidden="1" customWidth="1"/>
    <col min="7440" max="7440" width="1.875" style="2453" hidden="1" customWidth="1"/>
    <col min="7441" max="7633" width="9" style="2453" hidden="1" customWidth="1"/>
    <col min="7634" max="7681" width="9" style="2453" hidden="1"/>
    <col min="7682" max="7682" width="2.875" style="2453" hidden="1" customWidth="1"/>
    <col min="7683" max="7683" width="2.625" style="2453" hidden="1" customWidth="1"/>
    <col min="7684" max="7684" width="18" style="2453" hidden="1" customWidth="1"/>
    <col min="7685" max="7685" width="12.5" style="2453" hidden="1" customWidth="1"/>
    <col min="7686" max="7686" width="9.25" style="2453" hidden="1" customWidth="1"/>
    <col min="7687" max="7687" width="6.875" style="2453" hidden="1" customWidth="1"/>
    <col min="7688" max="7688" width="5.125" style="2453" hidden="1" customWidth="1"/>
    <col min="7689" max="7689" width="7.375" style="2453" hidden="1" customWidth="1"/>
    <col min="7690" max="7690" width="11" style="2453" hidden="1" customWidth="1"/>
    <col min="7691" max="7691" width="12.375" style="2453" hidden="1" customWidth="1"/>
    <col min="7692" max="7692" width="12.625" style="2453" hidden="1" customWidth="1"/>
    <col min="7693" max="7693" width="12.375" style="2453" hidden="1" customWidth="1"/>
    <col min="7694" max="7694" width="5.25" style="2453" hidden="1" customWidth="1"/>
    <col min="7695" max="7695" width="7.5" style="2453" hidden="1" customWidth="1"/>
    <col min="7696" max="7696" width="1.875" style="2453" hidden="1" customWidth="1"/>
    <col min="7697" max="7889" width="9" style="2453" hidden="1" customWidth="1"/>
    <col min="7890" max="7937" width="9" style="2453" hidden="1"/>
    <col min="7938" max="7938" width="2.875" style="2453" hidden="1" customWidth="1"/>
    <col min="7939" max="7939" width="2.625" style="2453" hidden="1" customWidth="1"/>
    <col min="7940" max="7940" width="18" style="2453" hidden="1" customWidth="1"/>
    <col min="7941" max="7941" width="12.5" style="2453" hidden="1" customWidth="1"/>
    <col min="7942" max="7942" width="9.25" style="2453" hidden="1" customWidth="1"/>
    <col min="7943" max="7943" width="6.875" style="2453" hidden="1" customWidth="1"/>
    <col min="7944" max="7944" width="5.125" style="2453" hidden="1" customWidth="1"/>
    <col min="7945" max="7945" width="7.375" style="2453" hidden="1" customWidth="1"/>
    <col min="7946" max="7946" width="11" style="2453" hidden="1" customWidth="1"/>
    <col min="7947" max="7947" width="12.375" style="2453" hidden="1" customWidth="1"/>
    <col min="7948" max="7948" width="12.625" style="2453" hidden="1" customWidth="1"/>
    <col min="7949" max="7949" width="12.375" style="2453" hidden="1" customWidth="1"/>
    <col min="7950" max="7950" width="5.25" style="2453" hidden="1" customWidth="1"/>
    <col min="7951" max="7951" width="7.5" style="2453" hidden="1" customWidth="1"/>
    <col min="7952" max="7952" width="1.875" style="2453" hidden="1" customWidth="1"/>
    <col min="7953" max="8145" width="9" style="2453" hidden="1" customWidth="1"/>
    <col min="8146" max="8193" width="9" style="2453" hidden="1"/>
    <col min="8194" max="8194" width="2.875" style="2453" hidden="1" customWidth="1"/>
    <col min="8195" max="8195" width="2.625" style="2453" hidden="1" customWidth="1"/>
    <col min="8196" max="8196" width="18" style="2453" hidden="1" customWidth="1"/>
    <col min="8197" max="8197" width="12.5" style="2453" hidden="1" customWidth="1"/>
    <col min="8198" max="8198" width="9.25" style="2453" hidden="1" customWidth="1"/>
    <col min="8199" max="8199" width="6.875" style="2453" hidden="1" customWidth="1"/>
    <col min="8200" max="8200" width="5.125" style="2453" hidden="1" customWidth="1"/>
    <col min="8201" max="8201" width="7.375" style="2453" hidden="1" customWidth="1"/>
    <col min="8202" max="8202" width="11" style="2453" hidden="1" customWidth="1"/>
    <col min="8203" max="8203" width="12.375" style="2453" hidden="1" customWidth="1"/>
    <col min="8204" max="8204" width="12.625" style="2453" hidden="1" customWidth="1"/>
    <col min="8205" max="8205" width="12.375" style="2453" hidden="1" customWidth="1"/>
    <col min="8206" max="8206" width="5.25" style="2453" hidden="1" customWidth="1"/>
    <col min="8207" max="8207" width="7.5" style="2453" hidden="1" customWidth="1"/>
    <col min="8208" max="8208" width="1.875" style="2453" hidden="1" customWidth="1"/>
    <col min="8209" max="8401" width="9" style="2453" hidden="1" customWidth="1"/>
    <col min="8402" max="8449" width="9" style="2453" hidden="1"/>
    <col min="8450" max="8450" width="2.875" style="2453" hidden="1" customWidth="1"/>
    <col min="8451" max="8451" width="2.625" style="2453" hidden="1" customWidth="1"/>
    <col min="8452" max="8452" width="18" style="2453" hidden="1" customWidth="1"/>
    <col min="8453" max="8453" width="12.5" style="2453" hidden="1" customWidth="1"/>
    <col min="8454" max="8454" width="9.25" style="2453" hidden="1" customWidth="1"/>
    <col min="8455" max="8455" width="6.875" style="2453" hidden="1" customWidth="1"/>
    <col min="8456" max="8456" width="5.125" style="2453" hidden="1" customWidth="1"/>
    <col min="8457" max="8457" width="7.375" style="2453" hidden="1" customWidth="1"/>
    <col min="8458" max="8458" width="11" style="2453" hidden="1" customWidth="1"/>
    <col min="8459" max="8459" width="12.375" style="2453" hidden="1" customWidth="1"/>
    <col min="8460" max="8460" width="12.625" style="2453" hidden="1" customWidth="1"/>
    <col min="8461" max="8461" width="12.375" style="2453" hidden="1" customWidth="1"/>
    <col min="8462" max="8462" width="5.25" style="2453" hidden="1" customWidth="1"/>
    <col min="8463" max="8463" width="7.5" style="2453" hidden="1" customWidth="1"/>
    <col min="8464" max="8464" width="1.875" style="2453" hidden="1" customWidth="1"/>
    <col min="8465" max="8657" width="9" style="2453" hidden="1" customWidth="1"/>
    <col min="8658" max="8705" width="9" style="2453" hidden="1"/>
    <col min="8706" max="8706" width="2.875" style="2453" hidden="1" customWidth="1"/>
    <col min="8707" max="8707" width="2.625" style="2453" hidden="1" customWidth="1"/>
    <col min="8708" max="8708" width="18" style="2453" hidden="1" customWidth="1"/>
    <col min="8709" max="8709" width="12.5" style="2453" hidden="1" customWidth="1"/>
    <col min="8710" max="8710" width="9.25" style="2453" hidden="1" customWidth="1"/>
    <col min="8711" max="8711" width="6.875" style="2453" hidden="1" customWidth="1"/>
    <col min="8712" max="8712" width="5.125" style="2453" hidden="1" customWidth="1"/>
    <col min="8713" max="8713" width="7.375" style="2453" hidden="1" customWidth="1"/>
    <col min="8714" max="8714" width="11" style="2453" hidden="1" customWidth="1"/>
    <col min="8715" max="8715" width="12.375" style="2453" hidden="1" customWidth="1"/>
    <col min="8716" max="8716" width="12.625" style="2453" hidden="1" customWidth="1"/>
    <col min="8717" max="8717" width="12.375" style="2453" hidden="1" customWidth="1"/>
    <col min="8718" max="8718" width="5.25" style="2453" hidden="1" customWidth="1"/>
    <col min="8719" max="8719" width="7.5" style="2453" hidden="1" customWidth="1"/>
    <col min="8720" max="8720" width="1.875" style="2453" hidden="1" customWidth="1"/>
    <col min="8721" max="8913" width="9" style="2453" hidden="1" customWidth="1"/>
    <col min="8914" max="8961" width="9" style="2453" hidden="1"/>
    <col min="8962" max="8962" width="2.875" style="2453" hidden="1" customWidth="1"/>
    <col min="8963" max="8963" width="2.625" style="2453" hidden="1" customWidth="1"/>
    <col min="8964" max="8964" width="18" style="2453" hidden="1" customWidth="1"/>
    <col min="8965" max="8965" width="12.5" style="2453" hidden="1" customWidth="1"/>
    <col min="8966" max="8966" width="9.25" style="2453" hidden="1" customWidth="1"/>
    <col min="8967" max="8967" width="6.875" style="2453" hidden="1" customWidth="1"/>
    <col min="8968" max="8968" width="5.125" style="2453" hidden="1" customWidth="1"/>
    <col min="8969" max="8969" width="7.375" style="2453" hidden="1" customWidth="1"/>
    <col min="8970" max="8970" width="11" style="2453" hidden="1" customWidth="1"/>
    <col min="8971" max="8971" width="12.375" style="2453" hidden="1" customWidth="1"/>
    <col min="8972" max="8972" width="12.625" style="2453" hidden="1" customWidth="1"/>
    <col min="8973" max="8973" width="12.375" style="2453" hidden="1" customWidth="1"/>
    <col min="8974" max="8974" width="5.25" style="2453" hidden="1" customWidth="1"/>
    <col min="8975" max="8975" width="7.5" style="2453" hidden="1" customWidth="1"/>
    <col min="8976" max="8976" width="1.875" style="2453" hidden="1" customWidth="1"/>
    <col min="8977" max="9169" width="9" style="2453" hidden="1" customWidth="1"/>
    <col min="9170" max="9217" width="9" style="2453" hidden="1"/>
    <col min="9218" max="9218" width="2.875" style="2453" hidden="1" customWidth="1"/>
    <col min="9219" max="9219" width="2.625" style="2453" hidden="1" customWidth="1"/>
    <col min="9220" max="9220" width="18" style="2453" hidden="1" customWidth="1"/>
    <col min="9221" max="9221" width="12.5" style="2453" hidden="1" customWidth="1"/>
    <col min="9222" max="9222" width="9.25" style="2453" hidden="1" customWidth="1"/>
    <col min="9223" max="9223" width="6.875" style="2453" hidden="1" customWidth="1"/>
    <col min="9224" max="9224" width="5.125" style="2453" hidden="1" customWidth="1"/>
    <col min="9225" max="9225" width="7.375" style="2453" hidden="1" customWidth="1"/>
    <col min="9226" max="9226" width="11" style="2453" hidden="1" customWidth="1"/>
    <col min="9227" max="9227" width="12.375" style="2453" hidden="1" customWidth="1"/>
    <col min="9228" max="9228" width="12.625" style="2453" hidden="1" customWidth="1"/>
    <col min="9229" max="9229" width="12.375" style="2453" hidden="1" customWidth="1"/>
    <col min="9230" max="9230" width="5.25" style="2453" hidden="1" customWidth="1"/>
    <col min="9231" max="9231" width="7.5" style="2453" hidden="1" customWidth="1"/>
    <col min="9232" max="9232" width="1.875" style="2453" hidden="1" customWidth="1"/>
    <col min="9233" max="9425" width="9" style="2453" hidden="1" customWidth="1"/>
    <col min="9426" max="9473" width="9" style="2453" hidden="1"/>
    <col min="9474" max="9474" width="2.875" style="2453" hidden="1" customWidth="1"/>
    <col min="9475" max="9475" width="2.625" style="2453" hidden="1" customWidth="1"/>
    <col min="9476" max="9476" width="18" style="2453" hidden="1" customWidth="1"/>
    <col min="9477" max="9477" width="12.5" style="2453" hidden="1" customWidth="1"/>
    <col min="9478" max="9478" width="9.25" style="2453" hidden="1" customWidth="1"/>
    <col min="9479" max="9479" width="6.875" style="2453" hidden="1" customWidth="1"/>
    <col min="9480" max="9480" width="5.125" style="2453" hidden="1" customWidth="1"/>
    <col min="9481" max="9481" width="7.375" style="2453" hidden="1" customWidth="1"/>
    <col min="9482" max="9482" width="11" style="2453" hidden="1" customWidth="1"/>
    <col min="9483" max="9483" width="12.375" style="2453" hidden="1" customWidth="1"/>
    <col min="9484" max="9484" width="12.625" style="2453" hidden="1" customWidth="1"/>
    <col min="9485" max="9485" width="12.375" style="2453" hidden="1" customWidth="1"/>
    <col min="9486" max="9486" width="5.25" style="2453" hidden="1" customWidth="1"/>
    <col min="9487" max="9487" width="7.5" style="2453" hidden="1" customWidth="1"/>
    <col min="9488" max="9488" width="1.875" style="2453" hidden="1" customWidth="1"/>
    <col min="9489" max="9681" width="9" style="2453" hidden="1" customWidth="1"/>
    <col min="9682" max="9729" width="9" style="2453" hidden="1"/>
    <col min="9730" max="9730" width="2.875" style="2453" hidden="1" customWidth="1"/>
    <col min="9731" max="9731" width="2.625" style="2453" hidden="1" customWidth="1"/>
    <col min="9732" max="9732" width="18" style="2453" hidden="1" customWidth="1"/>
    <col min="9733" max="9733" width="12.5" style="2453" hidden="1" customWidth="1"/>
    <col min="9734" max="9734" width="9.25" style="2453" hidden="1" customWidth="1"/>
    <col min="9735" max="9735" width="6.875" style="2453" hidden="1" customWidth="1"/>
    <col min="9736" max="9736" width="5.125" style="2453" hidden="1" customWidth="1"/>
    <col min="9737" max="9737" width="7.375" style="2453" hidden="1" customWidth="1"/>
    <col min="9738" max="9738" width="11" style="2453" hidden="1" customWidth="1"/>
    <col min="9739" max="9739" width="12.375" style="2453" hidden="1" customWidth="1"/>
    <col min="9740" max="9740" width="12.625" style="2453" hidden="1" customWidth="1"/>
    <col min="9741" max="9741" width="12.375" style="2453" hidden="1" customWidth="1"/>
    <col min="9742" max="9742" width="5.25" style="2453" hidden="1" customWidth="1"/>
    <col min="9743" max="9743" width="7.5" style="2453" hidden="1" customWidth="1"/>
    <col min="9744" max="9744" width="1.875" style="2453" hidden="1" customWidth="1"/>
    <col min="9745" max="9937" width="9" style="2453" hidden="1" customWidth="1"/>
    <col min="9938" max="9985" width="9" style="2453" hidden="1"/>
    <col min="9986" max="9986" width="2.875" style="2453" hidden="1" customWidth="1"/>
    <col min="9987" max="9987" width="2.625" style="2453" hidden="1" customWidth="1"/>
    <col min="9988" max="9988" width="18" style="2453" hidden="1" customWidth="1"/>
    <col min="9989" max="9989" width="12.5" style="2453" hidden="1" customWidth="1"/>
    <col min="9990" max="9990" width="9.25" style="2453" hidden="1" customWidth="1"/>
    <col min="9991" max="9991" width="6.875" style="2453" hidden="1" customWidth="1"/>
    <col min="9992" max="9992" width="5.125" style="2453" hidden="1" customWidth="1"/>
    <col min="9993" max="9993" width="7.375" style="2453" hidden="1" customWidth="1"/>
    <col min="9994" max="9994" width="11" style="2453" hidden="1" customWidth="1"/>
    <col min="9995" max="9995" width="12.375" style="2453" hidden="1" customWidth="1"/>
    <col min="9996" max="9996" width="12.625" style="2453" hidden="1" customWidth="1"/>
    <col min="9997" max="9997" width="12.375" style="2453" hidden="1" customWidth="1"/>
    <col min="9998" max="9998" width="5.25" style="2453" hidden="1" customWidth="1"/>
    <col min="9999" max="9999" width="7.5" style="2453" hidden="1" customWidth="1"/>
    <col min="10000" max="10000" width="1.875" style="2453" hidden="1" customWidth="1"/>
    <col min="10001" max="10193" width="9" style="2453" hidden="1" customWidth="1"/>
    <col min="10194" max="10241" width="9" style="2453" hidden="1"/>
    <col min="10242" max="10242" width="2.875" style="2453" hidden="1" customWidth="1"/>
    <col min="10243" max="10243" width="2.625" style="2453" hidden="1" customWidth="1"/>
    <col min="10244" max="10244" width="18" style="2453" hidden="1" customWidth="1"/>
    <col min="10245" max="10245" width="12.5" style="2453" hidden="1" customWidth="1"/>
    <col min="10246" max="10246" width="9.25" style="2453" hidden="1" customWidth="1"/>
    <col min="10247" max="10247" width="6.875" style="2453" hidden="1" customWidth="1"/>
    <col min="10248" max="10248" width="5.125" style="2453" hidden="1" customWidth="1"/>
    <col min="10249" max="10249" width="7.375" style="2453" hidden="1" customWidth="1"/>
    <col min="10250" max="10250" width="11" style="2453" hidden="1" customWidth="1"/>
    <col min="10251" max="10251" width="12.375" style="2453" hidden="1" customWidth="1"/>
    <col min="10252" max="10252" width="12.625" style="2453" hidden="1" customWidth="1"/>
    <col min="10253" max="10253" width="12.375" style="2453" hidden="1" customWidth="1"/>
    <col min="10254" max="10254" width="5.25" style="2453" hidden="1" customWidth="1"/>
    <col min="10255" max="10255" width="7.5" style="2453" hidden="1" customWidth="1"/>
    <col min="10256" max="10256" width="1.875" style="2453" hidden="1" customWidth="1"/>
    <col min="10257" max="10449" width="9" style="2453" hidden="1" customWidth="1"/>
    <col min="10450" max="10497" width="9" style="2453" hidden="1"/>
    <col min="10498" max="10498" width="2.875" style="2453" hidden="1" customWidth="1"/>
    <col min="10499" max="10499" width="2.625" style="2453" hidden="1" customWidth="1"/>
    <col min="10500" max="10500" width="18" style="2453" hidden="1" customWidth="1"/>
    <col min="10501" max="10501" width="12.5" style="2453" hidden="1" customWidth="1"/>
    <col min="10502" max="10502" width="9.25" style="2453" hidden="1" customWidth="1"/>
    <col min="10503" max="10503" width="6.875" style="2453" hidden="1" customWidth="1"/>
    <col min="10504" max="10504" width="5.125" style="2453" hidden="1" customWidth="1"/>
    <col min="10505" max="10505" width="7.375" style="2453" hidden="1" customWidth="1"/>
    <col min="10506" max="10506" width="11" style="2453" hidden="1" customWidth="1"/>
    <col min="10507" max="10507" width="12.375" style="2453" hidden="1" customWidth="1"/>
    <col min="10508" max="10508" width="12.625" style="2453" hidden="1" customWidth="1"/>
    <col min="10509" max="10509" width="12.375" style="2453" hidden="1" customWidth="1"/>
    <col min="10510" max="10510" width="5.25" style="2453" hidden="1" customWidth="1"/>
    <col min="10511" max="10511" width="7.5" style="2453" hidden="1" customWidth="1"/>
    <col min="10512" max="10512" width="1.875" style="2453" hidden="1" customWidth="1"/>
    <col min="10513" max="10705" width="9" style="2453" hidden="1" customWidth="1"/>
    <col min="10706" max="10753" width="9" style="2453" hidden="1"/>
    <col min="10754" max="10754" width="2.875" style="2453" hidden="1" customWidth="1"/>
    <col min="10755" max="10755" width="2.625" style="2453" hidden="1" customWidth="1"/>
    <col min="10756" max="10756" width="18" style="2453" hidden="1" customWidth="1"/>
    <col min="10757" max="10757" width="12.5" style="2453" hidden="1" customWidth="1"/>
    <col min="10758" max="10758" width="9.25" style="2453" hidden="1" customWidth="1"/>
    <col min="10759" max="10759" width="6.875" style="2453" hidden="1" customWidth="1"/>
    <col min="10760" max="10760" width="5.125" style="2453" hidden="1" customWidth="1"/>
    <col min="10761" max="10761" width="7.375" style="2453" hidden="1" customWidth="1"/>
    <col min="10762" max="10762" width="11" style="2453" hidden="1" customWidth="1"/>
    <col min="10763" max="10763" width="12.375" style="2453" hidden="1" customWidth="1"/>
    <col min="10764" max="10764" width="12.625" style="2453" hidden="1" customWidth="1"/>
    <col min="10765" max="10765" width="12.375" style="2453" hidden="1" customWidth="1"/>
    <col min="10766" max="10766" width="5.25" style="2453" hidden="1" customWidth="1"/>
    <col min="10767" max="10767" width="7.5" style="2453" hidden="1" customWidth="1"/>
    <col min="10768" max="10768" width="1.875" style="2453" hidden="1" customWidth="1"/>
    <col min="10769" max="10961" width="9" style="2453" hidden="1" customWidth="1"/>
    <col min="10962" max="11009" width="9" style="2453" hidden="1"/>
    <col min="11010" max="11010" width="2.875" style="2453" hidden="1" customWidth="1"/>
    <col min="11011" max="11011" width="2.625" style="2453" hidden="1" customWidth="1"/>
    <col min="11012" max="11012" width="18" style="2453" hidden="1" customWidth="1"/>
    <col min="11013" max="11013" width="12.5" style="2453" hidden="1" customWidth="1"/>
    <col min="11014" max="11014" width="9.25" style="2453" hidden="1" customWidth="1"/>
    <col min="11015" max="11015" width="6.875" style="2453" hidden="1" customWidth="1"/>
    <col min="11016" max="11016" width="5.125" style="2453" hidden="1" customWidth="1"/>
    <col min="11017" max="11017" width="7.375" style="2453" hidden="1" customWidth="1"/>
    <col min="11018" max="11018" width="11" style="2453" hidden="1" customWidth="1"/>
    <col min="11019" max="11019" width="12.375" style="2453" hidden="1" customWidth="1"/>
    <col min="11020" max="11020" width="12.625" style="2453" hidden="1" customWidth="1"/>
    <col min="11021" max="11021" width="12.375" style="2453" hidden="1" customWidth="1"/>
    <col min="11022" max="11022" width="5.25" style="2453" hidden="1" customWidth="1"/>
    <col min="11023" max="11023" width="7.5" style="2453" hidden="1" customWidth="1"/>
    <col min="11024" max="11024" width="1.875" style="2453" hidden="1" customWidth="1"/>
    <col min="11025" max="11217" width="9" style="2453" hidden="1" customWidth="1"/>
    <col min="11218" max="11265" width="9" style="2453" hidden="1"/>
    <col min="11266" max="11266" width="2.875" style="2453" hidden="1" customWidth="1"/>
    <col min="11267" max="11267" width="2.625" style="2453" hidden="1" customWidth="1"/>
    <col min="11268" max="11268" width="18" style="2453" hidden="1" customWidth="1"/>
    <col min="11269" max="11269" width="12.5" style="2453" hidden="1" customWidth="1"/>
    <col min="11270" max="11270" width="9.25" style="2453" hidden="1" customWidth="1"/>
    <col min="11271" max="11271" width="6.875" style="2453" hidden="1" customWidth="1"/>
    <col min="11272" max="11272" width="5.125" style="2453" hidden="1" customWidth="1"/>
    <col min="11273" max="11273" width="7.375" style="2453" hidden="1" customWidth="1"/>
    <col min="11274" max="11274" width="11" style="2453" hidden="1" customWidth="1"/>
    <col min="11275" max="11275" width="12.375" style="2453" hidden="1" customWidth="1"/>
    <col min="11276" max="11276" width="12.625" style="2453" hidden="1" customWidth="1"/>
    <col min="11277" max="11277" width="12.375" style="2453" hidden="1" customWidth="1"/>
    <col min="11278" max="11278" width="5.25" style="2453" hidden="1" customWidth="1"/>
    <col min="11279" max="11279" width="7.5" style="2453" hidden="1" customWidth="1"/>
    <col min="11280" max="11280" width="1.875" style="2453" hidden="1" customWidth="1"/>
    <col min="11281" max="11473" width="9" style="2453" hidden="1" customWidth="1"/>
    <col min="11474" max="11521" width="9" style="2453" hidden="1"/>
    <col min="11522" max="11522" width="2.875" style="2453" hidden="1" customWidth="1"/>
    <col min="11523" max="11523" width="2.625" style="2453" hidden="1" customWidth="1"/>
    <col min="11524" max="11524" width="18" style="2453" hidden="1" customWidth="1"/>
    <col min="11525" max="11525" width="12.5" style="2453" hidden="1" customWidth="1"/>
    <col min="11526" max="11526" width="9.25" style="2453" hidden="1" customWidth="1"/>
    <col min="11527" max="11527" width="6.875" style="2453" hidden="1" customWidth="1"/>
    <col min="11528" max="11528" width="5.125" style="2453" hidden="1" customWidth="1"/>
    <col min="11529" max="11529" width="7.375" style="2453" hidden="1" customWidth="1"/>
    <col min="11530" max="11530" width="11" style="2453" hidden="1" customWidth="1"/>
    <col min="11531" max="11531" width="12.375" style="2453" hidden="1" customWidth="1"/>
    <col min="11532" max="11532" width="12.625" style="2453" hidden="1" customWidth="1"/>
    <col min="11533" max="11533" width="12.375" style="2453" hidden="1" customWidth="1"/>
    <col min="11534" max="11534" width="5.25" style="2453" hidden="1" customWidth="1"/>
    <col min="11535" max="11535" width="7.5" style="2453" hidden="1" customWidth="1"/>
    <col min="11536" max="11536" width="1.875" style="2453" hidden="1" customWidth="1"/>
    <col min="11537" max="11729" width="9" style="2453" hidden="1" customWidth="1"/>
    <col min="11730" max="11777" width="9" style="2453" hidden="1"/>
    <col min="11778" max="11778" width="2.875" style="2453" hidden="1" customWidth="1"/>
    <col min="11779" max="11779" width="2.625" style="2453" hidden="1" customWidth="1"/>
    <col min="11780" max="11780" width="18" style="2453" hidden="1" customWidth="1"/>
    <col min="11781" max="11781" width="12.5" style="2453" hidden="1" customWidth="1"/>
    <col min="11782" max="11782" width="9.25" style="2453" hidden="1" customWidth="1"/>
    <col min="11783" max="11783" width="6.875" style="2453" hidden="1" customWidth="1"/>
    <col min="11784" max="11784" width="5.125" style="2453" hidden="1" customWidth="1"/>
    <col min="11785" max="11785" width="7.375" style="2453" hidden="1" customWidth="1"/>
    <col min="11786" max="11786" width="11" style="2453" hidden="1" customWidth="1"/>
    <col min="11787" max="11787" width="12.375" style="2453" hidden="1" customWidth="1"/>
    <col min="11788" max="11788" width="12.625" style="2453" hidden="1" customWidth="1"/>
    <col min="11789" max="11789" width="12.375" style="2453" hidden="1" customWidth="1"/>
    <col min="11790" max="11790" width="5.25" style="2453" hidden="1" customWidth="1"/>
    <col min="11791" max="11791" width="7.5" style="2453" hidden="1" customWidth="1"/>
    <col min="11792" max="11792" width="1.875" style="2453" hidden="1" customWidth="1"/>
    <col min="11793" max="11985" width="9" style="2453" hidden="1" customWidth="1"/>
    <col min="11986" max="12033" width="9" style="2453" hidden="1"/>
    <col min="12034" max="12034" width="2.875" style="2453" hidden="1" customWidth="1"/>
    <col min="12035" max="12035" width="2.625" style="2453" hidden="1" customWidth="1"/>
    <col min="12036" max="12036" width="18" style="2453" hidden="1" customWidth="1"/>
    <col min="12037" max="12037" width="12.5" style="2453" hidden="1" customWidth="1"/>
    <col min="12038" max="12038" width="9.25" style="2453" hidden="1" customWidth="1"/>
    <col min="12039" max="12039" width="6.875" style="2453" hidden="1" customWidth="1"/>
    <col min="12040" max="12040" width="5.125" style="2453" hidden="1" customWidth="1"/>
    <col min="12041" max="12041" width="7.375" style="2453" hidden="1" customWidth="1"/>
    <col min="12042" max="12042" width="11" style="2453" hidden="1" customWidth="1"/>
    <col min="12043" max="12043" width="12.375" style="2453" hidden="1" customWidth="1"/>
    <col min="12044" max="12044" width="12.625" style="2453" hidden="1" customWidth="1"/>
    <col min="12045" max="12045" width="12.375" style="2453" hidden="1" customWidth="1"/>
    <col min="12046" max="12046" width="5.25" style="2453" hidden="1" customWidth="1"/>
    <col min="12047" max="12047" width="7.5" style="2453" hidden="1" customWidth="1"/>
    <col min="12048" max="12048" width="1.875" style="2453" hidden="1" customWidth="1"/>
    <col min="12049" max="12241" width="9" style="2453" hidden="1" customWidth="1"/>
    <col min="12242" max="12289" width="9" style="2453" hidden="1"/>
    <col min="12290" max="12290" width="2.875" style="2453" hidden="1" customWidth="1"/>
    <col min="12291" max="12291" width="2.625" style="2453" hidden="1" customWidth="1"/>
    <col min="12292" max="12292" width="18" style="2453" hidden="1" customWidth="1"/>
    <col min="12293" max="12293" width="12.5" style="2453" hidden="1" customWidth="1"/>
    <col min="12294" max="12294" width="9.25" style="2453" hidden="1" customWidth="1"/>
    <col min="12295" max="12295" width="6.875" style="2453" hidden="1" customWidth="1"/>
    <col min="12296" max="12296" width="5.125" style="2453" hidden="1" customWidth="1"/>
    <col min="12297" max="12297" width="7.375" style="2453" hidden="1" customWidth="1"/>
    <col min="12298" max="12298" width="11" style="2453" hidden="1" customWidth="1"/>
    <col min="12299" max="12299" width="12.375" style="2453" hidden="1" customWidth="1"/>
    <col min="12300" max="12300" width="12.625" style="2453" hidden="1" customWidth="1"/>
    <col min="12301" max="12301" width="12.375" style="2453" hidden="1" customWidth="1"/>
    <col min="12302" max="12302" width="5.25" style="2453" hidden="1" customWidth="1"/>
    <col min="12303" max="12303" width="7.5" style="2453" hidden="1" customWidth="1"/>
    <col min="12304" max="12304" width="1.875" style="2453" hidden="1" customWidth="1"/>
    <col min="12305" max="12497" width="9" style="2453" hidden="1" customWidth="1"/>
    <col min="12498" max="12545" width="9" style="2453" hidden="1"/>
    <col min="12546" max="12546" width="2.875" style="2453" hidden="1" customWidth="1"/>
    <col min="12547" max="12547" width="2.625" style="2453" hidden="1" customWidth="1"/>
    <col min="12548" max="12548" width="18" style="2453" hidden="1" customWidth="1"/>
    <col min="12549" max="12549" width="12.5" style="2453" hidden="1" customWidth="1"/>
    <col min="12550" max="12550" width="9.25" style="2453" hidden="1" customWidth="1"/>
    <col min="12551" max="12551" width="6.875" style="2453" hidden="1" customWidth="1"/>
    <col min="12552" max="12552" width="5.125" style="2453" hidden="1" customWidth="1"/>
    <col min="12553" max="12553" width="7.375" style="2453" hidden="1" customWidth="1"/>
    <col min="12554" max="12554" width="11" style="2453" hidden="1" customWidth="1"/>
    <col min="12555" max="12555" width="12.375" style="2453" hidden="1" customWidth="1"/>
    <col min="12556" max="12556" width="12.625" style="2453" hidden="1" customWidth="1"/>
    <col min="12557" max="12557" width="12.375" style="2453" hidden="1" customWidth="1"/>
    <col min="12558" max="12558" width="5.25" style="2453" hidden="1" customWidth="1"/>
    <col min="12559" max="12559" width="7.5" style="2453" hidden="1" customWidth="1"/>
    <col min="12560" max="12560" width="1.875" style="2453" hidden="1" customWidth="1"/>
    <col min="12561" max="12753" width="9" style="2453" hidden="1" customWidth="1"/>
    <col min="12754" max="12801" width="9" style="2453" hidden="1"/>
    <col min="12802" max="12802" width="2.875" style="2453" hidden="1" customWidth="1"/>
    <col min="12803" max="12803" width="2.625" style="2453" hidden="1" customWidth="1"/>
    <col min="12804" max="12804" width="18" style="2453" hidden="1" customWidth="1"/>
    <col min="12805" max="12805" width="12.5" style="2453" hidden="1" customWidth="1"/>
    <col min="12806" max="12806" width="9.25" style="2453" hidden="1" customWidth="1"/>
    <col min="12807" max="12807" width="6.875" style="2453" hidden="1" customWidth="1"/>
    <col min="12808" max="12808" width="5.125" style="2453" hidden="1" customWidth="1"/>
    <col min="12809" max="12809" width="7.375" style="2453" hidden="1" customWidth="1"/>
    <col min="12810" max="12810" width="11" style="2453" hidden="1" customWidth="1"/>
    <col min="12811" max="12811" width="12.375" style="2453" hidden="1" customWidth="1"/>
    <col min="12812" max="12812" width="12.625" style="2453" hidden="1" customWidth="1"/>
    <col min="12813" max="12813" width="12.375" style="2453" hidden="1" customWidth="1"/>
    <col min="12814" max="12814" width="5.25" style="2453" hidden="1" customWidth="1"/>
    <col min="12815" max="12815" width="7.5" style="2453" hidden="1" customWidth="1"/>
    <col min="12816" max="12816" width="1.875" style="2453" hidden="1" customWidth="1"/>
    <col min="12817" max="13009" width="9" style="2453" hidden="1" customWidth="1"/>
    <col min="13010" max="13057" width="9" style="2453" hidden="1"/>
    <col min="13058" max="13058" width="2.875" style="2453" hidden="1" customWidth="1"/>
    <col min="13059" max="13059" width="2.625" style="2453" hidden="1" customWidth="1"/>
    <col min="13060" max="13060" width="18" style="2453" hidden="1" customWidth="1"/>
    <col min="13061" max="13061" width="12.5" style="2453" hidden="1" customWidth="1"/>
    <col min="13062" max="13062" width="9.25" style="2453" hidden="1" customWidth="1"/>
    <col min="13063" max="13063" width="6.875" style="2453" hidden="1" customWidth="1"/>
    <col min="13064" max="13064" width="5.125" style="2453" hidden="1" customWidth="1"/>
    <col min="13065" max="13065" width="7.375" style="2453" hidden="1" customWidth="1"/>
    <col min="13066" max="13066" width="11" style="2453" hidden="1" customWidth="1"/>
    <col min="13067" max="13067" width="12.375" style="2453" hidden="1" customWidth="1"/>
    <col min="13068" max="13068" width="12.625" style="2453" hidden="1" customWidth="1"/>
    <col min="13069" max="13069" width="12.375" style="2453" hidden="1" customWidth="1"/>
    <col min="13070" max="13070" width="5.25" style="2453" hidden="1" customWidth="1"/>
    <col min="13071" max="13071" width="7.5" style="2453" hidden="1" customWidth="1"/>
    <col min="13072" max="13072" width="1.875" style="2453" hidden="1" customWidth="1"/>
    <col min="13073" max="13265" width="9" style="2453" hidden="1" customWidth="1"/>
    <col min="13266" max="13313" width="9" style="2453" hidden="1"/>
    <col min="13314" max="13314" width="2.875" style="2453" hidden="1" customWidth="1"/>
    <col min="13315" max="13315" width="2.625" style="2453" hidden="1" customWidth="1"/>
    <col min="13316" max="13316" width="18" style="2453" hidden="1" customWidth="1"/>
    <col min="13317" max="13317" width="12.5" style="2453" hidden="1" customWidth="1"/>
    <col min="13318" max="13318" width="9.25" style="2453" hidden="1" customWidth="1"/>
    <col min="13319" max="13319" width="6.875" style="2453" hidden="1" customWidth="1"/>
    <col min="13320" max="13320" width="5.125" style="2453" hidden="1" customWidth="1"/>
    <col min="13321" max="13321" width="7.375" style="2453" hidden="1" customWidth="1"/>
    <col min="13322" max="13322" width="11" style="2453" hidden="1" customWidth="1"/>
    <col min="13323" max="13323" width="12.375" style="2453" hidden="1" customWidth="1"/>
    <col min="13324" max="13324" width="12.625" style="2453" hidden="1" customWidth="1"/>
    <col min="13325" max="13325" width="12.375" style="2453" hidden="1" customWidth="1"/>
    <col min="13326" max="13326" width="5.25" style="2453" hidden="1" customWidth="1"/>
    <col min="13327" max="13327" width="7.5" style="2453" hidden="1" customWidth="1"/>
    <col min="13328" max="13328" width="1.875" style="2453" hidden="1" customWidth="1"/>
    <col min="13329" max="13521" width="9" style="2453" hidden="1" customWidth="1"/>
    <col min="13522" max="13569" width="9" style="2453" hidden="1"/>
    <col min="13570" max="13570" width="2.875" style="2453" hidden="1" customWidth="1"/>
    <col min="13571" max="13571" width="2.625" style="2453" hidden="1" customWidth="1"/>
    <col min="13572" max="13572" width="18" style="2453" hidden="1" customWidth="1"/>
    <col min="13573" max="13573" width="12.5" style="2453" hidden="1" customWidth="1"/>
    <col min="13574" max="13574" width="9.25" style="2453" hidden="1" customWidth="1"/>
    <col min="13575" max="13575" width="6.875" style="2453" hidden="1" customWidth="1"/>
    <col min="13576" max="13576" width="5.125" style="2453" hidden="1" customWidth="1"/>
    <col min="13577" max="13577" width="7.375" style="2453" hidden="1" customWidth="1"/>
    <col min="13578" max="13578" width="11" style="2453" hidden="1" customWidth="1"/>
    <col min="13579" max="13579" width="12.375" style="2453" hidden="1" customWidth="1"/>
    <col min="13580" max="13580" width="12.625" style="2453" hidden="1" customWidth="1"/>
    <col min="13581" max="13581" width="12.375" style="2453" hidden="1" customWidth="1"/>
    <col min="13582" max="13582" width="5.25" style="2453" hidden="1" customWidth="1"/>
    <col min="13583" max="13583" width="7.5" style="2453" hidden="1" customWidth="1"/>
    <col min="13584" max="13584" width="1.875" style="2453" hidden="1" customWidth="1"/>
    <col min="13585" max="13777" width="9" style="2453" hidden="1" customWidth="1"/>
    <col min="13778" max="13825" width="9" style="2453" hidden="1"/>
    <col min="13826" max="13826" width="2.875" style="2453" hidden="1" customWidth="1"/>
    <col min="13827" max="13827" width="2.625" style="2453" hidden="1" customWidth="1"/>
    <col min="13828" max="13828" width="18" style="2453" hidden="1" customWidth="1"/>
    <col min="13829" max="13829" width="12.5" style="2453" hidden="1" customWidth="1"/>
    <col min="13830" max="13830" width="9.25" style="2453" hidden="1" customWidth="1"/>
    <col min="13831" max="13831" width="6.875" style="2453" hidden="1" customWidth="1"/>
    <col min="13832" max="13832" width="5.125" style="2453" hidden="1" customWidth="1"/>
    <col min="13833" max="13833" width="7.375" style="2453" hidden="1" customWidth="1"/>
    <col min="13834" max="13834" width="11" style="2453" hidden="1" customWidth="1"/>
    <col min="13835" max="13835" width="12.375" style="2453" hidden="1" customWidth="1"/>
    <col min="13836" max="13836" width="12.625" style="2453" hidden="1" customWidth="1"/>
    <col min="13837" max="13837" width="12.375" style="2453" hidden="1" customWidth="1"/>
    <col min="13838" max="13838" width="5.25" style="2453" hidden="1" customWidth="1"/>
    <col min="13839" max="13839" width="7.5" style="2453" hidden="1" customWidth="1"/>
    <col min="13840" max="13840" width="1.875" style="2453" hidden="1" customWidth="1"/>
    <col min="13841" max="14033" width="9" style="2453" hidden="1" customWidth="1"/>
    <col min="14034" max="14081" width="9" style="2453" hidden="1"/>
    <col min="14082" max="14082" width="2.875" style="2453" hidden="1" customWidth="1"/>
    <col min="14083" max="14083" width="2.625" style="2453" hidden="1" customWidth="1"/>
    <col min="14084" max="14084" width="18" style="2453" hidden="1" customWidth="1"/>
    <col min="14085" max="14085" width="12.5" style="2453" hidden="1" customWidth="1"/>
    <col min="14086" max="14086" width="9.25" style="2453" hidden="1" customWidth="1"/>
    <col min="14087" max="14087" width="6.875" style="2453" hidden="1" customWidth="1"/>
    <col min="14088" max="14088" width="5.125" style="2453" hidden="1" customWidth="1"/>
    <col min="14089" max="14089" width="7.375" style="2453" hidden="1" customWidth="1"/>
    <col min="14090" max="14090" width="11" style="2453" hidden="1" customWidth="1"/>
    <col min="14091" max="14091" width="12.375" style="2453" hidden="1" customWidth="1"/>
    <col min="14092" max="14092" width="12.625" style="2453" hidden="1" customWidth="1"/>
    <col min="14093" max="14093" width="12.375" style="2453" hidden="1" customWidth="1"/>
    <col min="14094" max="14094" width="5.25" style="2453" hidden="1" customWidth="1"/>
    <col min="14095" max="14095" width="7.5" style="2453" hidden="1" customWidth="1"/>
    <col min="14096" max="14096" width="1.875" style="2453" hidden="1" customWidth="1"/>
    <col min="14097" max="14289" width="9" style="2453" hidden="1" customWidth="1"/>
    <col min="14290" max="14337" width="9" style="2453" hidden="1"/>
    <col min="14338" max="14338" width="2.875" style="2453" hidden="1" customWidth="1"/>
    <col min="14339" max="14339" width="2.625" style="2453" hidden="1" customWidth="1"/>
    <col min="14340" max="14340" width="18" style="2453" hidden="1" customWidth="1"/>
    <col min="14341" max="14341" width="12.5" style="2453" hidden="1" customWidth="1"/>
    <col min="14342" max="14342" width="9.25" style="2453" hidden="1" customWidth="1"/>
    <col min="14343" max="14343" width="6.875" style="2453" hidden="1" customWidth="1"/>
    <col min="14344" max="14344" width="5.125" style="2453" hidden="1" customWidth="1"/>
    <col min="14345" max="14345" width="7.375" style="2453" hidden="1" customWidth="1"/>
    <col min="14346" max="14346" width="11" style="2453" hidden="1" customWidth="1"/>
    <col min="14347" max="14347" width="12.375" style="2453" hidden="1" customWidth="1"/>
    <col min="14348" max="14348" width="12.625" style="2453" hidden="1" customWidth="1"/>
    <col min="14349" max="14349" width="12.375" style="2453" hidden="1" customWidth="1"/>
    <col min="14350" max="14350" width="5.25" style="2453" hidden="1" customWidth="1"/>
    <col min="14351" max="14351" width="7.5" style="2453" hidden="1" customWidth="1"/>
    <col min="14352" max="14352" width="1.875" style="2453" hidden="1" customWidth="1"/>
    <col min="14353" max="14545" width="9" style="2453" hidden="1" customWidth="1"/>
    <col min="14546" max="14593" width="9" style="2453" hidden="1"/>
    <col min="14594" max="14594" width="2.875" style="2453" hidden="1" customWidth="1"/>
    <col min="14595" max="14595" width="2.625" style="2453" hidden="1" customWidth="1"/>
    <col min="14596" max="14596" width="18" style="2453" hidden="1" customWidth="1"/>
    <col min="14597" max="14597" width="12.5" style="2453" hidden="1" customWidth="1"/>
    <col min="14598" max="14598" width="9.25" style="2453" hidden="1" customWidth="1"/>
    <col min="14599" max="14599" width="6.875" style="2453" hidden="1" customWidth="1"/>
    <col min="14600" max="14600" width="5.125" style="2453" hidden="1" customWidth="1"/>
    <col min="14601" max="14601" width="7.375" style="2453" hidden="1" customWidth="1"/>
    <col min="14602" max="14602" width="11" style="2453" hidden="1" customWidth="1"/>
    <col min="14603" max="14603" width="12.375" style="2453" hidden="1" customWidth="1"/>
    <col min="14604" max="14604" width="12.625" style="2453" hidden="1" customWidth="1"/>
    <col min="14605" max="14605" width="12.375" style="2453" hidden="1" customWidth="1"/>
    <col min="14606" max="14606" width="5.25" style="2453" hidden="1" customWidth="1"/>
    <col min="14607" max="14607" width="7.5" style="2453" hidden="1" customWidth="1"/>
    <col min="14608" max="14608" width="1.875" style="2453" hidden="1" customWidth="1"/>
    <col min="14609" max="14801" width="9" style="2453" hidden="1" customWidth="1"/>
    <col min="14802" max="14849" width="9" style="2453" hidden="1"/>
    <col min="14850" max="14850" width="2.875" style="2453" hidden="1" customWidth="1"/>
    <col min="14851" max="14851" width="2.625" style="2453" hidden="1" customWidth="1"/>
    <col min="14852" max="14852" width="18" style="2453" hidden="1" customWidth="1"/>
    <col min="14853" max="14853" width="12.5" style="2453" hidden="1" customWidth="1"/>
    <col min="14854" max="14854" width="9.25" style="2453" hidden="1" customWidth="1"/>
    <col min="14855" max="14855" width="6.875" style="2453" hidden="1" customWidth="1"/>
    <col min="14856" max="14856" width="5.125" style="2453" hidden="1" customWidth="1"/>
    <col min="14857" max="14857" width="7.375" style="2453" hidden="1" customWidth="1"/>
    <col min="14858" max="14858" width="11" style="2453" hidden="1" customWidth="1"/>
    <col min="14859" max="14859" width="12.375" style="2453" hidden="1" customWidth="1"/>
    <col min="14860" max="14860" width="12.625" style="2453" hidden="1" customWidth="1"/>
    <col min="14861" max="14861" width="12.375" style="2453" hidden="1" customWidth="1"/>
    <col min="14862" max="14862" width="5.25" style="2453" hidden="1" customWidth="1"/>
    <col min="14863" max="14863" width="7.5" style="2453" hidden="1" customWidth="1"/>
    <col min="14864" max="14864" width="1.875" style="2453" hidden="1" customWidth="1"/>
    <col min="14865" max="15057" width="9" style="2453" hidden="1" customWidth="1"/>
    <col min="15058" max="15105" width="9" style="2453" hidden="1"/>
    <col min="15106" max="15106" width="2.875" style="2453" hidden="1" customWidth="1"/>
    <col min="15107" max="15107" width="2.625" style="2453" hidden="1" customWidth="1"/>
    <col min="15108" max="15108" width="18" style="2453" hidden="1" customWidth="1"/>
    <col min="15109" max="15109" width="12.5" style="2453" hidden="1" customWidth="1"/>
    <col min="15110" max="15110" width="9.25" style="2453" hidden="1" customWidth="1"/>
    <col min="15111" max="15111" width="6.875" style="2453" hidden="1" customWidth="1"/>
    <col min="15112" max="15112" width="5.125" style="2453" hidden="1" customWidth="1"/>
    <col min="15113" max="15113" width="7.375" style="2453" hidden="1" customWidth="1"/>
    <col min="15114" max="15114" width="11" style="2453" hidden="1" customWidth="1"/>
    <col min="15115" max="15115" width="12.375" style="2453" hidden="1" customWidth="1"/>
    <col min="15116" max="15116" width="12.625" style="2453" hidden="1" customWidth="1"/>
    <col min="15117" max="15117" width="12.375" style="2453" hidden="1" customWidth="1"/>
    <col min="15118" max="15118" width="5.25" style="2453" hidden="1" customWidth="1"/>
    <col min="15119" max="15119" width="7.5" style="2453" hidden="1" customWidth="1"/>
    <col min="15120" max="15120" width="1.875" style="2453" hidden="1" customWidth="1"/>
    <col min="15121" max="15313" width="9" style="2453" hidden="1" customWidth="1"/>
    <col min="15314" max="15361" width="9" style="2453" hidden="1"/>
    <col min="15362" max="15362" width="2.875" style="2453" hidden="1" customWidth="1"/>
    <col min="15363" max="15363" width="2.625" style="2453" hidden="1" customWidth="1"/>
    <col min="15364" max="15364" width="18" style="2453" hidden="1" customWidth="1"/>
    <col min="15365" max="15365" width="12.5" style="2453" hidden="1" customWidth="1"/>
    <col min="15366" max="15366" width="9.25" style="2453" hidden="1" customWidth="1"/>
    <col min="15367" max="15367" width="6.875" style="2453" hidden="1" customWidth="1"/>
    <col min="15368" max="15368" width="5.125" style="2453" hidden="1" customWidth="1"/>
    <col min="15369" max="15369" width="7.375" style="2453" hidden="1" customWidth="1"/>
    <col min="15370" max="15370" width="11" style="2453" hidden="1" customWidth="1"/>
    <col min="15371" max="15371" width="12.375" style="2453" hidden="1" customWidth="1"/>
    <col min="15372" max="15372" width="12.625" style="2453" hidden="1" customWidth="1"/>
    <col min="15373" max="15373" width="12.375" style="2453" hidden="1" customWidth="1"/>
    <col min="15374" max="15374" width="5.25" style="2453" hidden="1" customWidth="1"/>
    <col min="15375" max="15375" width="7.5" style="2453" hidden="1" customWidth="1"/>
    <col min="15376" max="15376" width="1.875" style="2453" hidden="1" customWidth="1"/>
    <col min="15377" max="15569" width="9" style="2453" hidden="1" customWidth="1"/>
    <col min="15570" max="15617" width="9" style="2453" hidden="1"/>
    <col min="15618" max="15618" width="2.875" style="2453" hidden="1" customWidth="1"/>
    <col min="15619" max="15619" width="2.625" style="2453" hidden="1" customWidth="1"/>
    <col min="15620" max="15620" width="18" style="2453" hidden="1" customWidth="1"/>
    <col min="15621" max="15621" width="12.5" style="2453" hidden="1" customWidth="1"/>
    <col min="15622" max="15622" width="9.25" style="2453" hidden="1" customWidth="1"/>
    <col min="15623" max="15623" width="6.875" style="2453" hidden="1" customWidth="1"/>
    <col min="15624" max="15624" width="5.125" style="2453" hidden="1" customWidth="1"/>
    <col min="15625" max="15625" width="7.375" style="2453" hidden="1" customWidth="1"/>
    <col min="15626" max="15626" width="11" style="2453" hidden="1" customWidth="1"/>
    <col min="15627" max="15627" width="12.375" style="2453" hidden="1" customWidth="1"/>
    <col min="15628" max="15628" width="12.625" style="2453" hidden="1" customWidth="1"/>
    <col min="15629" max="15629" width="12.375" style="2453" hidden="1" customWidth="1"/>
    <col min="15630" max="15630" width="5.25" style="2453" hidden="1" customWidth="1"/>
    <col min="15631" max="15631" width="7.5" style="2453" hidden="1" customWidth="1"/>
    <col min="15632" max="15632" width="1.875" style="2453" hidden="1" customWidth="1"/>
    <col min="15633" max="15825" width="9" style="2453" hidden="1" customWidth="1"/>
    <col min="15826" max="15873" width="9" style="2453" hidden="1"/>
    <col min="15874" max="15874" width="2.875" style="2453" hidden="1" customWidth="1"/>
    <col min="15875" max="15875" width="2.625" style="2453" hidden="1" customWidth="1"/>
    <col min="15876" max="15876" width="18" style="2453" hidden="1" customWidth="1"/>
    <col min="15877" max="15877" width="12.5" style="2453" hidden="1" customWidth="1"/>
    <col min="15878" max="15878" width="9.25" style="2453" hidden="1" customWidth="1"/>
    <col min="15879" max="15879" width="6.875" style="2453" hidden="1" customWidth="1"/>
    <col min="15880" max="15880" width="5.125" style="2453" hidden="1" customWidth="1"/>
    <col min="15881" max="15881" width="7.375" style="2453" hidden="1" customWidth="1"/>
    <col min="15882" max="15882" width="11" style="2453" hidden="1" customWidth="1"/>
    <col min="15883" max="15883" width="12.375" style="2453" hidden="1" customWidth="1"/>
    <col min="15884" max="15884" width="12.625" style="2453" hidden="1" customWidth="1"/>
    <col min="15885" max="15885" width="12.375" style="2453" hidden="1" customWidth="1"/>
    <col min="15886" max="15886" width="5.25" style="2453" hidden="1" customWidth="1"/>
    <col min="15887" max="15887" width="7.5" style="2453" hidden="1" customWidth="1"/>
    <col min="15888" max="15888" width="1.875" style="2453" hidden="1" customWidth="1"/>
    <col min="15889" max="16081" width="9" style="2453" hidden="1" customWidth="1"/>
    <col min="16082" max="16129" width="9" style="2453" hidden="1"/>
    <col min="16130" max="16130" width="2.875" style="2453" hidden="1" customWidth="1"/>
    <col min="16131" max="16131" width="2.625" style="2453" hidden="1" customWidth="1"/>
    <col min="16132" max="16132" width="18" style="2453" hidden="1" customWidth="1"/>
    <col min="16133" max="16133" width="12.5" style="2453" hidden="1" customWidth="1"/>
    <col min="16134" max="16134" width="9.25" style="2453" hidden="1" customWidth="1"/>
    <col min="16135" max="16135" width="6.875" style="2453" hidden="1" customWidth="1"/>
    <col min="16136" max="16136" width="5.125" style="2453" hidden="1" customWidth="1"/>
    <col min="16137" max="16137" width="7.375" style="2453" hidden="1" customWidth="1"/>
    <col min="16138" max="16138" width="11" style="2453" hidden="1" customWidth="1"/>
    <col min="16139" max="16139" width="12.375" style="2453" hidden="1" customWidth="1"/>
    <col min="16140" max="16140" width="12.625" style="2453" hidden="1" customWidth="1"/>
    <col min="16141" max="16141" width="12.375" style="2453" hidden="1" customWidth="1"/>
    <col min="16142" max="16142" width="5.25" style="2453" hidden="1" customWidth="1"/>
    <col min="16143" max="16143" width="7.5" style="2453" hidden="1" customWidth="1"/>
    <col min="16144" max="16144" width="1.875" style="2453" hidden="1" customWidth="1"/>
    <col min="16145" max="16337" width="9" style="2453" hidden="1" customWidth="1"/>
    <col min="16338" max="16384" width="9" style="2453" hidden="1"/>
  </cols>
  <sheetData>
    <row r="1" spans="1:20" ht="12" customHeight="1">
      <c r="A1" s="2451"/>
      <c r="B1" s="2451"/>
      <c r="C1" s="2451"/>
      <c r="D1" s="2451"/>
      <c r="E1" s="2451"/>
      <c r="F1" s="2451"/>
      <c r="G1" s="2451"/>
      <c r="H1" s="2451"/>
      <c r="I1" s="2451"/>
      <c r="J1" s="2451"/>
      <c r="K1" s="2451"/>
      <c r="L1" s="2451"/>
      <c r="M1" s="2451"/>
      <c r="N1" s="2451"/>
      <c r="O1" s="2451"/>
      <c r="P1" s="2451"/>
    </row>
    <row r="2" spans="1:20" ht="12" customHeight="1">
      <c r="A2" s="2454"/>
      <c r="B2" s="2454"/>
      <c r="C2" s="2454"/>
      <c r="D2" s="2454"/>
      <c r="E2" s="2454"/>
      <c r="F2" s="2454"/>
      <c r="G2" s="2454"/>
      <c r="H2" s="2454"/>
      <c r="I2" s="2454"/>
      <c r="J2" s="2454"/>
      <c r="K2" s="2454"/>
      <c r="L2" s="2454"/>
      <c r="M2" s="2455"/>
      <c r="N2" s="2456"/>
      <c r="O2" s="2457"/>
      <c r="P2" s="2457"/>
      <c r="Q2" s="2458"/>
    </row>
    <row r="3" spans="1:20" ht="12" customHeight="1">
      <c r="A3" s="2454"/>
      <c r="B3" s="2459"/>
      <c r="C3" s="2459"/>
      <c r="D3" s="2459"/>
      <c r="E3" s="2459"/>
      <c r="F3" s="2459"/>
      <c r="G3" s="2459"/>
      <c r="H3" s="2460"/>
      <c r="I3" s="2460"/>
      <c r="J3" s="2461"/>
      <c r="K3" s="2461"/>
      <c r="L3" s="2459"/>
      <c r="M3" s="2462"/>
      <c r="N3" s="2463"/>
      <c r="O3" s="2457"/>
      <c r="P3" s="2457"/>
      <c r="Q3" s="2458"/>
    </row>
    <row r="4" spans="1:20" ht="12" customHeight="1">
      <c r="A4" s="2454"/>
      <c r="B4" s="2459"/>
      <c r="C4" s="2459"/>
      <c r="D4" s="2459"/>
      <c r="E4" s="2459"/>
      <c r="F4" s="2459"/>
      <c r="G4" s="2459"/>
      <c r="H4" s="2460"/>
      <c r="I4" s="2460"/>
      <c r="J4" s="2461"/>
      <c r="K4" s="2461"/>
      <c r="L4" s="2459"/>
      <c r="M4" s="2462"/>
      <c r="N4" s="2463"/>
      <c r="O4" s="2457"/>
      <c r="P4" s="2457"/>
      <c r="Q4" s="2458"/>
    </row>
    <row r="5" spans="1:20" ht="16.5" customHeight="1">
      <c r="A5" s="2454"/>
      <c r="B5" s="2459"/>
      <c r="C5" s="2459"/>
      <c r="D5" s="2459"/>
      <c r="E5" s="2459"/>
      <c r="F5" s="2459"/>
      <c r="G5" s="2459"/>
      <c r="H5" s="2460"/>
      <c r="I5" s="2460"/>
      <c r="J5" s="2464" t="s">
        <v>1859</v>
      </c>
      <c r="K5" s="2461"/>
      <c r="L5" s="2459"/>
      <c r="M5" s="2462"/>
      <c r="N5" s="2463"/>
      <c r="O5" s="2457"/>
      <c r="P5" s="2457"/>
      <c r="Q5" s="2458"/>
      <c r="R5" s="2465" t="s">
        <v>90</v>
      </c>
      <c r="S5" s="2466" t="s">
        <v>1860</v>
      </c>
      <c r="T5" s="2466" t="s">
        <v>1861</v>
      </c>
    </row>
    <row r="6" spans="1:20" ht="7.5" customHeight="1">
      <c r="A6" s="2454"/>
      <c r="B6" s="2459"/>
      <c r="C6" s="2467"/>
      <c r="D6" s="2467"/>
      <c r="E6" s="2468"/>
      <c r="F6" s="2459"/>
      <c r="G6" s="2459"/>
      <c r="H6" s="2451"/>
      <c r="I6" s="2451"/>
      <c r="J6" s="2451"/>
      <c r="K6" s="2451"/>
      <c r="L6" s="2451"/>
      <c r="M6" s="2451"/>
      <c r="N6" s="2469"/>
      <c r="O6" s="2457"/>
      <c r="P6" s="2457"/>
      <c r="Q6" s="2458"/>
      <c r="R6" s="2465" t="s">
        <v>1862</v>
      </c>
      <c r="S6" s="2466" t="s">
        <v>1862</v>
      </c>
      <c r="T6" s="2466" t="s">
        <v>1863</v>
      </c>
    </row>
    <row r="7" spans="1:20" ht="12" customHeight="1" thickBot="1">
      <c r="A7" s="2454"/>
      <c r="B7" s="2459"/>
      <c r="C7" s="2467"/>
      <c r="D7" s="3042"/>
      <c r="E7" s="3042"/>
      <c r="F7" s="3042"/>
      <c r="G7" s="3042"/>
      <c r="H7" s="2451"/>
      <c r="I7" s="2470"/>
      <c r="J7" s="3043"/>
      <c r="K7" s="3043"/>
      <c r="L7" s="3043"/>
      <c r="M7" s="2451"/>
      <c r="N7" s="2451"/>
      <c r="O7" s="2457"/>
      <c r="P7" s="2457"/>
      <c r="Q7" s="2458"/>
      <c r="R7" s="2465" t="s">
        <v>1864</v>
      </c>
      <c r="S7" s="2466" t="s">
        <v>1864</v>
      </c>
      <c r="T7" s="2466" t="s">
        <v>1865</v>
      </c>
    </row>
    <row r="8" spans="1:20" ht="15" customHeight="1" thickBot="1">
      <c r="A8" s="2454"/>
      <c r="B8" s="2471" t="s">
        <v>1866</v>
      </c>
      <c r="C8" s="2472"/>
      <c r="D8" s="2473"/>
      <c r="E8" s="828"/>
      <c r="F8" s="828"/>
      <c r="G8" s="828"/>
      <c r="H8" s="828"/>
      <c r="I8" s="828"/>
      <c r="J8" s="2472"/>
      <c r="K8" s="2472"/>
      <c r="L8" s="2472"/>
      <c r="M8" s="2472"/>
      <c r="N8" s="2474"/>
      <c r="O8" s="2457"/>
      <c r="P8" s="2457"/>
      <c r="Q8" s="2458"/>
      <c r="R8" s="2465" t="s">
        <v>1860</v>
      </c>
      <c r="S8" s="2466" t="s">
        <v>90</v>
      </c>
      <c r="T8" s="2466" t="s">
        <v>1867</v>
      </c>
    </row>
    <row r="9" spans="1:20" ht="18" customHeight="1">
      <c r="A9" s="2475"/>
      <c r="B9" s="2476"/>
      <c r="C9" s="2477" t="s">
        <v>1868</v>
      </c>
      <c r="D9" s="3044">
        <f>メイン!C11</f>
        <v>0</v>
      </c>
      <c r="E9" s="3044"/>
      <c r="F9" s="3044"/>
      <c r="G9" s="3044"/>
      <c r="H9" s="3044"/>
      <c r="I9" s="3045" t="s">
        <v>79</v>
      </c>
      <c r="J9" s="3047" t="e">
        <f>'結果(改修前)'!S13</f>
        <v>#DIV/0!</v>
      </c>
      <c r="K9" s="3047" t="e">
        <f>CHOOSE('結果(改修前)'!S15*5,"C","B-","B+","A","S")</f>
        <v>#DIV/0!</v>
      </c>
      <c r="L9" s="3049" t="e">
        <f>VLOOKUP(K9,S5:T9,2)</f>
        <v>#DIV/0!</v>
      </c>
      <c r="M9" s="3049"/>
      <c r="N9" s="3050"/>
      <c r="O9" s="2457"/>
      <c r="P9" s="2457"/>
      <c r="Q9" s="2458"/>
      <c r="R9" s="2465" t="s">
        <v>1869</v>
      </c>
      <c r="S9" s="2466" t="s">
        <v>1869</v>
      </c>
      <c r="T9" s="2466" t="s">
        <v>1870</v>
      </c>
    </row>
    <row r="10" spans="1:20" ht="18" customHeight="1" thickBot="1">
      <c r="A10" s="2475"/>
      <c r="B10" s="2478"/>
      <c r="C10" s="2479" t="s">
        <v>1871</v>
      </c>
      <c r="D10" s="2828">
        <f>メイン!C19</f>
        <v>0</v>
      </c>
      <c r="E10" s="2480" t="s">
        <v>476</v>
      </c>
      <c r="F10" s="2451"/>
      <c r="G10" s="2480"/>
      <c r="H10" s="2451"/>
      <c r="I10" s="3046"/>
      <c r="J10" s="3048"/>
      <c r="K10" s="3048"/>
      <c r="L10" s="3049"/>
      <c r="M10" s="3049"/>
      <c r="N10" s="3050"/>
      <c r="O10" s="2457"/>
      <c r="P10" s="2457"/>
      <c r="Q10" s="2458"/>
      <c r="T10" s="2481"/>
    </row>
    <row r="11" spans="1:20" ht="18" customHeight="1">
      <c r="A11" s="2475"/>
      <c r="B11" s="2478"/>
      <c r="C11" s="2479" t="s">
        <v>1872</v>
      </c>
      <c r="D11" s="3051" t="str">
        <f>メイン!C20</f>
        <v>○○</v>
      </c>
      <c r="E11" s="3051"/>
      <c r="F11" s="3051"/>
      <c r="G11" s="3051"/>
      <c r="H11" s="3051"/>
      <c r="I11" s="2482" t="s">
        <v>1873</v>
      </c>
      <c r="J11" s="2451"/>
      <c r="K11" s="3052" t="str">
        <f>メイン!C6</f>
        <v>CASBEE京都-改修（2015年版）</v>
      </c>
      <c r="L11" s="3053"/>
      <c r="M11" s="3053"/>
      <c r="N11" s="3054"/>
      <c r="O11" s="2457"/>
      <c r="P11" s="2457"/>
      <c r="Q11" s="2458"/>
      <c r="T11" s="2481"/>
    </row>
    <row r="12" spans="1:20" ht="18" customHeight="1" thickBot="1">
      <c r="A12" s="2475"/>
      <c r="B12" s="2483"/>
      <c r="C12" s="2484"/>
      <c r="D12" s="3055" t="str">
        <f>メイン!C21</f>
        <v/>
      </c>
      <c r="E12" s="3055"/>
      <c r="F12" s="3055"/>
      <c r="G12" s="3055"/>
      <c r="H12" s="3055"/>
      <c r="I12" s="2485" t="s">
        <v>1874</v>
      </c>
      <c r="J12" s="2486"/>
      <c r="K12" s="3056" t="str">
        <f>メイン!C5</f>
        <v>CASBEE京都-改修2015（v.1.0）</v>
      </c>
      <c r="L12" s="3057"/>
      <c r="M12" s="3057"/>
      <c r="N12" s="3058"/>
      <c r="O12" s="2457"/>
      <c r="P12" s="2457"/>
      <c r="Q12" s="2458"/>
      <c r="T12" s="2481"/>
    </row>
    <row r="13" spans="1:20" ht="6" customHeight="1" thickBot="1">
      <c r="A13" s="2454"/>
      <c r="B13" s="2454"/>
      <c r="C13" s="2454"/>
      <c r="D13" s="2454"/>
      <c r="E13" s="2454"/>
      <c r="F13" s="2454"/>
      <c r="G13" s="2454"/>
      <c r="H13" s="2454"/>
      <c r="I13" s="2454"/>
      <c r="J13" s="2454"/>
      <c r="K13" s="2454"/>
      <c r="L13" s="2454"/>
      <c r="M13" s="2455"/>
      <c r="N13" s="2456"/>
      <c r="O13" s="2457"/>
      <c r="P13" s="2457"/>
      <c r="Q13" s="2458"/>
    </row>
    <row r="14" spans="1:20" ht="15" customHeight="1" thickBot="1">
      <c r="A14" s="2454"/>
      <c r="B14" s="2487" t="s">
        <v>1875</v>
      </c>
      <c r="C14" s="2488"/>
      <c r="D14" s="2488"/>
      <c r="E14" s="2489"/>
      <c r="F14" s="2490"/>
      <c r="G14" s="2491"/>
      <c r="H14" s="2491"/>
      <c r="I14" s="2491"/>
      <c r="J14" s="2491"/>
      <c r="K14" s="2491"/>
      <c r="L14" s="2491"/>
      <c r="M14" s="2492"/>
      <c r="N14" s="2493"/>
      <c r="O14" s="2457"/>
      <c r="P14" s="2457"/>
      <c r="Q14" s="2458"/>
    </row>
    <row r="15" spans="1:20" ht="15" customHeight="1" thickBot="1">
      <c r="A15" s="2454"/>
      <c r="B15" s="2494" t="s">
        <v>1876</v>
      </c>
      <c r="C15" s="2495"/>
      <c r="D15" s="2495"/>
      <c r="E15" s="2496"/>
      <c r="F15" s="3059"/>
      <c r="G15" s="3059"/>
      <c r="H15" s="3060"/>
      <c r="I15" s="2497" t="s">
        <v>1877</v>
      </c>
      <c r="J15" s="2495"/>
      <c r="K15" s="2495"/>
      <c r="L15" s="2495"/>
      <c r="M15" s="2495"/>
      <c r="N15" s="2498"/>
      <c r="O15" s="2457"/>
      <c r="P15" s="2457"/>
      <c r="Q15" s="2458"/>
    </row>
    <row r="16" spans="1:20" ht="13.5" customHeight="1" thickBot="1">
      <c r="A16" s="2454"/>
      <c r="B16" s="2499"/>
      <c r="C16" s="3040"/>
      <c r="D16" s="3040"/>
      <c r="E16" s="3040"/>
      <c r="F16" s="3041"/>
      <c r="G16" s="3041"/>
      <c r="H16" s="2500"/>
      <c r="I16" s="2501"/>
      <c r="J16" s="2501"/>
      <c r="K16" s="2501"/>
      <c r="L16" s="2501"/>
      <c r="M16" s="2502"/>
      <c r="N16" s="2503"/>
      <c r="O16" s="2504"/>
      <c r="P16" s="2504"/>
      <c r="Q16" s="2505" t="e">
        <f>ROUND(M27,1)</f>
        <v>#DIV/0!</v>
      </c>
    </row>
    <row r="17" spans="1:17" ht="29.25" customHeight="1" thickBot="1">
      <c r="A17" s="2454"/>
      <c r="B17" s="2506"/>
      <c r="C17" s="3061" t="s">
        <v>1878</v>
      </c>
      <c r="D17" s="3061"/>
      <c r="E17" s="3061"/>
      <c r="F17" s="3062"/>
      <c r="G17" s="3062"/>
      <c r="H17" s="2507"/>
      <c r="I17" s="2508"/>
      <c r="J17" s="2508"/>
      <c r="K17" s="2508"/>
      <c r="L17" s="2508"/>
      <c r="M17" s="2509"/>
      <c r="N17" s="2510"/>
      <c r="O17" s="2511"/>
      <c r="P17" s="2511"/>
      <c r="Q17" s="2512" t="e">
        <f>IF(Q16&gt;N27*0.85,5,IF(Q16&gt;N27*0.7,4,IF(Q16&gt;N27*0.55,3,IF(Q16&gt;N27*0.4,2,1))))</f>
        <v>#DIV/0!</v>
      </c>
    </row>
    <row r="18" spans="1:17" ht="13.5" customHeight="1" thickBot="1">
      <c r="A18" s="2454"/>
      <c r="B18" s="2513"/>
      <c r="C18" s="3063"/>
      <c r="D18" s="3063"/>
      <c r="E18" s="3063"/>
      <c r="F18" s="3064"/>
      <c r="G18" s="3064"/>
      <c r="H18" s="2514"/>
      <c r="I18" s="2515"/>
      <c r="J18" s="2515"/>
      <c r="K18" s="2515"/>
      <c r="L18" s="2515"/>
      <c r="M18" s="2516"/>
      <c r="N18" s="2517"/>
      <c r="O18" s="2511"/>
      <c r="P18" s="2511"/>
      <c r="Q18" s="2518"/>
    </row>
    <row r="19" spans="1:17" ht="13.5" customHeight="1" thickBot="1">
      <c r="A19" s="2454"/>
      <c r="B19" s="2519"/>
      <c r="C19" s="3065"/>
      <c r="D19" s="3065"/>
      <c r="E19" s="3065"/>
      <c r="F19" s="3066"/>
      <c r="G19" s="3066"/>
      <c r="H19" s="2520"/>
      <c r="I19" s="2501"/>
      <c r="J19" s="2501"/>
      <c r="K19" s="2501"/>
      <c r="L19" s="2501"/>
      <c r="M19" s="2502"/>
      <c r="N19" s="2503"/>
      <c r="O19" s="2511"/>
      <c r="P19" s="2511"/>
      <c r="Q19" s="2521" t="e">
        <f>ROUND($M$50,1)</f>
        <v>#DIV/0!</v>
      </c>
    </row>
    <row r="20" spans="1:17" ht="29.25" customHeight="1" thickBot="1">
      <c r="A20" s="2454"/>
      <c r="B20" s="2522"/>
      <c r="C20" s="3067" t="s">
        <v>1879</v>
      </c>
      <c r="D20" s="3067"/>
      <c r="E20" s="3067"/>
      <c r="F20" s="3068"/>
      <c r="G20" s="3068"/>
      <c r="H20" s="2523"/>
      <c r="I20" s="2508"/>
      <c r="J20" s="2508"/>
      <c r="K20" s="2508"/>
      <c r="L20" s="2508"/>
      <c r="M20" s="2509"/>
      <c r="N20" s="2510"/>
      <c r="O20" s="2511"/>
      <c r="P20" s="2511"/>
      <c r="Q20" s="2524" t="e">
        <f>IF(Q19&gt;N50*0.85,5,IF(Q19&gt;N50*0.7,4,IF(Q19&gt;N50*0.55,3,IF(Q19&gt;N50*0.4,2,1))))</f>
        <v>#DIV/0!</v>
      </c>
    </row>
    <row r="21" spans="1:17" ht="13.5" customHeight="1" thickBot="1">
      <c r="A21" s="2454"/>
      <c r="B21" s="2525"/>
      <c r="C21" s="3069"/>
      <c r="D21" s="3069"/>
      <c r="E21" s="3069"/>
      <c r="F21" s="3070"/>
      <c r="G21" s="3070"/>
      <c r="H21" s="2526"/>
      <c r="I21" s="2515"/>
      <c r="J21" s="2515"/>
      <c r="K21" s="2515"/>
      <c r="L21" s="2515"/>
      <c r="M21" s="2516"/>
      <c r="N21" s="2517"/>
      <c r="O21" s="2511"/>
      <c r="P21" s="2511"/>
      <c r="Q21" s="2518"/>
    </row>
    <row r="22" spans="1:17" ht="13.5" customHeight="1" thickBot="1">
      <c r="A22" s="2454"/>
      <c r="B22" s="2527"/>
      <c r="C22" s="3071"/>
      <c r="D22" s="3071"/>
      <c r="E22" s="3071"/>
      <c r="F22" s="3072"/>
      <c r="G22" s="3072"/>
      <c r="H22" s="2528"/>
      <c r="I22" s="2501"/>
      <c r="J22" s="2501"/>
      <c r="K22" s="2501"/>
      <c r="L22" s="2501"/>
      <c r="M22" s="2502"/>
      <c r="N22" s="2503"/>
      <c r="O22" s="2511"/>
      <c r="P22" s="2511"/>
      <c r="Q22" s="2529" t="e">
        <f>ROUND($M$67,1)</f>
        <v>#DIV/0!</v>
      </c>
    </row>
    <row r="23" spans="1:17" ht="29.25" customHeight="1" thickBot="1">
      <c r="A23" s="2454"/>
      <c r="B23" s="2530"/>
      <c r="C23" s="3073" t="s">
        <v>1880</v>
      </c>
      <c r="D23" s="3073"/>
      <c r="E23" s="3073"/>
      <c r="F23" s="3073"/>
      <c r="G23" s="3073"/>
      <c r="H23" s="2528"/>
      <c r="I23" s="2508"/>
      <c r="J23" s="2508"/>
      <c r="K23" s="2508"/>
      <c r="L23" s="2508"/>
      <c r="M23" s="2509"/>
      <c r="N23" s="2510"/>
      <c r="O23" s="2511"/>
      <c r="P23" s="2511"/>
      <c r="Q23" s="2531" t="e">
        <f>IF(Q22&gt;N67*0.85,5,IF(Q22&gt;N67*0.7,4,IF(Q22&gt;N67*0.55,3,IF(Q22&gt;N67*0.4,2,1))))</f>
        <v>#DIV/0!</v>
      </c>
    </row>
    <row r="24" spans="1:17" ht="13.5" customHeight="1" thickBot="1">
      <c r="A24" s="2454"/>
      <c r="B24" s="2532"/>
      <c r="C24" s="3074"/>
      <c r="D24" s="3074"/>
      <c r="E24" s="3074"/>
      <c r="F24" s="3075"/>
      <c r="G24" s="3075"/>
      <c r="H24" s="2533"/>
      <c r="I24" s="2534"/>
      <c r="J24" s="2534"/>
      <c r="K24" s="2534"/>
      <c r="L24" s="2534"/>
      <c r="M24" s="2535"/>
      <c r="N24" s="2536"/>
      <c r="O24" s="2511"/>
      <c r="P24" s="2511"/>
      <c r="Q24" s="2537"/>
    </row>
    <row r="25" spans="1:17" ht="6" customHeight="1" thickBot="1">
      <c r="A25" s="2454"/>
      <c r="B25" s="2459"/>
      <c r="C25" s="2459"/>
      <c r="D25" s="2459"/>
      <c r="E25" s="2459"/>
      <c r="F25" s="2459"/>
      <c r="G25" s="2459"/>
      <c r="H25" s="2459"/>
      <c r="I25" s="2459"/>
      <c r="J25" s="2459"/>
      <c r="K25" s="2459"/>
      <c r="L25" s="2459"/>
      <c r="M25" s="2538"/>
      <c r="N25" s="2509"/>
      <c r="O25" s="2457"/>
      <c r="P25" s="2457"/>
      <c r="Q25" s="2458"/>
    </row>
    <row r="26" spans="1:17" ht="15" customHeight="1">
      <c r="A26" s="2454"/>
      <c r="B26" s="2539" t="s">
        <v>1881</v>
      </c>
      <c r="C26" s="2540"/>
      <c r="D26" s="2540"/>
      <c r="E26" s="2541"/>
      <c r="F26" s="2542"/>
      <c r="G26" s="2541"/>
      <c r="H26" s="2543"/>
      <c r="I26" s="2544"/>
      <c r="J26" s="2541"/>
      <c r="K26" s="2541"/>
      <c r="L26" s="2541"/>
      <c r="M26" s="2541"/>
      <c r="N26" s="2545"/>
      <c r="O26" s="2457"/>
      <c r="P26" s="2457"/>
      <c r="Q26" s="2458"/>
    </row>
    <row r="27" spans="1:17" ht="15" customHeight="1">
      <c r="A27" s="2454"/>
      <c r="B27" s="2546">
        <v>1</v>
      </c>
      <c r="C27" s="2547" t="s">
        <v>1882</v>
      </c>
      <c r="D27" s="2547"/>
      <c r="E27" s="2548"/>
      <c r="F27" s="2548"/>
      <c r="G27" s="2548"/>
      <c r="H27" s="2548"/>
      <c r="I27" s="2548"/>
      <c r="J27" s="2548"/>
      <c r="K27" s="2548"/>
      <c r="L27" s="2549" t="s">
        <v>1883</v>
      </c>
      <c r="M27" s="2550" t="e">
        <f>SUM(M28,M38,M45)</f>
        <v>#DIV/0!</v>
      </c>
      <c r="N27" s="2696" t="e">
        <f>SUM(N28,N38,N45)</f>
        <v>#DIV/0!</v>
      </c>
      <c r="O27" s="2457"/>
      <c r="P27" s="2457"/>
      <c r="Q27" s="2458"/>
    </row>
    <row r="28" spans="1:17" ht="15" customHeight="1" thickBot="1">
      <c r="A28" s="2454"/>
      <c r="B28" s="2551"/>
      <c r="C28" s="2552" t="s">
        <v>1884</v>
      </c>
      <c r="D28" s="2553"/>
      <c r="E28" s="2554"/>
      <c r="F28" s="2554"/>
      <c r="G28" s="2554"/>
      <c r="H28" s="2554"/>
      <c r="I28" s="2554"/>
      <c r="J28" s="2554"/>
      <c r="K28" s="2554"/>
      <c r="L28" s="2555" t="s">
        <v>1885</v>
      </c>
      <c r="M28" s="2556" t="e">
        <f>SUM(Q29,N34:N35,N30)</f>
        <v>#DIV/0!</v>
      </c>
      <c r="N28" s="2697" t="e">
        <f>20-SUM(Q30:Q35)</f>
        <v>#DIV/0!</v>
      </c>
      <c r="O28" s="2457"/>
      <c r="P28" s="2457"/>
      <c r="Q28" s="2563" t="s">
        <v>1888</v>
      </c>
    </row>
    <row r="29" spans="1:17" ht="12" customHeight="1" thickBot="1">
      <c r="A29" s="2454"/>
      <c r="B29" s="2557"/>
      <c r="C29" s="2558" t="s">
        <v>1886</v>
      </c>
      <c r="D29" s="2558"/>
      <c r="E29" s="2559"/>
      <c r="F29" s="2559"/>
      <c r="G29" s="2559"/>
      <c r="H29" s="2560"/>
      <c r="I29" s="2561" t="s">
        <v>1887</v>
      </c>
      <c r="J29" s="2559"/>
      <c r="K29" s="2559"/>
      <c r="L29" s="2559"/>
      <c r="M29" s="2559"/>
      <c r="N29" s="2562"/>
      <c r="O29" s="2457"/>
      <c r="P29" s="2457"/>
      <c r="Q29" s="2566" t="e">
        <f>AVERAGE(H30:H34)</f>
        <v>#DIV/0!</v>
      </c>
    </row>
    <row r="30" spans="1:17" ht="12" customHeight="1" thickBot="1">
      <c r="A30" s="2454"/>
      <c r="B30" s="2557"/>
      <c r="C30" s="2559" t="s">
        <v>1889</v>
      </c>
      <c r="D30" s="2559"/>
      <c r="E30" s="2564"/>
      <c r="F30" s="2559"/>
      <c r="G30" s="700" t="s">
        <v>1890</v>
      </c>
      <c r="H30" s="2829" t="e">
        <f>IF(スコア表示!L103=0,"対象外",スコア表示!L103)</f>
        <v>#DIV/0!</v>
      </c>
      <c r="I30" s="2559" t="s">
        <v>1891</v>
      </c>
      <c r="J30" s="2565"/>
      <c r="K30" s="2565"/>
      <c r="L30" s="2559"/>
      <c r="M30" s="700" t="s">
        <v>1890</v>
      </c>
      <c r="N30" s="2830" t="e">
        <f>IF(スコア表示!L80=0,"対象外",スコア表示!L80)</f>
        <v>#DIV/0!</v>
      </c>
      <c r="O30" s="2457"/>
      <c r="P30" s="2457"/>
      <c r="Q30" s="2694" t="e">
        <f>IF(H30="対象外",5,0)</f>
        <v>#DIV/0!</v>
      </c>
    </row>
    <row r="31" spans="1:17" ht="12" customHeight="1" thickBot="1">
      <c r="A31" s="2454"/>
      <c r="B31" s="2557"/>
      <c r="C31" s="2559" t="s">
        <v>1892</v>
      </c>
      <c r="D31" s="2559"/>
      <c r="E31" s="2564"/>
      <c r="F31" s="2559"/>
      <c r="G31" s="700" t="s">
        <v>1890</v>
      </c>
      <c r="H31" s="2831" t="e">
        <f>IF(スコア表示!L104=0,"対象外",スコア表示!L104)</f>
        <v>#DIV/0!</v>
      </c>
      <c r="I31" s="3076" t="s">
        <v>1893</v>
      </c>
      <c r="J31" s="3077"/>
      <c r="K31" s="3077"/>
      <c r="L31" s="3077"/>
      <c r="M31" s="3077"/>
      <c r="N31" s="3078"/>
      <c r="O31" s="2457"/>
      <c r="P31" s="2457"/>
      <c r="Q31" s="2694"/>
    </row>
    <row r="32" spans="1:17" ht="12" customHeight="1" thickBot="1">
      <c r="A32" s="2454"/>
      <c r="B32" s="2557"/>
      <c r="C32" s="2559" t="s">
        <v>1894</v>
      </c>
      <c r="D32" s="2559"/>
      <c r="E32" s="2564"/>
      <c r="F32" s="2559"/>
      <c r="G32" s="700" t="s">
        <v>1890</v>
      </c>
      <c r="H32" s="2831" t="e">
        <f>IF(スコア表示!L105=0,"対象外",スコア表示!L105)</f>
        <v>#DIV/0!</v>
      </c>
      <c r="I32" s="3079"/>
      <c r="J32" s="3080"/>
      <c r="K32" s="3080"/>
      <c r="L32" s="3080"/>
      <c r="M32" s="3080"/>
      <c r="N32" s="3081"/>
      <c r="O32" s="2457"/>
      <c r="P32" s="2457"/>
      <c r="Q32" s="2694" t="e">
        <f>IF(N30="対象外",5,0)</f>
        <v>#DIV/0!</v>
      </c>
    </row>
    <row r="33" spans="1:20" ht="12" customHeight="1" thickBot="1">
      <c r="A33" s="2454"/>
      <c r="B33" s="2557"/>
      <c r="C33" s="2559" t="s">
        <v>1895</v>
      </c>
      <c r="D33" s="2559"/>
      <c r="E33" s="2564"/>
      <c r="F33" s="2559"/>
      <c r="G33" s="700" t="s">
        <v>1890</v>
      </c>
      <c r="H33" s="2829" t="e">
        <f>IF(スコア表示!L106=0,"対象外",スコア表示!L106)</f>
        <v>#DIV/0!</v>
      </c>
      <c r="I33" s="2558" t="s">
        <v>1896</v>
      </c>
      <c r="J33" s="2565"/>
      <c r="K33" s="2565"/>
      <c r="L33" s="2559"/>
      <c r="M33" s="700"/>
      <c r="N33" s="2567"/>
      <c r="O33" s="2457"/>
      <c r="P33" s="2457"/>
      <c r="Q33" s="2698"/>
    </row>
    <row r="34" spans="1:20" ht="12" customHeight="1" thickBot="1">
      <c r="A34" s="2454"/>
      <c r="B34" s="2557"/>
      <c r="C34" s="2568" t="s">
        <v>1897</v>
      </c>
      <c r="D34" s="2559"/>
      <c r="E34" s="2564"/>
      <c r="F34" s="2559"/>
      <c r="G34" s="700" t="s">
        <v>1890</v>
      </c>
      <c r="H34" s="2829" t="e">
        <f>IF(スコア表示!L107=0,"対象外",スコア表示!L107)</f>
        <v>#DIV/0!</v>
      </c>
      <c r="I34" s="2559" t="s">
        <v>1898</v>
      </c>
      <c r="J34" s="2565"/>
      <c r="K34" s="2565"/>
      <c r="L34" s="2559"/>
      <c r="M34" s="700" t="s">
        <v>1890</v>
      </c>
      <c r="N34" s="2829" t="e">
        <f>IF(スコア表示!L66=0,"対象外",スコア表示!L66)</f>
        <v>#DIV/0!</v>
      </c>
      <c r="O34" s="2457"/>
      <c r="P34" s="2457"/>
      <c r="Q34" s="2694" t="e">
        <f>IF(N34="対象外",5,0)</f>
        <v>#DIV/0!</v>
      </c>
    </row>
    <row r="35" spans="1:20" ht="12" customHeight="1" thickBot="1">
      <c r="A35" s="2454"/>
      <c r="B35" s="2557"/>
      <c r="C35" s="2568"/>
      <c r="D35" s="2559" t="s">
        <v>1899</v>
      </c>
      <c r="E35" s="2564"/>
      <c r="F35" s="2559"/>
      <c r="G35" s="700"/>
      <c r="H35" s="2569"/>
      <c r="I35" s="2559" t="s">
        <v>1900</v>
      </c>
      <c r="J35" s="2565"/>
      <c r="K35" s="2565"/>
      <c r="L35" s="2559"/>
      <c r="M35" s="700" t="s">
        <v>1890</v>
      </c>
      <c r="N35" s="2830" t="e">
        <f>IF(重み_前!$D$7=重み_前!$E$7,IF(スコア表示!L100&gt;=スコア表示!P100,IF(スコア表示!L100=0,"対象外",スコア表示!L100),IF(スコア表示!P100=0,"対象外",スコア表示!P100)),IF(重み_前!$D$7&gt;重み_前!$E$7,IF(スコア表示!L100=0,"対象外",スコア表示!L100),IF(スコア表示!P100=0,"対象外",スコア表示!P100)))</f>
        <v>#DIV/0!</v>
      </c>
      <c r="O35" s="2457"/>
      <c r="P35" s="2457"/>
      <c r="Q35" s="2694" t="e">
        <f>IF(N35="対象外",5,0)</f>
        <v>#DIV/0!</v>
      </c>
    </row>
    <row r="36" spans="1:20" ht="12" customHeight="1">
      <c r="A36" s="2454"/>
      <c r="B36" s="2570"/>
      <c r="C36" s="3082" t="s">
        <v>1901</v>
      </c>
      <c r="D36" s="3082"/>
      <c r="E36" s="3082"/>
      <c r="F36" s="3082"/>
      <c r="G36" s="3082"/>
      <c r="H36" s="3082"/>
      <c r="I36" s="3082" t="s">
        <v>1893</v>
      </c>
      <c r="J36" s="3082"/>
      <c r="K36" s="3082"/>
      <c r="L36" s="3082"/>
      <c r="M36" s="3082"/>
      <c r="N36" s="3082"/>
      <c r="O36" s="2457"/>
      <c r="P36" s="2457"/>
      <c r="Q36" s="2458"/>
    </row>
    <row r="37" spans="1:20" ht="12" customHeight="1" thickBot="1">
      <c r="A37" s="2454"/>
      <c r="B37" s="2570"/>
      <c r="C37" s="3083"/>
      <c r="D37" s="3083"/>
      <c r="E37" s="3083"/>
      <c r="F37" s="3083"/>
      <c r="G37" s="3083"/>
      <c r="H37" s="3083"/>
      <c r="I37" s="3083"/>
      <c r="J37" s="3083"/>
      <c r="K37" s="3083"/>
      <c r="L37" s="3083"/>
      <c r="M37" s="3083"/>
      <c r="N37" s="3083"/>
      <c r="O37" s="2457"/>
      <c r="P37" s="2457"/>
      <c r="Q37" s="2458"/>
    </row>
    <row r="38" spans="1:20" ht="15" customHeight="1" thickBot="1">
      <c r="A38" s="2454"/>
      <c r="B38" s="2551"/>
      <c r="C38" s="2571" t="s">
        <v>1902</v>
      </c>
      <c r="D38" s="2572"/>
      <c r="E38" s="2573"/>
      <c r="F38" s="2573"/>
      <c r="G38" s="2573"/>
      <c r="H38" s="2573"/>
      <c r="I38" s="2573"/>
      <c r="J38" s="2573"/>
      <c r="K38" s="2573"/>
      <c r="L38" s="2574" t="s">
        <v>1885</v>
      </c>
      <c r="M38" s="2575" t="e">
        <f>SUM(N39:N42)</f>
        <v>#DIV/0!</v>
      </c>
      <c r="N38" s="2699" t="e">
        <f>20-SUM(Q39:Q42)</f>
        <v>#DIV/0!</v>
      </c>
      <c r="O38" s="2457"/>
      <c r="P38" s="2457"/>
      <c r="Q38" s="2458"/>
    </row>
    <row r="39" spans="1:20" ht="12" customHeight="1" thickBot="1">
      <c r="A39" s="2454"/>
      <c r="B39" s="2557"/>
      <c r="C39" s="2559" t="s">
        <v>1903</v>
      </c>
      <c r="D39" s="2559"/>
      <c r="E39" s="2564"/>
      <c r="F39" s="2559"/>
      <c r="G39" s="2451"/>
      <c r="H39" s="2451"/>
      <c r="I39" s="2559"/>
      <c r="J39" s="2565"/>
      <c r="K39" s="2565"/>
      <c r="L39" s="2559"/>
      <c r="M39" s="2576" t="s">
        <v>1904</v>
      </c>
      <c r="N39" s="2829" t="e">
        <f>IF(スコア表示!L147=0,"対象外",スコア表示!L147)</f>
        <v>#DIV/0!</v>
      </c>
      <c r="O39" s="2457"/>
      <c r="P39" s="2457"/>
      <c r="Q39" s="2694" t="e">
        <f>IF(N39="対象外",5,0)</f>
        <v>#DIV/0!</v>
      </c>
    </row>
    <row r="40" spans="1:20" ht="12" customHeight="1" thickBot="1">
      <c r="A40" s="2454"/>
      <c r="B40" s="2557"/>
      <c r="C40" s="2559" t="s">
        <v>1905</v>
      </c>
      <c r="D40" s="2559"/>
      <c r="E40" s="2564"/>
      <c r="F40" s="2559"/>
      <c r="G40" s="2451"/>
      <c r="H40" s="2451"/>
      <c r="I40" s="2559"/>
      <c r="J40" s="2565"/>
      <c r="K40" s="2565"/>
      <c r="L40" s="2559"/>
      <c r="M40" s="2576" t="s">
        <v>1904</v>
      </c>
      <c r="N40" s="2829" t="e">
        <f>IF(スコア表示!L149=0,"対象外",スコア表示!L149)</f>
        <v>#DIV/0!</v>
      </c>
      <c r="O40" s="2457"/>
      <c r="P40" s="2457"/>
      <c r="Q40" s="2694" t="e">
        <f>IF(N40="対象外",5,0)</f>
        <v>#DIV/0!</v>
      </c>
    </row>
    <row r="41" spans="1:20" ht="12" customHeight="1" thickBot="1">
      <c r="A41" s="2454"/>
      <c r="B41" s="2557"/>
      <c r="C41" s="2559" t="s">
        <v>1972</v>
      </c>
      <c r="D41" s="2559"/>
      <c r="E41" s="2564"/>
      <c r="F41" s="2559"/>
      <c r="G41" s="2451"/>
      <c r="H41" s="2451"/>
      <c r="I41" s="2559"/>
      <c r="J41" s="2565"/>
      <c r="K41" s="2565"/>
      <c r="L41" s="2559"/>
      <c r="M41" s="2576" t="s">
        <v>1904</v>
      </c>
      <c r="N41" s="2829" t="e">
        <f>IF(スコア表示!L150=0,"対象外",スコア表示!L150)</f>
        <v>#DIV/0!</v>
      </c>
      <c r="O41" s="2457"/>
      <c r="P41" s="2457"/>
      <c r="Q41" s="2694" t="e">
        <f>IF(N41="対象外",5,0)</f>
        <v>#DIV/0!</v>
      </c>
      <c r="R41" s="2577"/>
      <c r="S41" s="2578"/>
      <c r="T41" s="2578"/>
    </row>
    <row r="42" spans="1:20" ht="12" customHeight="1" thickBot="1">
      <c r="A42" s="2454"/>
      <c r="B42" s="2557"/>
      <c r="C42" s="2568" t="s">
        <v>1906</v>
      </c>
      <c r="D42" s="2559"/>
      <c r="E42" s="2564"/>
      <c r="F42" s="2559"/>
      <c r="G42" s="2579"/>
      <c r="H42" s="2579"/>
      <c r="I42" s="2559"/>
      <c r="J42" s="2565"/>
      <c r="K42" s="2565"/>
      <c r="L42" s="2559"/>
      <c r="M42" s="2580" t="s">
        <v>1907</v>
      </c>
      <c r="N42" s="2830" t="e">
        <f>IF(スコア表示!L152=0,"対象外",スコア表示!L152)</f>
        <v>#DIV/0!</v>
      </c>
      <c r="O42" s="2457"/>
      <c r="P42" s="2457"/>
      <c r="Q42" s="2694" t="e">
        <f>IF(N42="対象外",5,0)</f>
        <v>#DIV/0!</v>
      </c>
      <c r="R42" s="2577"/>
      <c r="S42" s="2578"/>
      <c r="T42" s="2578"/>
    </row>
    <row r="43" spans="1:20" ht="12" customHeight="1">
      <c r="A43" s="2454"/>
      <c r="B43" s="2570" t="s">
        <v>1908</v>
      </c>
      <c r="C43" s="3076" t="s">
        <v>1909</v>
      </c>
      <c r="D43" s="3077"/>
      <c r="E43" s="3077"/>
      <c r="F43" s="3077"/>
      <c r="G43" s="3077"/>
      <c r="H43" s="3077"/>
      <c r="I43" s="3077"/>
      <c r="J43" s="3077"/>
      <c r="K43" s="3077"/>
      <c r="L43" s="3077"/>
      <c r="M43" s="3077"/>
      <c r="N43" s="3078"/>
      <c r="O43" s="2457"/>
      <c r="P43" s="2457"/>
      <c r="Q43" s="2458"/>
      <c r="R43" s="2577"/>
      <c r="S43" s="2578"/>
      <c r="T43" s="2578"/>
    </row>
    <row r="44" spans="1:20" ht="12" customHeight="1" thickBot="1">
      <c r="A44" s="2454"/>
      <c r="B44" s="2570"/>
      <c r="C44" s="3079"/>
      <c r="D44" s="3080"/>
      <c r="E44" s="3080"/>
      <c r="F44" s="3080"/>
      <c r="G44" s="3080"/>
      <c r="H44" s="3080"/>
      <c r="I44" s="3080"/>
      <c r="J44" s="3080"/>
      <c r="K44" s="3080"/>
      <c r="L44" s="3080"/>
      <c r="M44" s="3080"/>
      <c r="N44" s="3081"/>
      <c r="O44" s="2457"/>
      <c r="P44" s="2457"/>
      <c r="Q44" s="2458"/>
    </row>
    <row r="45" spans="1:20" ht="15" customHeight="1" thickBot="1">
      <c r="A45" s="2454"/>
      <c r="B45" s="2581"/>
      <c r="C45" s="2582" t="s">
        <v>1910</v>
      </c>
      <c r="D45" s="2582"/>
      <c r="E45" s="2583"/>
      <c r="F45" s="2583"/>
      <c r="G45" s="2583"/>
      <c r="H45" s="2583"/>
      <c r="I45" s="2583"/>
      <c r="J45" s="2583"/>
      <c r="K45" s="2583"/>
      <c r="L45" s="2574" t="s">
        <v>1885</v>
      </c>
      <c r="M45" s="2584">
        <f>COUNTIF(N46:N48,"○")</f>
        <v>0</v>
      </c>
      <c r="N45" s="2700">
        <f>3-SUM(Q46:Q48)</f>
        <v>3</v>
      </c>
      <c r="O45" s="2585"/>
      <c r="P45" s="2615"/>
      <c r="Q45" s="2586"/>
    </row>
    <row r="46" spans="1:20" ht="12" customHeight="1" thickBot="1">
      <c r="A46" s="2454"/>
      <c r="B46" s="2581"/>
      <c r="C46" s="3088" t="s">
        <v>1911</v>
      </c>
      <c r="D46" s="3088"/>
      <c r="E46" s="3088"/>
      <c r="F46" s="3089" t="s">
        <v>2067</v>
      </c>
      <c r="G46" s="3090"/>
      <c r="H46" s="3090"/>
      <c r="I46" s="3090"/>
      <c r="J46" s="3090"/>
      <c r="K46" s="3090"/>
      <c r="L46" s="3090"/>
      <c r="M46" s="3091"/>
      <c r="N46" s="2832" t="s">
        <v>1914</v>
      </c>
      <c r="O46" s="2457"/>
      <c r="P46" s="2457"/>
      <c r="Q46" s="2694">
        <f>IF(N46="対象外",1,0)</f>
        <v>0</v>
      </c>
    </row>
    <row r="47" spans="1:20" ht="12" customHeight="1" thickBot="1">
      <c r="A47" s="2454"/>
      <c r="B47" s="2581"/>
      <c r="C47" s="3088" t="s">
        <v>1913</v>
      </c>
      <c r="D47" s="3088"/>
      <c r="E47" s="3088"/>
      <c r="F47" s="3092" t="s">
        <v>2068</v>
      </c>
      <c r="G47" s="3093"/>
      <c r="H47" s="3093"/>
      <c r="I47" s="3093"/>
      <c r="J47" s="3093"/>
      <c r="K47" s="3093"/>
      <c r="L47" s="3093"/>
      <c r="M47" s="3093"/>
      <c r="N47" s="2832" t="s">
        <v>1914</v>
      </c>
      <c r="O47" s="2457"/>
      <c r="P47" s="2457"/>
      <c r="Q47" s="2694">
        <f>IF(N47="対象外",1,0)</f>
        <v>0</v>
      </c>
    </row>
    <row r="48" spans="1:20" ht="12" customHeight="1" thickBot="1">
      <c r="A48" s="2454"/>
      <c r="B48" s="2581"/>
      <c r="C48" s="3088" t="s">
        <v>1915</v>
      </c>
      <c r="D48" s="3088"/>
      <c r="E48" s="3088"/>
      <c r="F48" s="3092" t="s">
        <v>1916</v>
      </c>
      <c r="G48" s="3093"/>
      <c r="H48" s="3093"/>
      <c r="I48" s="3093"/>
      <c r="J48" s="3093"/>
      <c r="K48" s="3093"/>
      <c r="L48" s="3093"/>
      <c r="M48" s="2813"/>
      <c r="N48" s="2832" t="s">
        <v>1914</v>
      </c>
      <c r="O48" s="2457"/>
      <c r="P48" s="2457"/>
      <c r="Q48" s="2694">
        <f>IF(N48="対象外",1,0)</f>
        <v>0</v>
      </c>
    </row>
    <row r="49" spans="1:17" ht="12" customHeight="1">
      <c r="A49" s="2454"/>
      <c r="B49" s="2587"/>
      <c r="C49" s="3094"/>
      <c r="D49" s="3093"/>
      <c r="E49" s="2814"/>
      <c r="F49" s="2814"/>
      <c r="G49" s="2823"/>
      <c r="H49" s="2814"/>
      <c r="I49" s="2814"/>
      <c r="J49" s="2814"/>
      <c r="K49" s="2814"/>
      <c r="L49" s="2814"/>
      <c r="M49" s="2814"/>
      <c r="N49" s="2588"/>
      <c r="O49" s="2457"/>
      <c r="P49" s="2457"/>
      <c r="Q49" s="2586"/>
    </row>
    <row r="50" spans="1:17" ht="15" customHeight="1">
      <c r="A50" s="2454"/>
      <c r="B50" s="2589">
        <v>2</v>
      </c>
      <c r="C50" s="2590" t="s">
        <v>1917</v>
      </c>
      <c r="D50" s="2590"/>
      <c r="E50" s="2591"/>
      <c r="F50" s="2591"/>
      <c r="G50" s="2591"/>
      <c r="H50" s="2591"/>
      <c r="I50" s="2591"/>
      <c r="J50" s="2591"/>
      <c r="K50" s="2591"/>
      <c r="L50" s="2592" t="s">
        <v>1883</v>
      </c>
      <c r="M50" s="2592" t="e">
        <f>SUM(G51,M51,M58,M64)</f>
        <v>#DIV/0!</v>
      </c>
      <c r="N50" s="2702" t="e">
        <f>SUM(H51,N51,N58,N64)</f>
        <v>#DIV/0!</v>
      </c>
      <c r="O50" s="2457"/>
      <c r="P50" s="2457"/>
      <c r="Q50" s="2458"/>
    </row>
    <row r="51" spans="1:17" ht="15" customHeight="1">
      <c r="A51" s="2454"/>
      <c r="B51" s="2593"/>
      <c r="C51" s="2594" t="s">
        <v>1918</v>
      </c>
      <c r="D51" s="2594"/>
      <c r="E51" s="2595"/>
      <c r="F51" s="2555" t="s">
        <v>1919</v>
      </c>
      <c r="G51" s="2555" t="e">
        <f>SUM(H53:H55)</f>
        <v>#DIV/0!</v>
      </c>
      <c r="H51" s="2701" t="e">
        <f>15-SUM(Q51:Q53)</f>
        <v>#DIV/0!</v>
      </c>
      <c r="I51" s="2553" t="s">
        <v>1920</v>
      </c>
      <c r="J51" s="2554"/>
      <c r="K51" s="2554"/>
      <c r="L51" s="2555" t="s">
        <v>1919</v>
      </c>
      <c r="M51" s="2555" t="e">
        <f>SUM(N53:N55)</f>
        <v>#DIV/0!</v>
      </c>
      <c r="N51" s="2703" t="e">
        <f>15-SUM(Q54:Q56)</f>
        <v>#DIV/0!</v>
      </c>
      <c r="O51" s="2457"/>
      <c r="P51" s="2457"/>
      <c r="Q51" s="2694" t="e">
        <f>IF(H53="対象外",5,0)</f>
        <v>#DIV/0!</v>
      </c>
    </row>
    <row r="52" spans="1:17" ht="12" customHeight="1" thickBot="1">
      <c r="A52" s="2454"/>
      <c r="B52" s="2596"/>
      <c r="C52" s="2597" t="s">
        <v>1921</v>
      </c>
      <c r="D52" s="2597"/>
      <c r="E52" s="2598"/>
      <c r="F52" s="2598"/>
      <c r="G52" s="2598"/>
      <c r="H52" s="2560"/>
      <c r="I52" s="2558" t="s">
        <v>1922</v>
      </c>
      <c r="J52" s="2559"/>
      <c r="K52" s="2559"/>
      <c r="L52" s="2559"/>
      <c r="M52" s="2559"/>
      <c r="N52" s="2562"/>
      <c r="O52" s="2457"/>
      <c r="P52" s="2457"/>
      <c r="Q52" s="2694" t="e">
        <f>IF(H54="対象外",5,0)</f>
        <v>#DIV/0!</v>
      </c>
    </row>
    <row r="53" spans="1:17" ht="12" customHeight="1" thickBot="1">
      <c r="A53" s="2454"/>
      <c r="B53" s="2596"/>
      <c r="C53" s="2559" t="s">
        <v>1923</v>
      </c>
      <c r="D53" s="2559"/>
      <c r="E53" s="2564"/>
      <c r="F53" s="2559"/>
      <c r="G53" s="2576" t="s">
        <v>1904</v>
      </c>
      <c r="H53" s="2829" t="e">
        <f>IF(重み_前!$D$7=重み_前!$E$7,IF(スコア表示!L68&gt;=スコア表示!P68,IF(スコア表示!L68=0,"対象外",スコア表示!L68),IF(スコア表示!P68=0,"対象外",スコア表示!P68)),IF(重み_前!$D$7&gt;重み_前!$E$7,IF(スコア表示!L68=0,"対象外",スコア表示!L68),IF(スコア表示!P68=0,"対象外",スコア表示!P68)))</f>
        <v>#DIV/0!</v>
      </c>
      <c r="I53" s="2559" t="s">
        <v>1924</v>
      </c>
      <c r="J53" s="2559"/>
      <c r="K53" s="2559"/>
      <c r="L53" s="2559"/>
      <c r="M53" s="700" t="s">
        <v>1907</v>
      </c>
      <c r="N53" s="2829" t="e">
        <f>IF(スコア表示!L113=0,"対象外",スコア表示!L113)</f>
        <v>#DIV/0!</v>
      </c>
      <c r="O53" s="2457"/>
      <c r="P53" s="2457"/>
      <c r="Q53" s="2694" t="e">
        <f>IF(H55="対象外",5,0)</f>
        <v>#DIV/0!</v>
      </c>
    </row>
    <row r="54" spans="1:17" ht="12" customHeight="1" thickBot="1">
      <c r="A54" s="2454"/>
      <c r="B54" s="2596"/>
      <c r="C54" s="2559" t="s">
        <v>1925</v>
      </c>
      <c r="D54" s="2559"/>
      <c r="E54" s="2564"/>
      <c r="F54" s="2559"/>
      <c r="G54" s="2576" t="s">
        <v>1904</v>
      </c>
      <c r="H54" s="2829" t="e">
        <f>IF(スコア表示!L110=0,"対象外",スコア表示!L110)</f>
        <v>#DIV/0!</v>
      </c>
      <c r="I54" s="2559" t="s">
        <v>1926</v>
      </c>
      <c r="J54" s="2559"/>
      <c r="K54" s="2559"/>
      <c r="L54" s="2559"/>
      <c r="M54" s="700" t="s">
        <v>1907</v>
      </c>
      <c r="N54" s="2829" t="e">
        <f>IF(スコア表示!L163=0,"対象外",スコア表示!L163)</f>
        <v>#DIV/0!</v>
      </c>
      <c r="O54" s="2457"/>
      <c r="P54" s="2457"/>
      <c r="Q54" s="2694" t="e">
        <f>IF(N53="対象外",5,0)</f>
        <v>#DIV/0!</v>
      </c>
    </row>
    <row r="55" spans="1:17" ht="12" customHeight="1" thickBot="1">
      <c r="A55" s="2454"/>
      <c r="B55" s="2596"/>
      <c r="C55" s="2568" t="s">
        <v>1927</v>
      </c>
      <c r="D55" s="2559"/>
      <c r="E55" s="2564"/>
      <c r="F55" s="2559"/>
      <c r="G55" s="2599" t="s">
        <v>1904</v>
      </c>
      <c r="H55" s="2830" t="e">
        <f>IF(スコア表示!L114=0,"対象外",スコア表示!L114)</f>
        <v>#DIV/0!</v>
      </c>
      <c r="I55" s="3095" t="s">
        <v>1928</v>
      </c>
      <c r="J55" s="3095"/>
      <c r="K55" s="3095"/>
      <c r="L55" s="3095"/>
      <c r="M55" s="700" t="s">
        <v>1907</v>
      </c>
      <c r="N55" s="2830" t="e">
        <f>IF(スコア表示!L180=0,"対象外",スコア表示!L180)</f>
        <v>#DIV/0!</v>
      </c>
      <c r="O55" s="2457"/>
      <c r="P55" s="2457"/>
      <c r="Q55" s="2694" t="e">
        <f>IF(N54="対象外",5,0)</f>
        <v>#DIV/0!</v>
      </c>
    </row>
    <row r="56" spans="1:17" ht="12" customHeight="1">
      <c r="A56" s="2454"/>
      <c r="B56" s="2600"/>
      <c r="C56" s="3082" t="s">
        <v>1909</v>
      </c>
      <c r="D56" s="3082"/>
      <c r="E56" s="3082"/>
      <c r="F56" s="3082"/>
      <c r="G56" s="3082"/>
      <c r="H56" s="3082"/>
      <c r="I56" s="3082" t="s">
        <v>1909</v>
      </c>
      <c r="J56" s="3082"/>
      <c r="K56" s="3082"/>
      <c r="L56" s="3082"/>
      <c r="M56" s="3082"/>
      <c r="N56" s="3082"/>
      <c r="O56" s="2457"/>
      <c r="P56" s="2457"/>
      <c r="Q56" s="2694" t="e">
        <f>IF(N55="対象外",5,0)</f>
        <v>#DIV/0!</v>
      </c>
    </row>
    <row r="57" spans="1:17" ht="12" customHeight="1" thickBot="1">
      <c r="A57" s="2454"/>
      <c r="B57" s="2600"/>
      <c r="C57" s="3083"/>
      <c r="D57" s="3083"/>
      <c r="E57" s="3083"/>
      <c r="F57" s="3083"/>
      <c r="G57" s="3083"/>
      <c r="H57" s="3083"/>
      <c r="I57" s="3083"/>
      <c r="J57" s="3083"/>
      <c r="K57" s="3083"/>
      <c r="L57" s="3083"/>
      <c r="M57" s="3083"/>
      <c r="N57" s="3083"/>
      <c r="O57" s="2457"/>
      <c r="P57" s="2457"/>
      <c r="Q57" s="2694"/>
    </row>
    <row r="58" spans="1:17" ht="15" customHeight="1">
      <c r="A58" s="2454"/>
      <c r="B58" s="2593"/>
      <c r="C58" s="2594" t="s">
        <v>1929</v>
      </c>
      <c r="D58" s="2594"/>
      <c r="E58" s="2595"/>
      <c r="F58" s="2595"/>
      <c r="G58" s="2595"/>
      <c r="H58" s="2595"/>
      <c r="I58" s="2595"/>
      <c r="J58" s="2595"/>
      <c r="K58" s="2595"/>
      <c r="L58" s="2574" t="s">
        <v>1919</v>
      </c>
      <c r="M58" s="2574" t="e">
        <f>SUM(N60:N61)</f>
        <v>#DIV/0!</v>
      </c>
      <c r="N58" s="2704" t="e">
        <f>10-SUM(Q60:Q61)</f>
        <v>#DIV/0!</v>
      </c>
      <c r="O58" s="2457"/>
      <c r="P58" s="2457"/>
      <c r="Q58" s="2698"/>
    </row>
    <row r="59" spans="1:17" ht="12" customHeight="1" thickBot="1">
      <c r="A59" s="2454"/>
      <c r="B59" s="2596"/>
      <c r="C59" s="2597" t="s">
        <v>1930</v>
      </c>
      <c r="D59" s="2597"/>
      <c r="E59" s="2598"/>
      <c r="F59" s="2598"/>
      <c r="G59" s="2598"/>
      <c r="H59" s="2598"/>
      <c r="I59" s="2597"/>
      <c r="J59" s="2598"/>
      <c r="K59" s="2598"/>
      <c r="L59" s="2598"/>
      <c r="M59" s="2598"/>
      <c r="N59" s="2562"/>
      <c r="O59" s="2585"/>
      <c r="P59" s="2615"/>
      <c r="Q59" s="2705"/>
    </row>
    <row r="60" spans="1:17" ht="12" customHeight="1" thickBot="1">
      <c r="A60" s="2454"/>
      <c r="B60" s="2596"/>
      <c r="C60" s="2559" t="s">
        <v>1931</v>
      </c>
      <c r="D60" s="2559"/>
      <c r="E60" s="2564"/>
      <c r="F60" s="2559"/>
      <c r="G60" s="2451"/>
      <c r="H60" s="2451"/>
      <c r="I60" s="2559"/>
      <c r="J60" s="2565"/>
      <c r="K60" s="2565"/>
      <c r="L60" s="2559"/>
      <c r="M60" s="2576" t="s">
        <v>1904</v>
      </c>
      <c r="N60" s="2829" t="e">
        <f>IF(重み_前!$D$7=重み_前!$E$7,IF(スコア表示!L70&gt;=スコア表示!P70,IF(スコア表示!L70=0,"対象外",スコア表示!L70),IF(スコア表示!P70=0,"対象外",スコア表示!P70)),IF(重み_前!$D$7&gt;重み_前!$E$7,IF(スコア表示!L70=0,"対象外",スコア表示!L70),IF(スコア表示!P70=0,"対象外",スコア表示!P70)))</f>
        <v>#DIV/0!</v>
      </c>
      <c r="O60" s="2457"/>
      <c r="P60" s="2457"/>
      <c r="Q60" s="2694" t="e">
        <f>IF(N60="対象外",5,0)</f>
        <v>#DIV/0!</v>
      </c>
    </row>
    <row r="61" spans="1:17" ht="12" customHeight="1" thickBot="1">
      <c r="A61" s="2454"/>
      <c r="B61" s="2596"/>
      <c r="C61" s="2559" t="s">
        <v>1924</v>
      </c>
      <c r="D61" s="2559"/>
      <c r="E61" s="2564"/>
      <c r="F61" s="2559"/>
      <c r="G61" s="2451"/>
      <c r="H61" s="2451"/>
      <c r="I61" s="2559"/>
      <c r="J61" s="2565"/>
      <c r="K61" s="2565"/>
      <c r="L61" s="2559"/>
      <c r="M61" s="2576" t="s">
        <v>1904</v>
      </c>
      <c r="N61" s="2830" t="e">
        <f>IF(スコア表示!L113=0,"対象外",スコア表示!L113)</f>
        <v>#DIV/0!</v>
      </c>
      <c r="O61" s="2457"/>
      <c r="P61" s="2457"/>
      <c r="Q61" s="2694" t="e">
        <f>IF(N61="対象外",5,0)</f>
        <v>#DIV/0!</v>
      </c>
    </row>
    <row r="62" spans="1:17" ht="12" customHeight="1">
      <c r="A62" s="2454"/>
      <c r="B62" s="2600"/>
      <c r="C62" s="3076" t="s">
        <v>1909</v>
      </c>
      <c r="D62" s="3077"/>
      <c r="E62" s="3077"/>
      <c r="F62" s="3077"/>
      <c r="G62" s="3077"/>
      <c r="H62" s="3077"/>
      <c r="I62" s="3077"/>
      <c r="J62" s="3077"/>
      <c r="K62" s="3077"/>
      <c r="L62" s="3077"/>
      <c r="M62" s="3077"/>
      <c r="N62" s="3078"/>
      <c r="O62" s="2457"/>
      <c r="P62" s="2457"/>
      <c r="Q62" s="2694"/>
    </row>
    <row r="63" spans="1:17" ht="12" customHeight="1" thickBot="1">
      <c r="A63" s="2454"/>
      <c r="B63" s="2600"/>
      <c r="C63" s="3079"/>
      <c r="D63" s="3080"/>
      <c r="E63" s="3080"/>
      <c r="F63" s="3080"/>
      <c r="G63" s="3080"/>
      <c r="H63" s="3080"/>
      <c r="I63" s="3080"/>
      <c r="J63" s="3080"/>
      <c r="K63" s="3080"/>
      <c r="L63" s="3080"/>
      <c r="M63" s="3080"/>
      <c r="N63" s="3081"/>
      <c r="O63" s="2457"/>
      <c r="P63" s="2457"/>
      <c r="Q63" s="2698"/>
    </row>
    <row r="64" spans="1:17" ht="15" customHeight="1" thickBot="1">
      <c r="A64" s="2454"/>
      <c r="B64" s="2601"/>
      <c r="C64" s="2582" t="s">
        <v>1932</v>
      </c>
      <c r="D64" s="2582"/>
      <c r="E64" s="2583"/>
      <c r="F64" s="2583"/>
      <c r="G64" s="2583"/>
      <c r="H64" s="2583"/>
      <c r="I64" s="2583"/>
      <c r="J64" s="2583"/>
      <c r="K64" s="2583"/>
      <c r="L64" s="2574" t="s">
        <v>1885</v>
      </c>
      <c r="M64" s="2584">
        <f>COUNTIF(N65:N66,"○")</f>
        <v>0</v>
      </c>
      <c r="N64" s="2700">
        <f>2-SUM(Q65:Q67)</f>
        <v>2</v>
      </c>
      <c r="O64" s="2457"/>
      <c r="P64" s="2457"/>
      <c r="Q64" s="2698"/>
    </row>
    <row r="65" spans="1:20" ht="13.5" thickBot="1">
      <c r="A65" s="2454"/>
      <c r="B65" s="2601"/>
      <c r="C65" s="3084" t="s">
        <v>1933</v>
      </c>
      <c r="D65" s="3085"/>
      <c r="E65" s="3085"/>
      <c r="F65" s="3085"/>
      <c r="G65" s="3086" t="s">
        <v>1934</v>
      </c>
      <c r="H65" s="3086"/>
      <c r="I65" s="3086"/>
      <c r="J65" s="3086"/>
      <c r="K65" s="3086"/>
      <c r="L65" s="3086"/>
      <c r="M65" s="3087"/>
      <c r="N65" s="2832" t="s">
        <v>1914</v>
      </c>
      <c r="O65" s="2457"/>
      <c r="P65" s="2457"/>
      <c r="Q65" s="2694">
        <f>IF(N65="対象外",1,0)</f>
        <v>0</v>
      </c>
    </row>
    <row r="66" spans="1:20" ht="26.25" customHeight="1" thickBot="1">
      <c r="A66" s="2454"/>
      <c r="B66" s="2602"/>
      <c r="C66" s="3096" t="s">
        <v>1935</v>
      </c>
      <c r="D66" s="3096"/>
      <c r="E66" s="3096"/>
      <c r="F66" s="3096"/>
      <c r="G66" s="3097" t="s">
        <v>1936</v>
      </c>
      <c r="H66" s="3097"/>
      <c r="I66" s="3097"/>
      <c r="J66" s="3097"/>
      <c r="K66" s="3097"/>
      <c r="L66" s="3097"/>
      <c r="M66" s="3097"/>
      <c r="N66" s="2832" t="s">
        <v>1914</v>
      </c>
      <c r="O66" s="2457"/>
      <c r="P66" s="2457"/>
      <c r="Q66" s="2694">
        <f>IF(N66="対象外",1,0)</f>
        <v>0</v>
      </c>
    </row>
    <row r="67" spans="1:20" ht="15" customHeight="1">
      <c r="A67" s="2454"/>
      <c r="B67" s="2603">
        <v>3</v>
      </c>
      <c r="C67" s="2604" t="s">
        <v>1937</v>
      </c>
      <c r="D67" s="2604"/>
      <c r="E67" s="2605"/>
      <c r="F67" s="2605"/>
      <c r="G67" s="2605"/>
      <c r="H67" s="2605"/>
      <c r="I67" s="2605"/>
      <c r="J67" s="2605"/>
      <c r="K67" s="2605"/>
      <c r="L67" s="2606" t="s">
        <v>1938</v>
      </c>
      <c r="M67" s="2606" t="e">
        <f>SUM(M74,M68,M81)</f>
        <v>#DIV/0!</v>
      </c>
      <c r="N67" s="2706" t="e">
        <f>SUM(N68,N74,N81)</f>
        <v>#DIV/0!</v>
      </c>
      <c r="O67" s="2457"/>
      <c r="P67" s="2457"/>
      <c r="Q67" s="2458"/>
    </row>
    <row r="68" spans="1:20" ht="15" customHeight="1" thickBot="1">
      <c r="A68" s="2454"/>
      <c r="B68" s="2603"/>
      <c r="C68" s="2552" t="s">
        <v>1939</v>
      </c>
      <c r="D68" s="2553"/>
      <c r="E68" s="2554"/>
      <c r="F68" s="2554"/>
      <c r="G68" s="2555"/>
      <c r="H68" s="2554"/>
      <c r="I68" s="2554"/>
      <c r="J68" s="2555"/>
      <c r="K68" s="2555"/>
      <c r="L68" s="2555" t="s">
        <v>1938</v>
      </c>
      <c r="M68" s="2555" t="e">
        <f>SUM(N69:N71)</f>
        <v>#DIV/0!</v>
      </c>
      <c r="N68" s="2699" t="e">
        <f>15-SUM(Q69:Q71)</f>
        <v>#DIV/0!</v>
      </c>
      <c r="O68" s="2457"/>
      <c r="P68" s="2457"/>
      <c r="Q68" s="2458"/>
    </row>
    <row r="69" spans="1:20" ht="12" customHeight="1" thickBot="1">
      <c r="A69" s="2454"/>
      <c r="B69" s="2607"/>
      <c r="C69" s="2559" t="s">
        <v>1931</v>
      </c>
      <c r="D69" s="2559"/>
      <c r="E69" s="2608"/>
      <c r="F69" s="2608"/>
      <c r="G69" s="2608"/>
      <c r="H69" s="2609"/>
      <c r="I69" s="2608"/>
      <c r="J69" s="2608"/>
      <c r="K69" s="2608"/>
      <c r="L69" s="2608"/>
      <c r="M69" s="2576" t="s">
        <v>1904</v>
      </c>
      <c r="N69" s="2829" t="e">
        <f>IF(重み_前!$D$7=重み_前!$E$7,IF(スコア表示!L70&gt;=スコア表示!P70,IF(スコア表示!L70=0,"対象外",スコア表示!L70),IF(スコア表示!P70=0,"対象外",スコア表示!P70)),IF(重み_前!$D$7&gt;重み_前!$E$7,IF(スコア表示!L70=0,"対象外",スコア表示!L70),IF(スコア表示!P70=0,"対象外",スコア表示!P70)))</f>
        <v>#DIV/0!</v>
      </c>
      <c r="O69" s="2457"/>
      <c r="P69" s="2457"/>
      <c r="Q69" s="2694" t="e">
        <f>IF(N69="対象外",5,0)</f>
        <v>#DIV/0!</v>
      </c>
    </row>
    <row r="70" spans="1:20" ht="12" customHeight="1" thickBot="1">
      <c r="A70" s="2454"/>
      <c r="B70" s="2607"/>
      <c r="C70" s="2559" t="s">
        <v>1924</v>
      </c>
      <c r="D70" s="2559"/>
      <c r="E70" s="2609"/>
      <c r="F70" s="2609"/>
      <c r="G70" s="2609"/>
      <c r="H70" s="2609"/>
      <c r="I70" s="2609"/>
      <c r="J70" s="2609"/>
      <c r="K70" s="2609"/>
      <c r="L70" s="2609"/>
      <c r="M70" s="2576" t="s">
        <v>1904</v>
      </c>
      <c r="N70" s="2829" t="e">
        <f>IF(スコア表示!L113=0,"対象外",スコア表示!L113)</f>
        <v>#DIV/0!</v>
      </c>
      <c r="O70" s="2457"/>
      <c r="P70" s="2457"/>
      <c r="Q70" s="2694" t="e">
        <f>IF(N70="対象外",5,0)</f>
        <v>#DIV/0!</v>
      </c>
    </row>
    <row r="71" spans="1:20" ht="12" customHeight="1" thickBot="1">
      <c r="A71" s="2454"/>
      <c r="B71" s="2607"/>
      <c r="C71" s="2559" t="s">
        <v>1940</v>
      </c>
      <c r="D71" s="2559"/>
      <c r="E71" s="2609"/>
      <c r="F71" s="2609"/>
      <c r="G71" s="2609"/>
      <c r="H71" s="2609"/>
      <c r="I71" s="2609"/>
      <c r="J71" s="2609"/>
      <c r="K71" s="2609"/>
      <c r="L71" s="2609"/>
      <c r="M71" s="2576" t="s">
        <v>1904</v>
      </c>
      <c r="N71" s="2830" t="e">
        <f>IF(スコア表示!L151=0,"対象外",スコア表示!L151)</f>
        <v>#DIV/0!</v>
      </c>
      <c r="O71" s="2457"/>
      <c r="P71" s="2457"/>
      <c r="Q71" s="2694" t="e">
        <f>IF(N71="対象外",5,0)</f>
        <v>#DIV/0!</v>
      </c>
    </row>
    <row r="72" spans="1:20" ht="12" customHeight="1">
      <c r="A72" s="2454"/>
      <c r="B72" s="2603"/>
      <c r="C72" s="3076" t="s">
        <v>1909</v>
      </c>
      <c r="D72" s="3077"/>
      <c r="E72" s="3077"/>
      <c r="F72" s="3077"/>
      <c r="G72" s="3077"/>
      <c r="H72" s="3077"/>
      <c r="I72" s="3077"/>
      <c r="J72" s="3077"/>
      <c r="K72" s="3077"/>
      <c r="L72" s="3077"/>
      <c r="M72" s="3077"/>
      <c r="N72" s="3078"/>
      <c r="O72" s="2457"/>
      <c r="P72" s="2457"/>
      <c r="Q72" s="2698"/>
    </row>
    <row r="73" spans="1:20" ht="12" customHeight="1" thickBot="1">
      <c r="A73" s="2454"/>
      <c r="B73" s="2603"/>
      <c r="C73" s="3079"/>
      <c r="D73" s="3080"/>
      <c r="E73" s="3080"/>
      <c r="F73" s="3080"/>
      <c r="G73" s="3080"/>
      <c r="H73" s="3080"/>
      <c r="I73" s="3080"/>
      <c r="J73" s="3080"/>
      <c r="K73" s="3080"/>
      <c r="L73" s="3080"/>
      <c r="M73" s="3080"/>
      <c r="N73" s="3081"/>
      <c r="O73" s="2610"/>
      <c r="P73" s="2615"/>
      <c r="Q73" s="2705"/>
    </row>
    <row r="74" spans="1:20" ht="15" customHeight="1" thickBot="1">
      <c r="A74" s="2454"/>
      <c r="B74" s="2611"/>
      <c r="C74" s="2612" t="s">
        <v>1941</v>
      </c>
      <c r="D74" s="2613"/>
      <c r="E74" s="2573"/>
      <c r="F74" s="2573"/>
      <c r="G74" s="2574"/>
      <c r="H74" s="2614"/>
      <c r="I74" s="2573"/>
      <c r="J74" s="2574"/>
      <c r="K74" s="2574"/>
      <c r="L74" s="2574" t="s">
        <v>1938</v>
      </c>
      <c r="M74" s="2574" t="e">
        <f>SUM(H75:H78,N75:N76)</f>
        <v>#DIV/0!</v>
      </c>
      <c r="N74" s="2707" t="e">
        <f>30-SUM(Q74:Q79)</f>
        <v>#DIV/0!</v>
      </c>
      <c r="O74" s="2615"/>
      <c r="P74" s="2615"/>
      <c r="Q74" s="2694" t="e">
        <f>IF(H75="対象外",5,0)</f>
        <v>#DIV/0!</v>
      </c>
    </row>
    <row r="75" spans="1:20" ht="12" customHeight="1" thickBot="1">
      <c r="A75" s="2454"/>
      <c r="B75" s="2616"/>
      <c r="C75" s="2559" t="s">
        <v>1942</v>
      </c>
      <c r="D75" s="2559"/>
      <c r="E75" s="2559"/>
      <c r="F75" s="2559"/>
      <c r="G75" s="700" t="s">
        <v>1904</v>
      </c>
      <c r="H75" s="2829" t="e">
        <f>IF(重み_前!$D$7=重み_前!$E$7,IF(スコア表示!L36&gt;=スコア表示!P36,IF(スコア表示!L36=0,"対象外",スコア表示!L36),IF(スコア表示!P36=0,"対象外",スコア表示!P36)),IF(重み_前!$D$7&gt;重み_前!$E$7,IF(スコア表示!L36=0,"対象外",スコア表示!L36),IF(スコア表示!P36=0,"対象外",スコア表示!P36)))</f>
        <v>#DIV/0!</v>
      </c>
      <c r="I75" s="2559" t="s">
        <v>1974</v>
      </c>
      <c r="J75" s="2559"/>
      <c r="K75" s="2559"/>
      <c r="L75" s="2559"/>
      <c r="M75" s="700" t="s">
        <v>1904</v>
      </c>
      <c r="N75" s="2829" t="e">
        <f>IF(スコア表示!L119=0,"対象外",スコア表示!L119)</f>
        <v>#DIV/0!</v>
      </c>
      <c r="O75" s="2457"/>
      <c r="P75" s="2457"/>
      <c r="Q75" s="2694" t="e">
        <f>IF(H76="対象外",5,0)</f>
        <v>#DIV/0!</v>
      </c>
      <c r="S75" s="2618"/>
      <c r="T75" s="2618"/>
    </row>
    <row r="76" spans="1:20" s="2578" customFormat="1" ht="12" customHeight="1" thickBot="1">
      <c r="A76" s="2619"/>
      <c r="B76" s="2616"/>
      <c r="C76" s="2559" t="s">
        <v>1944</v>
      </c>
      <c r="D76" s="2559"/>
      <c r="E76" s="2559"/>
      <c r="F76" s="2559"/>
      <c r="G76" s="700" t="s">
        <v>1904</v>
      </c>
      <c r="H76" s="2829" t="e">
        <f>IF(重み_前!$D$7=重み_前!$E$7,IF(スコア表示!L38&gt;=スコア表示!P38,IF(スコア表示!L38=0,"対象外",スコア表示!L38),IF(スコア表示!P38=0,"対象外",スコア表示!P38)),IF(重み_前!$D$7&gt;重み_前!$E$7,IF(スコア表示!L38=0,"対象外",スコア表示!L38),IF(スコア表示!P38=0,"対象外",スコア表示!P38)))</f>
        <v>#DIV/0!</v>
      </c>
      <c r="I76" s="2559" t="s">
        <v>1946</v>
      </c>
      <c r="J76" s="2559"/>
      <c r="K76" s="2559"/>
      <c r="L76" s="2559"/>
      <c r="M76" s="700" t="s">
        <v>1904</v>
      </c>
      <c r="N76" s="2833" t="e">
        <f>IF(スコア表示!L144=0,"対象外",スコア表示!L144)</f>
        <v>#DIV/0!</v>
      </c>
      <c r="O76" s="2457"/>
      <c r="P76" s="2457"/>
      <c r="Q76" s="2694" t="e">
        <f>IF(H77="対象外",5,0)</f>
        <v>#DIV/0!</v>
      </c>
      <c r="S76" s="2621"/>
      <c r="T76" s="2618"/>
    </row>
    <row r="77" spans="1:20" ht="12" customHeight="1" thickBot="1">
      <c r="A77" s="2454"/>
      <c r="B77" s="2616"/>
      <c r="C77" s="2559" t="s">
        <v>1973</v>
      </c>
      <c r="D77" s="2559"/>
      <c r="E77" s="2559"/>
      <c r="F77" s="2559"/>
      <c r="G77" s="700" t="s">
        <v>1904</v>
      </c>
      <c r="H77" s="2829" t="e">
        <f>IF(重み_前!$D$7=重み_前!$E$7,IF(スコア表示!L41&gt;=スコア表示!P41,IF(スコア表示!L41=0,"対象外",スコア表示!L41),IF(スコア表示!P41=0,"対象外",スコア表示!P41)),IF(重み_前!$D$7&gt;重み_前!$E$7,IF(スコア表示!L41=0,"対象外",スコア表示!L41),IF(スコア表示!P41=0,"対象外",スコア表示!P41)))</f>
        <v>#DIV/0!</v>
      </c>
      <c r="I77" s="2559"/>
      <c r="J77" s="2559"/>
      <c r="K77" s="2559"/>
      <c r="L77" s="2559"/>
      <c r="M77" s="700"/>
      <c r="N77" s="2834"/>
      <c r="O77" s="2457"/>
      <c r="P77" s="2457"/>
      <c r="Q77" s="2694" t="e">
        <f>IF(H78="対象外",5,0)</f>
        <v>#DIV/0!</v>
      </c>
      <c r="S77" s="2618"/>
      <c r="T77" s="2618"/>
    </row>
    <row r="78" spans="1:20" s="2578" customFormat="1" ht="12" customHeight="1" thickBot="1">
      <c r="A78" s="2565"/>
      <c r="B78" s="2616"/>
      <c r="C78" s="2568" t="s">
        <v>1948</v>
      </c>
      <c r="D78" s="2559"/>
      <c r="E78" s="2559"/>
      <c r="F78" s="2559"/>
      <c r="G78" s="700" t="s">
        <v>1904</v>
      </c>
      <c r="H78" s="2830" t="e">
        <f>IF(重み_前!$D$7=重み_前!$E$7,IF(スコア表示!L55&gt;=スコア表示!P55,IF(スコア表示!L55=0,"対象外",スコア表示!L55),IF(スコア表示!P55=0,"対象外",スコア表示!P55)),IF(重み_前!$D$7&gt;重み_前!$E$7,IF(スコア表示!L55=0,"対象外",スコア表示!L55),IF(スコア表示!P55=0,"対象外",スコア表示!P55)))</f>
        <v>#DIV/0!</v>
      </c>
      <c r="I78" s="2559"/>
      <c r="J78" s="2559"/>
      <c r="K78" s="2559"/>
      <c r="L78" s="2559"/>
      <c r="M78" s="700"/>
      <c r="N78" s="2622"/>
      <c r="O78" s="2457"/>
      <c r="P78" s="2457"/>
      <c r="Q78" s="2694" t="e">
        <f>IF(N75="対象外",5,0)</f>
        <v>#DIV/0!</v>
      </c>
      <c r="S78" s="2621"/>
      <c r="T78" s="2618"/>
    </row>
    <row r="79" spans="1:20" s="2578" customFormat="1" ht="12" customHeight="1">
      <c r="A79" s="2623"/>
      <c r="B79" s="2624"/>
      <c r="C79" s="3076" t="s">
        <v>1909</v>
      </c>
      <c r="D79" s="3077"/>
      <c r="E79" s="3077"/>
      <c r="F79" s="3077"/>
      <c r="G79" s="3077"/>
      <c r="H79" s="3077"/>
      <c r="I79" s="3077"/>
      <c r="J79" s="3077"/>
      <c r="K79" s="3077"/>
      <c r="L79" s="3077"/>
      <c r="M79" s="3077"/>
      <c r="N79" s="3078"/>
      <c r="O79" s="2457"/>
      <c r="P79" s="2457"/>
      <c r="Q79" s="2694" t="e">
        <f>IF(N76="対象外",5,0)</f>
        <v>#DIV/0!</v>
      </c>
      <c r="S79" s="2621"/>
      <c r="T79" s="2618"/>
    </row>
    <row r="80" spans="1:20" s="2578" customFormat="1" ht="12" customHeight="1" thickBot="1">
      <c r="A80" s="2623"/>
      <c r="B80" s="2625"/>
      <c r="C80" s="3079"/>
      <c r="D80" s="3080"/>
      <c r="E80" s="3080"/>
      <c r="F80" s="3080"/>
      <c r="G80" s="3080"/>
      <c r="H80" s="3080"/>
      <c r="I80" s="3080"/>
      <c r="J80" s="3080"/>
      <c r="K80" s="3080"/>
      <c r="L80" s="3080"/>
      <c r="M80" s="3080"/>
      <c r="N80" s="3081"/>
      <c r="O80" s="2457"/>
      <c r="P80" s="2457"/>
      <c r="Q80" s="2694"/>
      <c r="S80" s="2621"/>
      <c r="T80" s="2618"/>
    </row>
    <row r="81" spans="1:21" ht="15" customHeight="1" thickBot="1">
      <c r="A81" s="2475"/>
      <c r="B81" s="2626"/>
      <c r="C81" s="2627" t="s">
        <v>1932</v>
      </c>
      <c r="D81" s="2582"/>
      <c r="E81" s="2583"/>
      <c r="F81" s="2583"/>
      <c r="G81" s="2583"/>
      <c r="H81" s="2583"/>
      <c r="I81" s="2583"/>
      <c r="J81" s="2583"/>
      <c r="K81" s="2583"/>
      <c r="L81" s="2628" t="s">
        <v>1938</v>
      </c>
      <c r="M81" s="2584">
        <f>COUNTIF(N82:N86,"○")+3</f>
        <v>3</v>
      </c>
      <c r="N81" s="2700">
        <f>8-SUM(Q82:Q86)</f>
        <v>8</v>
      </c>
      <c r="O81" s="2457"/>
      <c r="P81" s="2457"/>
      <c r="Q81" s="2698"/>
    </row>
    <row r="82" spans="1:21" ht="12" customHeight="1" thickBot="1">
      <c r="A82" s="2454"/>
      <c r="B82" s="2626"/>
      <c r="C82" s="3098" t="s">
        <v>1952</v>
      </c>
      <c r="D82" s="3099"/>
      <c r="E82" s="2816"/>
      <c r="F82" s="3099" t="s">
        <v>1912</v>
      </c>
      <c r="G82" s="3100"/>
      <c r="H82" s="3100"/>
      <c r="I82" s="3100"/>
      <c r="J82" s="3100"/>
      <c r="K82" s="3100"/>
      <c r="L82" s="3100"/>
      <c r="M82" s="3101"/>
      <c r="N82" s="2832" t="s">
        <v>1914</v>
      </c>
      <c r="O82" s="2457"/>
      <c r="P82" s="2457"/>
      <c r="Q82" s="2694">
        <f>IF(N82="対象外",1,0)</f>
        <v>0</v>
      </c>
    </row>
    <row r="83" spans="1:21" ht="12" customHeight="1" thickBot="1">
      <c r="A83" s="2454"/>
      <c r="B83" s="2626"/>
      <c r="C83" s="3088" t="s">
        <v>1953</v>
      </c>
      <c r="D83" s="3088"/>
      <c r="E83" s="2816"/>
      <c r="F83" s="3114" t="s">
        <v>1954</v>
      </c>
      <c r="G83" s="3115"/>
      <c r="H83" s="3115"/>
      <c r="I83" s="3115"/>
      <c r="J83" s="3115"/>
      <c r="K83" s="3115"/>
      <c r="L83" s="3115"/>
      <c r="M83" s="3116"/>
      <c r="N83" s="2832" t="s">
        <v>1914</v>
      </c>
      <c r="O83" s="2457"/>
      <c r="P83" s="2457"/>
      <c r="Q83" s="2694">
        <f>IF(N83="対象外",1,0)</f>
        <v>0</v>
      </c>
    </row>
    <row r="84" spans="1:21" ht="12" customHeight="1" thickBot="1">
      <c r="A84" s="2454"/>
      <c r="B84" s="2626"/>
      <c r="C84" s="3094" t="s">
        <v>1978</v>
      </c>
      <c r="D84" s="3117"/>
      <c r="E84" s="2819"/>
      <c r="F84" s="3118" t="s">
        <v>1954</v>
      </c>
      <c r="G84" s="3119"/>
      <c r="H84" s="3119"/>
      <c r="I84" s="3119"/>
      <c r="J84" s="3119"/>
      <c r="K84" s="3119"/>
      <c r="L84" s="3119"/>
      <c r="M84" s="3116"/>
      <c r="N84" s="2832" t="s">
        <v>1914</v>
      </c>
      <c r="O84" s="2457"/>
      <c r="P84" s="2457"/>
      <c r="Q84" s="2694">
        <f t="shared" ref="Q84" si="0">IF(N84="対象外",1,0)</f>
        <v>0</v>
      </c>
    </row>
    <row r="85" spans="1:21" ht="12" customHeight="1" thickBot="1">
      <c r="A85" s="2454"/>
      <c r="B85" s="2626"/>
      <c r="C85" s="3129" t="s">
        <v>1975</v>
      </c>
      <c r="D85" s="3130"/>
      <c r="E85" s="3130"/>
      <c r="F85" s="3118" t="s">
        <v>1976</v>
      </c>
      <c r="G85" s="3119"/>
      <c r="H85" s="3119"/>
      <c r="I85" s="3119"/>
      <c r="J85" s="3119"/>
      <c r="K85" s="3119"/>
      <c r="L85" s="3119"/>
      <c r="M85" s="3133"/>
      <c r="N85" s="2832" t="s">
        <v>1914</v>
      </c>
      <c r="O85" s="2457"/>
      <c r="P85" s="2457"/>
      <c r="Q85" s="2694">
        <f>IF(N85="対象外",4,0)</f>
        <v>0</v>
      </c>
      <c r="R85" s="2692"/>
      <c r="S85" s="2692"/>
      <c r="T85" s="2451"/>
      <c r="U85" s="2451"/>
    </row>
    <row r="86" spans="1:21" ht="12" customHeight="1" thickBot="1">
      <c r="A86" s="2454"/>
      <c r="B86" s="2629"/>
      <c r="C86" s="3131"/>
      <c r="D86" s="3132"/>
      <c r="E86" s="3132"/>
      <c r="F86" s="3134" t="s">
        <v>1977</v>
      </c>
      <c r="G86" s="3135"/>
      <c r="H86" s="3135"/>
      <c r="I86" s="3135"/>
      <c r="J86" s="3135"/>
      <c r="K86" s="3135"/>
      <c r="L86" s="3135"/>
      <c r="M86" s="3136"/>
      <c r="N86" s="2832" t="s">
        <v>1914</v>
      </c>
      <c r="O86" s="2457"/>
      <c r="P86" s="2457"/>
      <c r="Q86" s="2694">
        <f>IF(N86="対象外",1,0)</f>
        <v>0</v>
      </c>
      <c r="R86" s="2692"/>
      <c r="S86" s="2692"/>
      <c r="T86" s="2451"/>
      <c r="U86" s="2451"/>
    </row>
    <row r="87" spans="1:21" ht="6" customHeight="1" thickBot="1">
      <c r="A87" s="2454"/>
      <c r="B87" s="2630"/>
      <c r="C87" s="2813"/>
      <c r="D87" s="2813"/>
      <c r="E87" s="2813"/>
      <c r="F87" s="2813"/>
      <c r="G87" s="2813"/>
      <c r="H87" s="2813"/>
      <c r="I87" s="2813"/>
      <c r="J87" s="2813"/>
      <c r="K87" s="2813"/>
      <c r="L87" s="2813"/>
      <c r="M87" s="2813"/>
      <c r="N87" s="2631"/>
      <c r="O87" s="2457"/>
      <c r="P87" s="2457"/>
      <c r="Q87" s="2458"/>
    </row>
    <row r="88" spans="1:21" ht="15" customHeight="1" thickBot="1">
      <c r="A88" s="2454"/>
      <c r="B88" s="2487" t="s">
        <v>1955</v>
      </c>
      <c r="C88" s="2488"/>
      <c r="D88" s="2632"/>
      <c r="E88" s="2632"/>
      <c r="F88" s="2633"/>
      <c r="G88" s="2632"/>
      <c r="H88" s="866"/>
      <c r="I88" s="2634"/>
      <c r="J88" s="2635"/>
      <c r="K88" s="2632"/>
      <c r="L88" s="2632"/>
      <c r="M88" s="2632"/>
      <c r="N88" s="2636"/>
      <c r="O88" s="2457"/>
      <c r="P88" s="2457"/>
      <c r="Q88" s="2809" t="b">
        <v>0</v>
      </c>
      <c r="R88" s="2617" t="s">
        <v>1943</v>
      </c>
    </row>
    <row r="89" spans="1:21" ht="12" customHeight="1">
      <c r="A89" s="2454"/>
      <c r="B89" s="2637"/>
      <c r="C89" s="3120"/>
      <c r="D89" s="3121"/>
      <c r="E89" s="3121"/>
      <c r="F89" s="3121"/>
      <c r="G89" s="3121"/>
      <c r="H89" s="3121"/>
      <c r="I89" s="3121"/>
      <c r="J89" s="3121"/>
      <c r="K89" s="3122"/>
      <c r="L89" s="2638" t="s">
        <v>1956</v>
      </c>
      <c r="M89" s="3125">
        <f>COUNTIF(Q88:Q93,"TRUE")</f>
        <v>0</v>
      </c>
      <c r="N89" s="3126"/>
      <c r="O89" s="2457"/>
      <c r="P89" s="2457"/>
      <c r="Q89" s="2809" t="b">
        <v>0</v>
      </c>
      <c r="R89" s="2620" t="s">
        <v>1945</v>
      </c>
    </row>
    <row r="90" spans="1:21" ht="12" customHeight="1">
      <c r="A90" s="2454"/>
      <c r="B90" s="2637"/>
      <c r="C90" s="3121"/>
      <c r="D90" s="3121"/>
      <c r="E90" s="3121"/>
      <c r="F90" s="3121"/>
      <c r="G90" s="3121"/>
      <c r="H90" s="3121"/>
      <c r="I90" s="3121"/>
      <c r="J90" s="3121"/>
      <c r="K90" s="3122"/>
      <c r="L90" s="3108" t="s">
        <v>1957</v>
      </c>
      <c r="M90" s="3127"/>
      <c r="N90" s="3128"/>
      <c r="O90" s="2457"/>
      <c r="P90" s="2457"/>
      <c r="Q90" s="2620" t="b">
        <v>0</v>
      </c>
      <c r="R90" s="2617" t="s">
        <v>1947</v>
      </c>
    </row>
    <row r="91" spans="1:21" ht="12" customHeight="1" thickBot="1">
      <c r="A91" s="2454"/>
      <c r="B91" s="2639"/>
      <c r="C91" s="3123"/>
      <c r="D91" s="3123"/>
      <c r="E91" s="3123"/>
      <c r="F91" s="3123"/>
      <c r="G91" s="3123"/>
      <c r="H91" s="3123"/>
      <c r="I91" s="3123"/>
      <c r="J91" s="3123"/>
      <c r="K91" s="3124"/>
      <c r="L91" s="3109"/>
      <c r="M91" s="3127"/>
      <c r="N91" s="3128"/>
      <c r="O91" s="2457"/>
      <c r="P91" s="2457"/>
      <c r="Q91" s="2620" t="b">
        <v>0</v>
      </c>
      <c r="R91" s="2617" t="s">
        <v>1949</v>
      </c>
    </row>
    <row r="92" spans="1:21" ht="6" customHeight="1" thickBot="1">
      <c r="A92" s="2454"/>
      <c r="B92" s="2454"/>
      <c r="C92" s="2454"/>
      <c r="D92" s="2454"/>
      <c r="E92" s="2454"/>
      <c r="F92" s="2454"/>
      <c r="G92" s="2454"/>
      <c r="H92" s="2454"/>
      <c r="I92" s="2454"/>
      <c r="J92" s="2454"/>
      <c r="K92" s="2454"/>
      <c r="L92" s="2454"/>
      <c r="M92" s="2640"/>
      <c r="N92" s="2641"/>
      <c r="O92" s="2457"/>
      <c r="P92" s="2457"/>
      <c r="Q92" s="2617" t="b">
        <v>0</v>
      </c>
      <c r="R92" s="2617" t="s">
        <v>1950</v>
      </c>
    </row>
    <row r="93" spans="1:21" ht="15" customHeight="1" thickBot="1">
      <c r="A93" s="2454"/>
      <c r="B93" s="2487" t="s">
        <v>1958</v>
      </c>
      <c r="C93" s="2488"/>
      <c r="D93" s="2488"/>
      <c r="E93" s="2632"/>
      <c r="F93" s="2633"/>
      <c r="G93" s="2632"/>
      <c r="H93" s="866"/>
      <c r="I93" s="2634"/>
      <c r="J93" s="2632"/>
      <c r="K93" s="2632"/>
      <c r="L93" s="2632"/>
      <c r="M93" s="2632"/>
      <c r="N93" s="2636"/>
      <c r="O93" s="2457"/>
      <c r="P93" s="2457"/>
      <c r="Q93" s="2809" t="b">
        <v>0</v>
      </c>
      <c r="R93" s="2617" t="s">
        <v>1951</v>
      </c>
    </row>
    <row r="94" spans="1:21" ht="12" customHeight="1" thickBot="1">
      <c r="A94" s="2454"/>
      <c r="B94" s="2637"/>
      <c r="C94" s="2815" t="s">
        <v>1959</v>
      </c>
      <c r="D94" s="2815"/>
      <c r="E94" s="2813"/>
      <c r="F94" s="2813"/>
      <c r="G94" s="2642"/>
      <c r="H94" s="2579"/>
      <c r="I94" s="2579"/>
      <c r="J94" s="2835" t="e">
        <f>CO2計算_前!L136</f>
        <v>#DIV/0!</v>
      </c>
      <c r="K94" s="2810" t="s">
        <v>1960</v>
      </c>
      <c r="L94" s="2638" t="s">
        <v>1961</v>
      </c>
      <c r="M94" s="3102" t="e">
        <f>IF(($J$96/$J$95)*100&lt;0,"＋"&amp;+ROUND(ABS(($J$96/$J$95)*100),1),ROUND(($J$96/$J$95)*100,1))&amp;"％"</f>
        <v>#DIV/0!</v>
      </c>
      <c r="N94" s="3103"/>
      <c r="O94" s="2457"/>
      <c r="P94" s="2457"/>
    </row>
    <row r="95" spans="1:21" ht="12" customHeight="1" thickBot="1">
      <c r="A95" s="2454"/>
      <c r="B95" s="2637"/>
      <c r="C95" s="2815" t="s">
        <v>1962</v>
      </c>
      <c r="D95" s="2815"/>
      <c r="E95" s="2813"/>
      <c r="F95" s="2813"/>
      <c r="G95" s="2642"/>
      <c r="H95" s="2579"/>
      <c r="I95" s="2579"/>
      <c r="J95" s="2835" t="e">
        <f>CO2計算_前!O136</f>
        <v>#DIV/0!</v>
      </c>
      <c r="K95" s="2810" t="s">
        <v>1960</v>
      </c>
      <c r="L95" s="3108" t="s">
        <v>1963</v>
      </c>
      <c r="M95" s="3104"/>
      <c r="N95" s="3105"/>
      <c r="O95" s="2457"/>
      <c r="P95" s="2457"/>
      <c r="Q95" s="2458"/>
    </row>
    <row r="96" spans="1:21" ht="12" customHeight="1" thickBot="1">
      <c r="A96" s="2454"/>
      <c r="B96" s="2639"/>
      <c r="C96" s="2643" t="s">
        <v>1964</v>
      </c>
      <c r="D96" s="2643"/>
      <c r="E96" s="2825"/>
      <c r="F96" s="2825"/>
      <c r="G96" s="2644"/>
      <c r="H96" s="2486"/>
      <c r="I96" s="2486"/>
      <c r="J96" s="2693" t="e">
        <f>+J94-J95</f>
        <v>#DIV/0!</v>
      </c>
      <c r="K96" s="2811" t="s">
        <v>1960</v>
      </c>
      <c r="L96" s="3109"/>
      <c r="M96" s="3106"/>
      <c r="N96" s="3107"/>
      <c r="O96" s="2457"/>
      <c r="P96" s="2457"/>
      <c r="Q96" s="2458"/>
    </row>
    <row r="97" spans="1:17" ht="6" customHeight="1" thickBot="1">
      <c r="A97" s="2454"/>
      <c r="B97" s="2454"/>
      <c r="C97" s="2454"/>
      <c r="D97" s="2454"/>
      <c r="E97" s="2454"/>
      <c r="F97" s="2454"/>
      <c r="G97" s="2454"/>
      <c r="H97" s="2454"/>
      <c r="I97" s="2454"/>
      <c r="J97" s="2454"/>
      <c r="K97" s="2454"/>
      <c r="L97" s="2454"/>
      <c r="M97" s="2455"/>
      <c r="N97" s="2456"/>
      <c r="O97" s="2457"/>
      <c r="P97" s="2457"/>
      <c r="Q97" s="2458"/>
    </row>
    <row r="98" spans="1:17" ht="15" customHeight="1" thickBot="1">
      <c r="A98" s="2454"/>
      <c r="B98" s="2487" t="s">
        <v>1965</v>
      </c>
      <c r="C98" s="2488"/>
      <c r="D98" s="2488"/>
      <c r="E98" s="2632"/>
      <c r="F98" s="2633"/>
      <c r="G98" s="2632"/>
      <c r="H98" s="866"/>
      <c r="I98" s="2634"/>
      <c r="J98" s="2645"/>
      <c r="K98" s="2632"/>
      <c r="L98" s="2632"/>
      <c r="M98" s="2632"/>
      <c r="N98" s="2636"/>
      <c r="O98" s="2457"/>
      <c r="P98" s="2457"/>
    </row>
    <row r="99" spans="1:17" ht="12" customHeight="1" thickBot="1">
      <c r="A99" s="2454"/>
      <c r="B99" s="2637"/>
      <c r="C99" s="2815" t="s">
        <v>1966</v>
      </c>
      <c r="D99" s="2815"/>
      <c r="E99" s="2813"/>
      <c r="F99" s="2813"/>
      <c r="G99" s="2642"/>
      <c r="H99" s="2451"/>
      <c r="I99" s="2451"/>
      <c r="J99" s="2646"/>
      <c r="K99" s="2647" t="s">
        <v>1967</v>
      </c>
      <c r="L99" s="2824" t="s">
        <v>1968</v>
      </c>
      <c r="M99" s="3110" t="str">
        <f>IF($J$100=0,0&amp;"％",ROUND($J$100/($J$99+$J$100)*100,1)&amp;"％")</f>
        <v>0％</v>
      </c>
      <c r="N99" s="3111"/>
      <c r="O99" s="2457"/>
      <c r="P99" s="2457"/>
      <c r="Q99" s="2648">
        <f>IF(OR(J99="",J99=0),1,J99)</f>
        <v>1</v>
      </c>
    </row>
    <row r="100" spans="1:17" ht="12" customHeight="1" thickBot="1">
      <c r="A100" s="2454"/>
      <c r="B100" s="2639"/>
      <c r="C100" s="2643" t="s">
        <v>1969</v>
      </c>
      <c r="D100" s="2643"/>
      <c r="E100" s="2825"/>
      <c r="F100" s="2825"/>
      <c r="G100" s="2644"/>
      <c r="H100" s="2486"/>
      <c r="I100" s="2486"/>
      <c r="J100" s="2649"/>
      <c r="K100" s="2650" t="s">
        <v>1967</v>
      </c>
      <c r="L100" s="2651" t="s">
        <v>1963</v>
      </c>
      <c r="M100" s="3112"/>
      <c r="N100" s="3113"/>
      <c r="O100" s="2457"/>
      <c r="P100" s="2457"/>
      <c r="Q100" s="2458"/>
    </row>
    <row r="101" spans="1:17" ht="8.1" customHeight="1">
      <c r="A101" s="2454"/>
      <c r="B101" s="2630"/>
      <c r="C101" s="2815"/>
      <c r="D101" s="2815"/>
      <c r="E101" s="2815"/>
      <c r="F101" s="2813"/>
      <c r="G101" s="2813"/>
      <c r="H101" s="2642"/>
      <c r="I101" s="2812"/>
      <c r="J101" s="2652"/>
      <c r="K101" s="2810"/>
      <c r="L101" s="2653"/>
      <c r="M101" s="2653"/>
      <c r="N101" s="2654"/>
      <c r="O101" s="2457"/>
      <c r="P101" s="2457"/>
      <c r="Q101" s="2458"/>
    </row>
    <row r="102" spans="1:17" ht="12" customHeight="1">
      <c r="A102" s="2454"/>
      <c r="B102" s="2454"/>
      <c r="C102" s="2655" t="s">
        <v>2072</v>
      </c>
      <c r="D102" s="2451"/>
      <c r="E102" s="2656"/>
      <c r="F102" s="2451"/>
      <c r="G102" s="2451"/>
      <c r="H102" s="2451"/>
      <c r="I102" s="2657" t="s">
        <v>1970</v>
      </c>
      <c r="J102" s="2451"/>
      <c r="K102" s="2451"/>
      <c r="L102" s="2658" t="s">
        <v>1971</v>
      </c>
      <c r="M102" s="2454"/>
      <c r="N102" s="2456"/>
      <c r="O102" s="2457"/>
      <c r="P102" s="2457"/>
      <c r="Q102" s="2659"/>
    </row>
    <row r="103" spans="1:17" ht="14.25" customHeight="1">
      <c r="A103" s="2454"/>
      <c r="B103" s="2454"/>
      <c r="C103" s="2660"/>
      <c r="D103" s="2451"/>
      <c r="E103" s="2451"/>
      <c r="F103" s="2454"/>
      <c r="G103" s="2661"/>
      <c r="H103" s="2451"/>
      <c r="I103" s="2451"/>
      <c r="J103" s="2454"/>
      <c r="K103" s="2454"/>
      <c r="L103" s="2454"/>
      <c r="M103" s="2454"/>
      <c r="N103" s="2456"/>
      <c r="O103" s="2457"/>
      <c r="P103" s="2457"/>
      <c r="Q103" s="2458"/>
    </row>
    <row r="104" spans="1:17" ht="12" hidden="1" customHeight="1">
      <c r="A104" s="2662"/>
      <c r="B104" s="2662"/>
      <c r="N104" s="2663"/>
      <c r="O104" s="2664"/>
      <c r="P104" s="2664"/>
      <c r="Q104" s="2458"/>
    </row>
    <row r="105" spans="1:17" ht="8.1" hidden="1" customHeight="1">
      <c r="A105" s="2662"/>
      <c r="N105" s="2665"/>
      <c r="O105" s="2664"/>
      <c r="P105" s="2664"/>
      <c r="Q105" s="2458"/>
    </row>
    <row r="106" spans="1:17" ht="7.5" hidden="1" customHeight="1">
      <c r="A106" s="2662"/>
      <c r="N106" s="2662"/>
      <c r="O106" s="2664"/>
      <c r="P106" s="2664"/>
      <c r="Q106" s="2458"/>
    </row>
    <row r="107" spans="1:17" ht="12" hidden="1" customHeight="1">
      <c r="A107" s="2662"/>
      <c r="N107" s="2662"/>
      <c r="O107" s="2664"/>
      <c r="P107" s="2664"/>
      <c r="Q107" s="2458"/>
    </row>
    <row r="108" spans="1:17" ht="12" hidden="1" customHeight="1">
      <c r="A108" s="2662"/>
      <c r="O108" s="2664"/>
      <c r="P108" s="2664"/>
      <c r="Q108" s="2458"/>
    </row>
    <row r="109" spans="1:17" ht="12" hidden="1" customHeight="1">
      <c r="A109" s="2662"/>
      <c r="B109" s="2662"/>
      <c r="C109" s="2662"/>
      <c r="D109" s="2662"/>
      <c r="E109" s="2662"/>
      <c r="F109" s="2662"/>
      <c r="G109" s="2662"/>
      <c r="H109" s="2662"/>
      <c r="I109" s="2662"/>
      <c r="J109" s="2662"/>
      <c r="K109" s="2662"/>
      <c r="L109" s="2662"/>
      <c r="M109" s="2666"/>
      <c r="N109" s="2667"/>
      <c r="O109" s="2664"/>
      <c r="P109" s="2664"/>
      <c r="Q109" s="2458"/>
    </row>
    <row r="110" spans="1:17" ht="12" hidden="1" customHeight="1">
      <c r="A110" s="2662"/>
      <c r="B110" s="2662"/>
      <c r="C110" s="2668"/>
      <c r="D110" s="2668"/>
      <c r="F110" s="2662"/>
      <c r="G110" s="2662"/>
      <c r="H110" s="2662"/>
      <c r="I110" s="2662"/>
      <c r="J110" s="2662"/>
      <c r="K110" s="2662"/>
      <c r="L110" s="2662"/>
      <c r="M110" s="2666"/>
      <c r="N110" s="2667"/>
    </row>
    <row r="111" spans="1:17" ht="12" hidden="1" customHeight="1">
      <c r="A111" s="2662"/>
      <c r="B111" s="2662"/>
      <c r="E111" s="2662"/>
      <c r="F111" s="2662"/>
      <c r="G111" s="2662"/>
      <c r="H111" s="2662"/>
      <c r="I111" s="2662"/>
      <c r="J111" s="2662"/>
      <c r="K111" s="2662"/>
      <c r="L111" s="2662"/>
      <c r="M111" s="2666"/>
      <c r="N111" s="2667"/>
    </row>
    <row r="112" spans="1:17" ht="12" hidden="1" customHeight="1">
      <c r="A112" s="2662"/>
      <c r="B112" s="2662"/>
      <c r="C112" s="2662"/>
      <c r="D112" s="2662"/>
      <c r="E112" s="2662"/>
      <c r="F112" s="2662"/>
      <c r="G112" s="2662"/>
      <c r="H112" s="2662"/>
      <c r="I112" s="2662"/>
      <c r="J112" s="2662"/>
      <c r="K112" s="2662"/>
      <c r="L112" s="2662"/>
      <c r="M112" s="2666"/>
      <c r="N112" s="2667"/>
    </row>
    <row r="113" spans="2:14" ht="12" hidden="1" customHeight="1">
      <c r="B113" s="2662"/>
      <c r="C113" s="2662"/>
      <c r="D113" s="2662"/>
      <c r="E113" s="2662"/>
      <c r="F113" s="2662"/>
      <c r="G113" s="2662"/>
      <c r="H113" s="2662"/>
      <c r="I113" s="2662"/>
      <c r="J113" s="2662"/>
      <c r="K113" s="2662"/>
      <c r="L113" s="2662"/>
      <c r="M113" s="2666"/>
      <c r="N113" s="2667"/>
    </row>
    <row r="114" spans="2:14" ht="12" hidden="1" customHeight="1">
      <c r="B114" s="2662"/>
      <c r="C114" s="2662"/>
      <c r="D114" s="2662"/>
      <c r="E114" s="2662"/>
      <c r="F114" s="2662"/>
      <c r="G114" s="2662"/>
      <c r="H114" s="2662"/>
      <c r="I114" s="2662"/>
      <c r="J114" s="2662"/>
      <c r="K114" s="2662"/>
      <c r="L114" s="2662"/>
      <c r="M114" s="2666"/>
      <c r="N114" s="2667"/>
    </row>
    <row r="115" spans="2:14" ht="12" hidden="1" customHeight="1">
      <c r="B115" s="2662"/>
      <c r="C115" s="2662"/>
      <c r="D115" s="2662"/>
      <c r="E115" s="2662"/>
      <c r="F115" s="2662"/>
      <c r="G115" s="2662"/>
      <c r="H115" s="2662"/>
      <c r="I115" s="2662"/>
      <c r="J115" s="2662"/>
      <c r="K115" s="2662"/>
      <c r="L115" s="2662"/>
      <c r="M115" s="2666"/>
      <c r="N115" s="2667"/>
    </row>
  </sheetData>
  <sheetProtection password="CC47" sheet="1" objects="1" scenarios="1"/>
  <mergeCells count="65">
    <mergeCell ref="M94:N96"/>
    <mergeCell ref="L95:L96"/>
    <mergeCell ref="M99:N100"/>
    <mergeCell ref="C83:D83"/>
    <mergeCell ref="F83:M83"/>
    <mergeCell ref="C84:D84"/>
    <mergeCell ref="F84:M84"/>
    <mergeCell ref="C89:K91"/>
    <mergeCell ref="M89:N91"/>
    <mergeCell ref="L90:L91"/>
    <mergeCell ref="C85:E86"/>
    <mergeCell ref="F85:M85"/>
    <mergeCell ref="F86:M86"/>
    <mergeCell ref="C66:F66"/>
    <mergeCell ref="G66:M66"/>
    <mergeCell ref="C72:N73"/>
    <mergeCell ref="C79:N80"/>
    <mergeCell ref="C82:D82"/>
    <mergeCell ref="F82:M82"/>
    <mergeCell ref="C65:F65"/>
    <mergeCell ref="G65:M65"/>
    <mergeCell ref="C43:N44"/>
    <mergeCell ref="C46:E46"/>
    <mergeCell ref="F46:M46"/>
    <mergeCell ref="C47:E47"/>
    <mergeCell ref="F47:M47"/>
    <mergeCell ref="C48:E48"/>
    <mergeCell ref="F48:L48"/>
    <mergeCell ref="C49:D49"/>
    <mergeCell ref="I55:L55"/>
    <mergeCell ref="C56:H57"/>
    <mergeCell ref="I56:N57"/>
    <mergeCell ref="C62:N63"/>
    <mergeCell ref="C23:G23"/>
    <mergeCell ref="C24:E24"/>
    <mergeCell ref="F24:G24"/>
    <mergeCell ref="I31:N32"/>
    <mergeCell ref="C36:H37"/>
    <mergeCell ref="I36:N37"/>
    <mergeCell ref="C20:E20"/>
    <mergeCell ref="F20:G20"/>
    <mergeCell ref="C21:E21"/>
    <mergeCell ref="F21:G21"/>
    <mergeCell ref="C22:E22"/>
    <mergeCell ref="F22:G22"/>
    <mergeCell ref="C17:E17"/>
    <mergeCell ref="F17:G17"/>
    <mergeCell ref="C18:E18"/>
    <mergeCell ref="F18:G18"/>
    <mergeCell ref="C19:E19"/>
    <mergeCell ref="F19:G19"/>
    <mergeCell ref="C16:E16"/>
    <mergeCell ref="F16:G16"/>
    <mergeCell ref="D7:G7"/>
    <mergeCell ref="J7:L7"/>
    <mergeCell ref="D9:H9"/>
    <mergeCell ref="I9:I10"/>
    <mergeCell ref="J9:J10"/>
    <mergeCell ref="K9:K10"/>
    <mergeCell ref="L9:N10"/>
    <mergeCell ref="D11:H11"/>
    <mergeCell ref="K11:N11"/>
    <mergeCell ref="D12:H12"/>
    <mergeCell ref="K12:N12"/>
    <mergeCell ref="F15:H15"/>
  </mergeCells>
  <phoneticPr fontId="20"/>
  <conditionalFormatting sqref="M22:N24">
    <cfRule type="expression" dxfId="20" priority="1" stopIfTrue="1">
      <formula>$E$22&gt;=#REF!</formula>
    </cfRule>
    <cfRule type="expression" dxfId="19" priority="2" stopIfTrue="1">
      <formula>$E$22&gt;=#REF!</formula>
    </cfRule>
  </conditionalFormatting>
  <conditionalFormatting sqref="M16:N18">
    <cfRule type="expression" dxfId="18" priority="3" stopIfTrue="1">
      <formula>$E$16&gt;=#REF!</formula>
    </cfRule>
    <cfRule type="expression" dxfId="17" priority="4" stopIfTrue="1">
      <formula>$E$16&gt;=#REF!</formula>
    </cfRule>
  </conditionalFormatting>
  <conditionalFormatting sqref="M19:N21">
    <cfRule type="expression" dxfId="16" priority="5" stopIfTrue="1">
      <formula>$E$19&gt;=#REF!</formula>
    </cfRule>
    <cfRule type="expression" dxfId="15" priority="6" stopIfTrue="1">
      <formula>$E$19&gt;=#REF!</formula>
    </cfRule>
  </conditionalFormatting>
  <dataValidations count="4">
    <dataValidation type="list" allowBlank="1" showInputMessage="1" showErrorMessage="1" sqref="N46:N48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N65584:N65586 JK65584:JK65586 TG65584:TG65586 ADC65584:ADC65586 AMY65584:AMY65586 AWU65584:AWU65586 BGQ65584:BGQ65586 BQM65584:BQM65586 CAI65584:CAI65586 CKE65584:CKE65586 CUA65584:CUA65586 DDW65584:DDW65586 DNS65584:DNS65586 DXO65584:DXO65586 EHK65584:EHK65586 ERG65584:ERG65586 FBC65584:FBC65586 FKY65584:FKY65586 FUU65584:FUU65586 GEQ65584:GEQ65586 GOM65584:GOM65586 GYI65584:GYI65586 HIE65584:HIE65586 HSA65584:HSA65586 IBW65584:IBW65586 ILS65584:ILS65586 IVO65584:IVO65586 JFK65584:JFK65586 JPG65584:JPG65586 JZC65584:JZC65586 KIY65584:KIY65586 KSU65584:KSU65586 LCQ65584:LCQ65586 LMM65584:LMM65586 LWI65584:LWI65586 MGE65584:MGE65586 MQA65584:MQA65586 MZW65584:MZW65586 NJS65584:NJS65586 NTO65584:NTO65586 ODK65584:ODK65586 ONG65584:ONG65586 OXC65584:OXC65586 PGY65584:PGY65586 PQU65584:PQU65586 QAQ65584:QAQ65586 QKM65584:QKM65586 QUI65584:QUI65586 REE65584:REE65586 ROA65584:ROA65586 RXW65584:RXW65586 SHS65584:SHS65586 SRO65584:SRO65586 TBK65584:TBK65586 TLG65584:TLG65586 TVC65584:TVC65586 UEY65584:UEY65586 UOU65584:UOU65586 UYQ65584:UYQ65586 VIM65584:VIM65586 VSI65584:VSI65586 WCE65584:WCE65586 WMA65584:WMA65586 WVW65584:WVW65586 N131120:N131122 JK131120:JK131122 TG131120:TG131122 ADC131120:ADC131122 AMY131120:AMY131122 AWU131120:AWU131122 BGQ131120:BGQ131122 BQM131120:BQM131122 CAI131120:CAI131122 CKE131120:CKE131122 CUA131120:CUA131122 DDW131120:DDW131122 DNS131120:DNS131122 DXO131120:DXO131122 EHK131120:EHK131122 ERG131120:ERG131122 FBC131120:FBC131122 FKY131120:FKY131122 FUU131120:FUU131122 GEQ131120:GEQ131122 GOM131120:GOM131122 GYI131120:GYI131122 HIE131120:HIE131122 HSA131120:HSA131122 IBW131120:IBW131122 ILS131120:ILS131122 IVO131120:IVO131122 JFK131120:JFK131122 JPG131120:JPG131122 JZC131120:JZC131122 KIY131120:KIY131122 KSU131120:KSU131122 LCQ131120:LCQ131122 LMM131120:LMM131122 LWI131120:LWI131122 MGE131120:MGE131122 MQA131120:MQA131122 MZW131120:MZW131122 NJS131120:NJS131122 NTO131120:NTO131122 ODK131120:ODK131122 ONG131120:ONG131122 OXC131120:OXC131122 PGY131120:PGY131122 PQU131120:PQU131122 QAQ131120:QAQ131122 QKM131120:QKM131122 QUI131120:QUI131122 REE131120:REE131122 ROA131120:ROA131122 RXW131120:RXW131122 SHS131120:SHS131122 SRO131120:SRO131122 TBK131120:TBK131122 TLG131120:TLG131122 TVC131120:TVC131122 UEY131120:UEY131122 UOU131120:UOU131122 UYQ131120:UYQ131122 VIM131120:VIM131122 VSI131120:VSI131122 WCE131120:WCE131122 WMA131120:WMA131122 WVW131120:WVW131122 N196656:N196658 JK196656:JK196658 TG196656:TG196658 ADC196656:ADC196658 AMY196656:AMY196658 AWU196656:AWU196658 BGQ196656:BGQ196658 BQM196656:BQM196658 CAI196656:CAI196658 CKE196656:CKE196658 CUA196656:CUA196658 DDW196656:DDW196658 DNS196656:DNS196658 DXO196656:DXO196658 EHK196656:EHK196658 ERG196656:ERG196658 FBC196656:FBC196658 FKY196656:FKY196658 FUU196656:FUU196658 GEQ196656:GEQ196658 GOM196656:GOM196658 GYI196656:GYI196658 HIE196656:HIE196658 HSA196656:HSA196658 IBW196656:IBW196658 ILS196656:ILS196658 IVO196656:IVO196658 JFK196656:JFK196658 JPG196656:JPG196658 JZC196656:JZC196658 KIY196656:KIY196658 KSU196656:KSU196658 LCQ196656:LCQ196658 LMM196656:LMM196658 LWI196656:LWI196658 MGE196656:MGE196658 MQA196656:MQA196658 MZW196656:MZW196658 NJS196656:NJS196658 NTO196656:NTO196658 ODK196656:ODK196658 ONG196656:ONG196658 OXC196656:OXC196658 PGY196656:PGY196658 PQU196656:PQU196658 QAQ196656:QAQ196658 QKM196656:QKM196658 QUI196656:QUI196658 REE196656:REE196658 ROA196656:ROA196658 RXW196656:RXW196658 SHS196656:SHS196658 SRO196656:SRO196658 TBK196656:TBK196658 TLG196656:TLG196658 TVC196656:TVC196658 UEY196656:UEY196658 UOU196656:UOU196658 UYQ196656:UYQ196658 VIM196656:VIM196658 VSI196656:VSI196658 WCE196656:WCE196658 WMA196656:WMA196658 WVW196656:WVW196658 N262192:N262194 JK262192:JK262194 TG262192:TG262194 ADC262192:ADC262194 AMY262192:AMY262194 AWU262192:AWU262194 BGQ262192:BGQ262194 BQM262192:BQM262194 CAI262192:CAI262194 CKE262192:CKE262194 CUA262192:CUA262194 DDW262192:DDW262194 DNS262192:DNS262194 DXO262192:DXO262194 EHK262192:EHK262194 ERG262192:ERG262194 FBC262192:FBC262194 FKY262192:FKY262194 FUU262192:FUU262194 GEQ262192:GEQ262194 GOM262192:GOM262194 GYI262192:GYI262194 HIE262192:HIE262194 HSA262192:HSA262194 IBW262192:IBW262194 ILS262192:ILS262194 IVO262192:IVO262194 JFK262192:JFK262194 JPG262192:JPG262194 JZC262192:JZC262194 KIY262192:KIY262194 KSU262192:KSU262194 LCQ262192:LCQ262194 LMM262192:LMM262194 LWI262192:LWI262194 MGE262192:MGE262194 MQA262192:MQA262194 MZW262192:MZW262194 NJS262192:NJS262194 NTO262192:NTO262194 ODK262192:ODK262194 ONG262192:ONG262194 OXC262192:OXC262194 PGY262192:PGY262194 PQU262192:PQU262194 QAQ262192:QAQ262194 QKM262192:QKM262194 QUI262192:QUI262194 REE262192:REE262194 ROA262192:ROA262194 RXW262192:RXW262194 SHS262192:SHS262194 SRO262192:SRO262194 TBK262192:TBK262194 TLG262192:TLG262194 TVC262192:TVC262194 UEY262192:UEY262194 UOU262192:UOU262194 UYQ262192:UYQ262194 VIM262192:VIM262194 VSI262192:VSI262194 WCE262192:WCE262194 WMA262192:WMA262194 WVW262192:WVW262194 N327728:N327730 JK327728:JK327730 TG327728:TG327730 ADC327728:ADC327730 AMY327728:AMY327730 AWU327728:AWU327730 BGQ327728:BGQ327730 BQM327728:BQM327730 CAI327728:CAI327730 CKE327728:CKE327730 CUA327728:CUA327730 DDW327728:DDW327730 DNS327728:DNS327730 DXO327728:DXO327730 EHK327728:EHK327730 ERG327728:ERG327730 FBC327728:FBC327730 FKY327728:FKY327730 FUU327728:FUU327730 GEQ327728:GEQ327730 GOM327728:GOM327730 GYI327728:GYI327730 HIE327728:HIE327730 HSA327728:HSA327730 IBW327728:IBW327730 ILS327728:ILS327730 IVO327728:IVO327730 JFK327728:JFK327730 JPG327728:JPG327730 JZC327728:JZC327730 KIY327728:KIY327730 KSU327728:KSU327730 LCQ327728:LCQ327730 LMM327728:LMM327730 LWI327728:LWI327730 MGE327728:MGE327730 MQA327728:MQA327730 MZW327728:MZW327730 NJS327728:NJS327730 NTO327728:NTO327730 ODK327728:ODK327730 ONG327728:ONG327730 OXC327728:OXC327730 PGY327728:PGY327730 PQU327728:PQU327730 QAQ327728:QAQ327730 QKM327728:QKM327730 QUI327728:QUI327730 REE327728:REE327730 ROA327728:ROA327730 RXW327728:RXW327730 SHS327728:SHS327730 SRO327728:SRO327730 TBK327728:TBK327730 TLG327728:TLG327730 TVC327728:TVC327730 UEY327728:UEY327730 UOU327728:UOU327730 UYQ327728:UYQ327730 VIM327728:VIM327730 VSI327728:VSI327730 WCE327728:WCE327730 WMA327728:WMA327730 WVW327728:WVW327730 N393264:N393266 JK393264:JK393266 TG393264:TG393266 ADC393264:ADC393266 AMY393264:AMY393266 AWU393264:AWU393266 BGQ393264:BGQ393266 BQM393264:BQM393266 CAI393264:CAI393266 CKE393264:CKE393266 CUA393264:CUA393266 DDW393264:DDW393266 DNS393264:DNS393266 DXO393264:DXO393266 EHK393264:EHK393266 ERG393264:ERG393266 FBC393264:FBC393266 FKY393264:FKY393266 FUU393264:FUU393266 GEQ393264:GEQ393266 GOM393264:GOM393266 GYI393264:GYI393266 HIE393264:HIE393266 HSA393264:HSA393266 IBW393264:IBW393266 ILS393264:ILS393266 IVO393264:IVO393266 JFK393264:JFK393266 JPG393264:JPG393266 JZC393264:JZC393266 KIY393264:KIY393266 KSU393264:KSU393266 LCQ393264:LCQ393266 LMM393264:LMM393266 LWI393264:LWI393266 MGE393264:MGE393266 MQA393264:MQA393266 MZW393264:MZW393266 NJS393264:NJS393266 NTO393264:NTO393266 ODK393264:ODK393266 ONG393264:ONG393266 OXC393264:OXC393266 PGY393264:PGY393266 PQU393264:PQU393266 QAQ393264:QAQ393266 QKM393264:QKM393266 QUI393264:QUI393266 REE393264:REE393266 ROA393264:ROA393266 RXW393264:RXW393266 SHS393264:SHS393266 SRO393264:SRO393266 TBK393264:TBK393266 TLG393264:TLG393266 TVC393264:TVC393266 UEY393264:UEY393266 UOU393264:UOU393266 UYQ393264:UYQ393266 VIM393264:VIM393266 VSI393264:VSI393266 WCE393264:WCE393266 WMA393264:WMA393266 WVW393264:WVW393266 N458800:N458802 JK458800:JK458802 TG458800:TG458802 ADC458800:ADC458802 AMY458800:AMY458802 AWU458800:AWU458802 BGQ458800:BGQ458802 BQM458800:BQM458802 CAI458800:CAI458802 CKE458800:CKE458802 CUA458800:CUA458802 DDW458800:DDW458802 DNS458800:DNS458802 DXO458800:DXO458802 EHK458800:EHK458802 ERG458800:ERG458802 FBC458800:FBC458802 FKY458800:FKY458802 FUU458800:FUU458802 GEQ458800:GEQ458802 GOM458800:GOM458802 GYI458800:GYI458802 HIE458800:HIE458802 HSA458800:HSA458802 IBW458800:IBW458802 ILS458800:ILS458802 IVO458800:IVO458802 JFK458800:JFK458802 JPG458800:JPG458802 JZC458800:JZC458802 KIY458800:KIY458802 KSU458800:KSU458802 LCQ458800:LCQ458802 LMM458800:LMM458802 LWI458800:LWI458802 MGE458800:MGE458802 MQA458800:MQA458802 MZW458800:MZW458802 NJS458800:NJS458802 NTO458800:NTO458802 ODK458800:ODK458802 ONG458800:ONG458802 OXC458800:OXC458802 PGY458800:PGY458802 PQU458800:PQU458802 QAQ458800:QAQ458802 QKM458800:QKM458802 QUI458800:QUI458802 REE458800:REE458802 ROA458800:ROA458802 RXW458800:RXW458802 SHS458800:SHS458802 SRO458800:SRO458802 TBK458800:TBK458802 TLG458800:TLG458802 TVC458800:TVC458802 UEY458800:UEY458802 UOU458800:UOU458802 UYQ458800:UYQ458802 VIM458800:VIM458802 VSI458800:VSI458802 WCE458800:WCE458802 WMA458800:WMA458802 WVW458800:WVW458802 N524336:N524338 JK524336:JK524338 TG524336:TG524338 ADC524336:ADC524338 AMY524336:AMY524338 AWU524336:AWU524338 BGQ524336:BGQ524338 BQM524336:BQM524338 CAI524336:CAI524338 CKE524336:CKE524338 CUA524336:CUA524338 DDW524336:DDW524338 DNS524336:DNS524338 DXO524336:DXO524338 EHK524336:EHK524338 ERG524336:ERG524338 FBC524336:FBC524338 FKY524336:FKY524338 FUU524336:FUU524338 GEQ524336:GEQ524338 GOM524336:GOM524338 GYI524336:GYI524338 HIE524336:HIE524338 HSA524336:HSA524338 IBW524336:IBW524338 ILS524336:ILS524338 IVO524336:IVO524338 JFK524336:JFK524338 JPG524336:JPG524338 JZC524336:JZC524338 KIY524336:KIY524338 KSU524336:KSU524338 LCQ524336:LCQ524338 LMM524336:LMM524338 LWI524336:LWI524338 MGE524336:MGE524338 MQA524336:MQA524338 MZW524336:MZW524338 NJS524336:NJS524338 NTO524336:NTO524338 ODK524336:ODK524338 ONG524336:ONG524338 OXC524336:OXC524338 PGY524336:PGY524338 PQU524336:PQU524338 QAQ524336:QAQ524338 QKM524336:QKM524338 QUI524336:QUI524338 REE524336:REE524338 ROA524336:ROA524338 RXW524336:RXW524338 SHS524336:SHS524338 SRO524336:SRO524338 TBK524336:TBK524338 TLG524336:TLG524338 TVC524336:TVC524338 UEY524336:UEY524338 UOU524336:UOU524338 UYQ524336:UYQ524338 VIM524336:VIM524338 VSI524336:VSI524338 WCE524336:WCE524338 WMA524336:WMA524338 WVW524336:WVW524338 N589872:N589874 JK589872:JK589874 TG589872:TG589874 ADC589872:ADC589874 AMY589872:AMY589874 AWU589872:AWU589874 BGQ589872:BGQ589874 BQM589872:BQM589874 CAI589872:CAI589874 CKE589872:CKE589874 CUA589872:CUA589874 DDW589872:DDW589874 DNS589872:DNS589874 DXO589872:DXO589874 EHK589872:EHK589874 ERG589872:ERG589874 FBC589872:FBC589874 FKY589872:FKY589874 FUU589872:FUU589874 GEQ589872:GEQ589874 GOM589872:GOM589874 GYI589872:GYI589874 HIE589872:HIE589874 HSA589872:HSA589874 IBW589872:IBW589874 ILS589872:ILS589874 IVO589872:IVO589874 JFK589872:JFK589874 JPG589872:JPG589874 JZC589872:JZC589874 KIY589872:KIY589874 KSU589872:KSU589874 LCQ589872:LCQ589874 LMM589872:LMM589874 LWI589872:LWI589874 MGE589872:MGE589874 MQA589872:MQA589874 MZW589872:MZW589874 NJS589872:NJS589874 NTO589872:NTO589874 ODK589872:ODK589874 ONG589872:ONG589874 OXC589872:OXC589874 PGY589872:PGY589874 PQU589872:PQU589874 QAQ589872:QAQ589874 QKM589872:QKM589874 QUI589872:QUI589874 REE589872:REE589874 ROA589872:ROA589874 RXW589872:RXW589874 SHS589872:SHS589874 SRO589872:SRO589874 TBK589872:TBK589874 TLG589872:TLG589874 TVC589872:TVC589874 UEY589872:UEY589874 UOU589872:UOU589874 UYQ589872:UYQ589874 VIM589872:VIM589874 VSI589872:VSI589874 WCE589872:WCE589874 WMA589872:WMA589874 WVW589872:WVW589874 N655408:N655410 JK655408:JK655410 TG655408:TG655410 ADC655408:ADC655410 AMY655408:AMY655410 AWU655408:AWU655410 BGQ655408:BGQ655410 BQM655408:BQM655410 CAI655408:CAI655410 CKE655408:CKE655410 CUA655408:CUA655410 DDW655408:DDW655410 DNS655408:DNS655410 DXO655408:DXO655410 EHK655408:EHK655410 ERG655408:ERG655410 FBC655408:FBC655410 FKY655408:FKY655410 FUU655408:FUU655410 GEQ655408:GEQ655410 GOM655408:GOM655410 GYI655408:GYI655410 HIE655408:HIE655410 HSA655408:HSA655410 IBW655408:IBW655410 ILS655408:ILS655410 IVO655408:IVO655410 JFK655408:JFK655410 JPG655408:JPG655410 JZC655408:JZC655410 KIY655408:KIY655410 KSU655408:KSU655410 LCQ655408:LCQ655410 LMM655408:LMM655410 LWI655408:LWI655410 MGE655408:MGE655410 MQA655408:MQA655410 MZW655408:MZW655410 NJS655408:NJS655410 NTO655408:NTO655410 ODK655408:ODK655410 ONG655408:ONG655410 OXC655408:OXC655410 PGY655408:PGY655410 PQU655408:PQU655410 QAQ655408:QAQ655410 QKM655408:QKM655410 QUI655408:QUI655410 REE655408:REE655410 ROA655408:ROA655410 RXW655408:RXW655410 SHS655408:SHS655410 SRO655408:SRO655410 TBK655408:TBK655410 TLG655408:TLG655410 TVC655408:TVC655410 UEY655408:UEY655410 UOU655408:UOU655410 UYQ655408:UYQ655410 VIM655408:VIM655410 VSI655408:VSI655410 WCE655408:WCE655410 WMA655408:WMA655410 WVW655408:WVW655410 N720944:N720946 JK720944:JK720946 TG720944:TG720946 ADC720944:ADC720946 AMY720944:AMY720946 AWU720944:AWU720946 BGQ720944:BGQ720946 BQM720944:BQM720946 CAI720944:CAI720946 CKE720944:CKE720946 CUA720944:CUA720946 DDW720944:DDW720946 DNS720944:DNS720946 DXO720944:DXO720946 EHK720944:EHK720946 ERG720944:ERG720946 FBC720944:FBC720946 FKY720944:FKY720946 FUU720944:FUU720946 GEQ720944:GEQ720946 GOM720944:GOM720946 GYI720944:GYI720946 HIE720944:HIE720946 HSA720944:HSA720946 IBW720944:IBW720946 ILS720944:ILS720946 IVO720944:IVO720946 JFK720944:JFK720946 JPG720944:JPG720946 JZC720944:JZC720946 KIY720944:KIY720946 KSU720944:KSU720946 LCQ720944:LCQ720946 LMM720944:LMM720946 LWI720944:LWI720946 MGE720944:MGE720946 MQA720944:MQA720946 MZW720944:MZW720946 NJS720944:NJS720946 NTO720944:NTO720946 ODK720944:ODK720946 ONG720944:ONG720946 OXC720944:OXC720946 PGY720944:PGY720946 PQU720944:PQU720946 QAQ720944:QAQ720946 QKM720944:QKM720946 QUI720944:QUI720946 REE720944:REE720946 ROA720944:ROA720946 RXW720944:RXW720946 SHS720944:SHS720946 SRO720944:SRO720946 TBK720944:TBK720946 TLG720944:TLG720946 TVC720944:TVC720946 UEY720944:UEY720946 UOU720944:UOU720946 UYQ720944:UYQ720946 VIM720944:VIM720946 VSI720944:VSI720946 WCE720944:WCE720946 WMA720944:WMA720946 WVW720944:WVW720946 N786480:N786482 JK786480:JK786482 TG786480:TG786482 ADC786480:ADC786482 AMY786480:AMY786482 AWU786480:AWU786482 BGQ786480:BGQ786482 BQM786480:BQM786482 CAI786480:CAI786482 CKE786480:CKE786482 CUA786480:CUA786482 DDW786480:DDW786482 DNS786480:DNS786482 DXO786480:DXO786482 EHK786480:EHK786482 ERG786480:ERG786482 FBC786480:FBC786482 FKY786480:FKY786482 FUU786480:FUU786482 GEQ786480:GEQ786482 GOM786480:GOM786482 GYI786480:GYI786482 HIE786480:HIE786482 HSA786480:HSA786482 IBW786480:IBW786482 ILS786480:ILS786482 IVO786480:IVO786482 JFK786480:JFK786482 JPG786480:JPG786482 JZC786480:JZC786482 KIY786480:KIY786482 KSU786480:KSU786482 LCQ786480:LCQ786482 LMM786480:LMM786482 LWI786480:LWI786482 MGE786480:MGE786482 MQA786480:MQA786482 MZW786480:MZW786482 NJS786480:NJS786482 NTO786480:NTO786482 ODK786480:ODK786482 ONG786480:ONG786482 OXC786480:OXC786482 PGY786480:PGY786482 PQU786480:PQU786482 QAQ786480:QAQ786482 QKM786480:QKM786482 QUI786480:QUI786482 REE786480:REE786482 ROA786480:ROA786482 RXW786480:RXW786482 SHS786480:SHS786482 SRO786480:SRO786482 TBK786480:TBK786482 TLG786480:TLG786482 TVC786480:TVC786482 UEY786480:UEY786482 UOU786480:UOU786482 UYQ786480:UYQ786482 VIM786480:VIM786482 VSI786480:VSI786482 WCE786480:WCE786482 WMA786480:WMA786482 WVW786480:WVW786482 N852016:N852018 JK852016:JK852018 TG852016:TG852018 ADC852016:ADC852018 AMY852016:AMY852018 AWU852016:AWU852018 BGQ852016:BGQ852018 BQM852016:BQM852018 CAI852016:CAI852018 CKE852016:CKE852018 CUA852016:CUA852018 DDW852016:DDW852018 DNS852016:DNS852018 DXO852016:DXO852018 EHK852016:EHK852018 ERG852016:ERG852018 FBC852016:FBC852018 FKY852016:FKY852018 FUU852016:FUU852018 GEQ852016:GEQ852018 GOM852016:GOM852018 GYI852016:GYI852018 HIE852016:HIE852018 HSA852016:HSA852018 IBW852016:IBW852018 ILS852016:ILS852018 IVO852016:IVO852018 JFK852016:JFK852018 JPG852016:JPG852018 JZC852016:JZC852018 KIY852016:KIY852018 KSU852016:KSU852018 LCQ852016:LCQ852018 LMM852016:LMM852018 LWI852016:LWI852018 MGE852016:MGE852018 MQA852016:MQA852018 MZW852016:MZW852018 NJS852016:NJS852018 NTO852016:NTO852018 ODK852016:ODK852018 ONG852016:ONG852018 OXC852016:OXC852018 PGY852016:PGY852018 PQU852016:PQU852018 QAQ852016:QAQ852018 QKM852016:QKM852018 QUI852016:QUI852018 REE852016:REE852018 ROA852016:ROA852018 RXW852016:RXW852018 SHS852016:SHS852018 SRO852016:SRO852018 TBK852016:TBK852018 TLG852016:TLG852018 TVC852016:TVC852018 UEY852016:UEY852018 UOU852016:UOU852018 UYQ852016:UYQ852018 VIM852016:VIM852018 VSI852016:VSI852018 WCE852016:WCE852018 WMA852016:WMA852018 WVW852016:WVW852018 N917552:N917554 JK917552:JK917554 TG917552:TG917554 ADC917552:ADC917554 AMY917552:AMY917554 AWU917552:AWU917554 BGQ917552:BGQ917554 BQM917552:BQM917554 CAI917552:CAI917554 CKE917552:CKE917554 CUA917552:CUA917554 DDW917552:DDW917554 DNS917552:DNS917554 DXO917552:DXO917554 EHK917552:EHK917554 ERG917552:ERG917554 FBC917552:FBC917554 FKY917552:FKY917554 FUU917552:FUU917554 GEQ917552:GEQ917554 GOM917552:GOM917554 GYI917552:GYI917554 HIE917552:HIE917554 HSA917552:HSA917554 IBW917552:IBW917554 ILS917552:ILS917554 IVO917552:IVO917554 JFK917552:JFK917554 JPG917552:JPG917554 JZC917552:JZC917554 KIY917552:KIY917554 KSU917552:KSU917554 LCQ917552:LCQ917554 LMM917552:LMM917554 LWI917552:LWI917554 MGE917552:MGE917554 MQA917552:MQA917554 MZW917552:MZW917554 NJS917552:NJS917554 NTO917552:NTO917554 ODK917552:ODK917554 ONG917552:ONG917554 OXC917552:OXC917554 PGY917552:PGY917554 PQU917552:PQU917554 QAQ917552:QAQ917554 QKM917552:QKM917554 QUI917552:QUI917554 REE917552:REE917554 ROA917552:ROA917554 RXW917552:RXW917554 SHS917552:SHS917554 SRO917552:SRO917554 TBK917552:TBK917554 TLG917552:TLG917554 TVC917552:TVC917554 UEY917552:UEY917554 UOU917552:UOU917554 UYQ917552:UYQ917554 VIM917552:VIM917554 VSI917552:VSI917554 WCE917552:WCE917554 WMA917552:WMA917554 WVW917552:WVW917554 N983088:N983090 JK983088:JK983090 TG983088:TG983090 ADC983088:ADC983090 AMY983088:AMY983090 AWU983088:AWU983090 BGQ983088:BGQ983090 BQM983088:BQM983090 CAI983088:CAI983090 CKE983088:CKE983090 CUA983088:CUA983090 DDW983088:DDW983090 DNS983088:DNS983090 DXO983088:DXO983090 EHK983088:EHK983090 ERG983088:ERG983090 FBC983088:FBC983090 FKY983088:FKY983090 FUU983088:FUU983090 GEQ983088:GEQ983090 GOM983088:GOM983090 GYI983088:GYI983090 HIE983088:HIE983090 HSA983088:HSA983090 IBW983088:IBW983090 ILS983088:ILS983090 IVO983088:IVO983090 JFK983088:JFK983090 JPG983088:JPG983090 JZC983088:JZC983090 KIY983088:KIY983090 KSU983088:KSU983090 LCQ983088:LCQ983090 LMM983088:LMM983090 LWI983088:LWI983090 MGE983088:MGE983090 MQA983088:MQA983090 MZW983088:MZW983090 NJS983088:NJS983090 NTO983088:NTO983090 ODK983088:ODK983090 ONG983088:ONG983090 OXC983088:OXC983090 PGY983088:PGY983090 PQU983088:PQU983090 QAQ983088:QAQ983090 QKM983088:QKM983090 QUI983088:QUI983090 REE983088:REE983090 ROA983088:ROA983090 RXW983088:RXW983090 SHS983088:SHS983090 SRO983088:SRO983090 TBK983088:TBK983090 TLG983088:TLG983090 TVC983088:TVC983090 UEY983088:UEY983090 UOU983088:UOU983090 UYQ983088:UYQ983090 VIM983088:VIM983090 VSI983088:VSI983090 WCE983088:WCE983090 WMA983088:WMA983090 WVW983088:WVW983090 N65:N66 JK65:JK66 TG65:TG66 ADC65:ADC66 AMY65:AMY66 AWU65:AWU66 BGQ65:BGQ66 BQM65:BQM66 CAI65:CAI66 CKE65:CKE66 CUA65:CUA66 DDW65:DDW66 DNS65:DNS66 DXO65:DXO66 EHK65:EHK66 ERG65:ERG66 FBC65:FBC66 FKY65:FKY66 FUU65:FUU66 GEQ65:GEQ66 GOM65:GOM66 GYI65:GYI66 HIE65:HIE66 HSA65:HSA66 IBW65:IBW66 ILS65:ILS66 IVO65:IVO66 JFK65:JFK66 JPG65:JPG66 JZC65:JZC66 KIY65:KIY66 KSU65:KSU66 LCQ65:LCQ66 LMM65:LMM66 LWI65:LWI66 MGE65:MGE66 MQA65:MQA66 MZW65:MZW66 NJS65:NJS66 NTO65:NTO66 ODK65:ODK66 ONG65:ONG66 OXC65:OXC66 PGY65:PGY66 PQU65:PQU66 QAQ65:QAQ66 QKM65:QKM66 QUI65:QUI66 REE65:REE66 ROA65:ROA66 RXW65:RXW66 SHS65:SHS66 SRO65:SRO66 TBK65:TBK66 TLG65:TLG66 TVC65:TVC66 UEY65:UEY66 UOU65:UOU66 UYQ65:UYQ66 VIM65:VIM66 VSI65:VSI66 WCE65:WCE66 WMA65:WMA66 WVW65:WVW66 N65603:N65604 JK65603:JK65604 TG65603:TG65604 ADC65603:ADC65604 AMY65603:AMY65604 AWU65603:AWU65604 BGQ65603:BGQ65604 BQM65603:BQM65604 CAI65603:CAI65604 CKE65603:CKE65604 CUA65603:CUA65604 DDW65603:DDW65604 DNS65603:DNS65604 DXO65603:DXO65604 EHK65603:EHK65604 ERG65603:ERG65604 FBC65603:FBC65604 FKY65603:FKY65604 FUU65603:FUU65604 GEQ65603:GEQ65604 GOM65603:GOM65604 GYI65603:GYI65604 HIE65603:HIE65604 HSA65603:HSA65604 IBW65603:IBW65604 ILS65603:ILS65604 IVO65603:IVO65604 JFK65603:JFK65604 JPG65603:JPG65604 JZC65603:JZC65604 KIY65603:KIY65604 KSU65603:KSU65604 LCQ65603:LCQ65604 LMM65603:LMM65604 LWI65603:LWI65604 MGE65603:MGE65604 MQA65603:MQA65604 MZW65603:MZW65604 NJS65603:NJS65604 NTO65603:NTO65604 ODK65603:ODK65604 ONG65603:ONG65604 OXC65603:OXC65604 PGY65603:PGY65604 PQU65603:PQU65604 QAQ65603:QAQ65604 QKM65603:QKM65604 QUI65603:QUI65604 REE65603:REE65604 ROA65603:ROA65604 RXW65603:RXW65604 SHS65603:SHS65604 SRO65603:SRO65604 TBK65603:TBK65604 TLG65603:TLG65604 TVC65603:TVC65604 UEY65603:UEY65604 UOU65603:UOU65604 UYQ65603:UYQ65604 VIM65603:VIM65604 VSI65603:VSI65604 WCE65603:WCE65604 WMA65603:WMA65604 WVW65603:WVW65604 N131139:N131140 JK131139:JK131140 TG131139:TG131140 ADC131139:ADC131140 AMY131139:AMY131140 AWU131139:AWU131140 BGQ131139:BGQ131140 BQM131139:BQM131140 CAI131139:CAI131140 CKE131139:CKE131140 CUA131139:CUA131140 DDW131139:DDW131140 DNS131139:DNS131140 DXO131139:DXO131140 EHK131139:EHK131140 ERG131139:ERG131140 FBC131139:FBC131140 FKY131139:FKY131140 FUU131139:FUU131140 GEQ131139:GEQ131140 GOM131139:GOM131140 GYI131139:GYI131140 HIE131139:HIE131140 HSA131139:HSA131140 IBW131139:IBW131140 ILS131139:ILS131140 IVO131139:IVO131140 JFK131139:JFK131140 JPG131139:JPG131140 JZC131139:JZC131140 KIY131139:KIY131140 KSU131139:KSU131140 LCQ131139:LCQ131140 LMM131139:LMM131140 LWI131139:LWI131140 MGE131139:MGE131140 MQA131139:MQA131140 MZW131139:MZW131140 NJS131139:NJS131140 NTO131139:NTO131140 ODK131139:ODK131140 ONG131139:ONG131140 OXC131139:OXC131140 PGY131139:PGY131140 PQU131139:PQU131140 QAQ131139:QAQ131140 QKM131139:QKM131140 QUI131139:QUI131140 REE131139:REE131140 ROA131139:ROA131140 RXW131139:RXW131140 SHS131139:SHS131140 SRO131139:SRO131140 TBK131139:TBK131140 TLG131139:TLG131140 TVC131139:TVC131140 UEY131139:UEY131140 UOU131139:UOU131140 UYQ131139:UYQ131140 VIM131139:VIM131140 VSI131139:VSI131140 WCE131139:WCE131140 WMA131139:WMA131140 WVW131139:WVW131140 N196675:N196676 JK196675:JK196676 TG196675:TG196676 ADC196675:ADC196676 AMY196675:AMY196676 AWU196675:AWU196676 BGQ196675:BGQ196676 BQM196675:BQM196676 CAI196675:CAI196676 CKE196675:CKE196676 CUA196675:CUA196676 DDW196675:DDW196676 DNS196675:DNS196676 DXO196675:DXO196676 EHK196675:EHK196676 ERG196675:ERG196676 FBC196675:FBC196676 FKY196675:FKY196676 FUU196675:FUU196676 GEQ196675:GEQ196676 GOM196675:GOM196676 GYI196675:GYI196676 HIE196675:HIE196676 HSA196675:HSA196676 IBW196675:IBW196676 ILS196675:ILS196676 IVO196675:IVO196676 JFK196675:JFK196676 JPG196675:JPG196676 JZC196675:JZC196676 KIY196675:KIY196676 KSU196675:KSU196676 LCQ196675:LCQ196676 LMM196675:LMM196676 LWI196675:LWI196676 MGE196675:MGE196676 MQA196675:MQA196676 MZW196675:MZW196676 NJS196675:NJS196676 NTO196675:NTO196676 ODK196675:ODK196676 ONG196675:ONG196676 OXC196675:OXC196676 PGY196675:PGY196676 PQU196675:PQU196676 QAQ196675:QAQ196676 QKM196675:QKM196676 QUI196675:QUI196676 REE196675:REE196676 ROA196675:ROA196676 RXW196675:RXW196676 SHS196675:SHS196676 SRO196675:SRO196676 TBK196675:TBK196676 TLG196675:TLG196676 TVC196675:TVC196676 UEY196675:UEY196676 UOU196675:UOU196676 UYQ196675:UYQ196676 VIM196675:VIM196676 VSI196675:VSI196676 WCE196675:WCE196676 WMA196675:WMA196676 WVW196675:WVW196676 N262211:N262212 JK262211:JK262212 TG262211:TG262212 ADC262211:ADC262212 AMY262211:AMY262212 AWU262211:AWU262212 BGQ262211:BGQ262212 BQM262211:BQM262212 CAI262211:CAI262212 CKE262211:CKE262212 CUA262211:CUA262212 DDW262211:DDW262212 DNS262211:DNS262212 DXO262211:DXO262212 EHK262211:EHK262212 ERG262211:ERG262212 FBC262211:FBC262212 FKY262211:FKY262212 FUU262211:FUU262212 GEQ262211:GEQ262212 GOM262211:GOM262212 GYI262211:GYI262212 HIE262211:HIE262212 HSA262211:HSA262212 IBW262211:IBW262212 ILS262211:ILS262212 IVO262211:IVO262212 JFK262211:JFK262212 JPG262211:JPG262212 JZC262211:JZC262212 KIY262211:KIY262212 KSU262211:KSU262212 LCQ262211:LCQ262212 LMM262211:LMM262212 LWI262211:LWI262212 MGE262211:MGE262212 MQA262211:MQA262212 MZW262211:MZW262212 NJS262211:NJS262212 NTO262211:NTO262212 ODK262211:ODK262212 ONG262211:ONG262212 OXC262211:OXC262212 PGY262211:PGY262212 PQU262211:PQU262212 QAQ262211:QAQ262212 QKM262211:QKM262212 QUI262211:QUI262212 REE262211:REE262212 ROA262211:ROA262212 RXW262211:RXW262212 SHS262211:SHS262212 SRO262211:SRO262212 TBK262211:TBK262212 TLG262211:TLG262212 TVC262211:TVC262212 UEY262211:UEY262212 UOU262211:UOU262212 UYQ262211:UYQ262212 VIM262211:VIM262212 VSI262211:VSI262212 WCE262211:WCE262212 WMA262211:WMA262212 WVW262211:WVW262212 N327747:N327748 JK327747:JK327748 TG327747:TG327748 ADC327747:ADC327748 AMY327747:AMY327748 AWU327747:AWU327748 BGQ327747:BGQ327748 BQM327747:BQM327748 CAI327747:CAI327748 CKE327747:CKE327748 CUA327747:CUA327748 DDW327747:DDW327748 DNS327747:DNS327748 DXO327747:DXO327748 EHK327747:EHK327748 ERG327747:ERG327748 FBC327747:FBC327748 FKY327747:FKY327748 FUU327747:FUU327748 GEQ327747:GEQ327748 GOM327747:GOM327748 GYI327747:GYI327748 HIE327747:HIE327748 HSA327747:HSA327748 IBW327747:IBW327748 ILS327747:ILS327748 IVO327747:IVO327748 JFK327747:JFK327748 JPG327747:JPG327748 JZC327747:JZC327748 KIY327747:KIY327748 KSU327747:KSU327748 LCQ327747:LCQ327748 LMM327747:LMM327748 LWI327747:LWI327748 MGE327747:MGE327748 MQA327747:MQA327748 MZW327747:MZW327748 NJS327747:NJS327748 NTO327747:NTO327748 ODK327747:ODK327748 ONG327747:ONG327748 OXC327747:OXC327748 PGY327747:PGY327748 PQU327747:PQU327748 QAQ327747:QAQ327748 QKM327747:QKM327748 QUI327747:QUI327748 REE327747:REE327748 ROA327747:ROA327748 RXW327747:RXW327748 SHS327747:SHS327748 SRO327747:SRO327748 TBK327747:TBK327748 TLG327747:TLG327748 TVC327747:TVC327748 UEY327747:UEY327748 UOU327747:UOU327748 UYQ327747:UYQ327748 VIM327747:VIM327748 VSI327747:VSI327748 WCE327747:WCE327748 WMA327747:WMA327748 WVW327747:WVW327748 N393283:N393284 JK393283:JK393284 TG393283:TG393284 ADC393283:ADC393284 AMY393283:AMY393284 AWU393283:AWU393284 BGQ393283:BGQ393284 BQM393283:BQM393284 CAI393283:CAI393284 CKE393283:CKE393284 CUA393283:CUA393284 DDW393283:DDW393284 DNS393283:DNS393284 DXO393283:DXO393284 EHK393283:EHK393284 ERG393283:ERG393284 FBC393283:FBC393284 FKY393283:FKY393284 FUU393283:FUU393284 GEQ393283:GEQ393284 GOM393283:GOM393284 GYI393283:GYI393284 HIE393283:HIE393284 HSA393283:HSA393284 IBW393283:IBW393284 ILS393283:ILS393284 IVO393283:IVO393284 JFK393283:JFK393284 JPG393283:JPG393284 JZC393283:JZC393284 KIY393283:KIY393284 KSU393283:KSU393284 LCQ393283:LCQ393284 LMM393283:LMM393284 LWI393283:LWI393284 MGE393283:MGE393284 MQA393283:MQA393284 MZW393283:MZW393284 NJS393283:NJS393284 NTO393283:NTO393284 ODK393283:ODK393284 ONG393283:ONG393284 OXC393283:OXC393284 PGY393283:PGY393284 PQU393283:PQU393284 QAQ393283:QAQ393284 QKM393283:QKM393284 QUI393283:QUI393284 REE393283:REE393284 ROA393283:ROA393284 RXW393283:RXW393284 SHS393283:SHS393284 SRO393283:SRO393284 TBK393283:TBK393284 TLG393283:TLG393284 TVC393283:TVC393284 UEY393283:UEY393284 UOU393283:UOU393284 UYQ393283:UYQ393284 VIM393283:VIM393284 VSI393283:VSI393284 WCE393283:WCE393284 WMA393283:WMA393284 WVW393283:WVW393284 N458819:N458820 JK458819:JK458820 TG458819:TG458820 ADC458819:ADC458820 AMY458819:AMY458820 AWU458819:AWU458820 BGQ458819:BGQ458820 BQM458819:BQM458820 CAI458819:CAI458820 CKE458819:CKE458820 CUA458819:CUA458820 DDW458819:DDW458820 DNS458819:DNS458820 DXO458819:DXO458820 EHK458819:EHK458820 ERG458819:ERG458820 FBC458819:FBC458820 FKY458819:FKY458820 FUU458819:FUU458820 GEQ458819:GEQ458820 GOM458819:GOM458820 GYI458819:GYI458820 HIE458819:HIE458820 HSA458819:HSA458820 IBW458819:IBW458820 ILS458819:ILS458820 IVO458819:IVO458820 JFK458819:JFK458820 JPG458819:JPG458820 JZC458819:JZC458820 KIY458819:KIY458820 KSU458819:KSU458820 LCQ458819:LCQ458820 LMM458819:LMM458820 LWI458819:LWI458820 MGE458819:MGE458820 MQA458819:MQA458820 MZW458819:MZW458820 NJS458819:NJS458820 NTO458819:NTO458820 ODK458819:ODK458820 ONG458819:ONG458820 OXC458819:OXC458820 PGY458819:PGY458820 PQU458819:PQU458820 QAQ458819:QAQ458820 QKM458819:QKM458820 QUI458819:QUI458820 REE458819:REE458820 ROA458819:ROA458820 RXW458819:RXW458820 SHS458819:SHS458820 SRO458819:SRO458820 TBK458819:TBK458820 TLG458819:TLG458820 TVC458819:TVC458820 UEY458819:UEY458820 UOU458819:UOU458820 UYQ458819:UYQ458820 VIM458819:VIM458820 VSI458819:VSI458820 WCE458819:WCE458820 WMA458819:WMA458820 WVW458819:WVW458820 N524355:N524356 JK524355:JK524356 TG524355:TG524356 ADC524355:ADC524356 AMY524355:AMY524356 AWU524355:AWU524356 BGQ524355:BGQ524356 BQM524355:BQM524356 CAI524355:CAI524356 CKE524355:CKE524356 CUA524355:CUA524356 DDW524355:DDW524356 DNS524355:DNS524356 DXO524355:DXO524356 EHK524355:EHK524356 ERG524355:ERG524356 FBC524355:FBC524356 FKY524355:FKY524356 FUU524355:FUU524356 GEQ524355:GEQ524356 GOM524355:GOM524356 GYI524355:GYI524356 HIE524355:HIE524356 HSA524355:HSA524356 IBW524355:IBW524356 ILS524355:ILS524356 IVO524355:IVO524356 JFK524355:JFK524356 JPG524355:JPG524356 JZC524355:JZC524356 KIY524355:KIY524356 KSU524355:KSU524356 LCQ524355:LCQ524356 LMM524355:LMM524356 LWI524355:LWI524356 MGE524355:MGE524356 MQA524355:MQA524356 MZW524355:MZW524356 NJS524355:NJS524356 NTO524355:NTO524356 ODK524355:ODK524356 ONG524355:ONG524356 OXC524355:OXC524356 PGY524355:PGY524356 PQU524355:PQU524356 QAQ524355:QAQ524356 QKM524355:QKM524356 QUI524355:QUI524356 REE524355:REE524356 ROA524355:ROA524356 RXW524355:RXW524356 SHS524355:SHS524356 SRO524355:SRO524356 TBK524355:TBK524356 TLG524355:TLG524356 TVC524355:TVC524356 UEY524355:UEY524356 UOU524355:UOU524356 UYQ524355:UYQ524356 VIM524355:VIM524356 VSI524355:VSI524356 WCE524355:WCE524356 WMA524355:WMA524356 WVW524355:WVW524356 N589891:N589892 JK589891:JK589892 TG589891:TG589892 ADC589891:ADC589892 AMY589891:AMY589892 AWU589891:AWU589892 BGQ589891:BGQ589892 BQM589891:BQM589892 CAI589891:CAI589892 CKE589891:CKE589892 CUA589891:CUA589892 DDW589891:DDW589892 DNS589891:DNS589892 DXO589891:DXO589892 EHK589891:EHK589892 ERG589891:ERG589892 FBC589891:FBC589892 FKY589891:FKY589892 FUU589891:FUU589892 GEQ589891:GEQ589892 GOM589891:GOM589892 GYI589891:GYI589892 HIE589891:HIE589892 HSA589891:HSA589892 IBW589891:IBW589892 ILS589891:ILS589892 IVO589891:IVO589892 JFK589891:JFK589892 JPG589891:JPG589892 JZC589891:JZC589892 KIY589891:KIY589892 KSU589891:KSU589892 LCQ589891:LCQ589892 LMM589891:LMM589892 LWI589891:LWI589892 MGE589891:MGE589892 MQA589891:MQA589892 MZW589891:MZW589892 NJS589891:NJS589892 NTO589891:NTO589892 ODK589891:ODK589892 ONG589891:ONG589892 OXC589891:OXC589892 PGY589891:PGY589892 PQU589891:PQU589892 QAQ589891:QAQ589892 QKM589891:QKM589892 QUI589891:QUI589892 REE589891:REE589892 ROA589891:ROA589892 RXW589891:RXW589892 SHS589891:SHS589892 SRO589891:SRO589892 TBK589891:TBK589892 TLG589891:TLG589892 TVC589891:TVC589892 UEY589891:UEY589892 UOU589891:UOU589892 UYQ589891:UYQ589892 VIM589891:VIM589892 VSI589891:VSI589892 WCE589891:WCE589892 WMA589891:WMA589892 WVW589891:WVW589892 N655427:N655428 JK655427:JK655428 TG655427:TG655428 ADC655427:ADC655428 AMY655427:AMY655428 AWU655427:AWU655428 BGQ655427:BGQ655428 BQM655427:BQM655428 CAI655427:CAI655428 CKE655427:CKE655428 CUA655427:CUA655428 DDW655427:DDW655428 DNS655427:DNS655428 DXO655427:DXO655428 EHK655427:EHK655428 ERG655427:ERG655428 FBC655427:FBC655428 FKY655427:FKY655428 FUU655427:FUU655428 GEQ655427:GEQ655428 GOM655427:GOM655428 GYI655427:GYI655428 HIE655427:HIE655428 HSA655427:HSA655428 IBW655427:IBW655428 ILS655427:ILS655428 IVO655427:IVO655428 JFK655427:JFK655428 JPG655427:JPG655428 JZC655427:JZC655428 KIY655427:KIY655428 KSU655427:KSU655428 LCQ655427:LCQ655428 LMM655427:LMM655428 LWI655427:LWI655428 MGE655427:MGE655428 MQA655427:MQA655428 MZW655427:MZW655428 NJS655427:NJS655428 NTO655427:NTO655428 ODK655427:ODK655428 ONG655427:ONG655428 OXC655427:OXC655428 PGY655427:PGY655428 PQU655427:PQU655428 QAQ655427:QAQ655428 QKM655427:QKM655428 QUI655427:QUI655428 REE655427:REE655428 ROA655427:ROA655428 RXW655427:RXW655428 SHS655427:SHS655428 SRO655427:SRO655428 TBK655427:TBK655428 TLG655427:TLG655428 TVC655427:TVC655428 UEY655427:UEY655428 UOU655427:UOU655428 UYQ655427:UYQ655428 VIM655427:VIM655428 VSI655427:VSI655428 WCE655427:WCE655428 WMA655427:WMA655428 WVW655427:WVW655428 N720963:N720964 JK720963:JK720964 TG720963:TG720964 ADC720963:ADC720964 AMY720963:AMY720964 AWU720963:AWU720964 BGQ720963:BGQ720964 BQM720963:BQM720964 CAI720963:CAI720964 CKE720963:CKE720964 CUA720963:CUA720964 DDW720963:DDW720964 DNS720963:DNS720964 DXO720963:DXO720964 EHK720963:EHK720964 ERG720963:ERG720964 FBC720963:FBC720964 FKY720963:FKY720964 FUU720963:FUU720964 GEQ720963:GEQ720964 GOM720963:GOM720964 GYI720963:GYI720964 HIE720963:HIE720964 HSA720963:HSA720964 IBW720963:IBW720964 ILS720963:ILS720964 IVO720963:IVO720964 JFK720963:JFK720964 JPG720963:JPG720964 JZC720963:JZC720964 KIY720963:KIY720964 KSU720963:KSU720964 LCQ720963:LCQ720964 LMM720963:LMM720964 LWI720963:LWI720964 MGE720963:MGE720964 MQA720963:MQA720964 MZW720963:MZW720964 NJS720963:NJS720964 NTO720963:NTO720964 ODK720963:ODK720964 ONG720963:ONG720964 OXC720963:OXC720964 PGY720963:PGY720964 PQU720963:PQU720964 QAQ720963:QAQ720964 QKM720963:QKM720964 QUI720963:QUI720964 REE720963:REE720964 ROA720963:ROA720964 RXW720963:RXW720964 SHS720963:SHS720964 SRO720963:SRO720964 TBK720963:TBK720964 TLG720963:TLG720964 TVC720963:TVC720964 UEY720963:UEY720964 UOU720963:UOU720964 UYQ720963:UYQ720964 VIM720963:VIM720964 VSI720963:VSI720964 WCE720963:WCE720964 WMA720963:WMA720964 WVW720963:WVW720964 N786499:N786500 JK786499:JK786500 TG786499:TG786500 ADC786499:ADC786500 AMY786499:AMY786500 AWU786499:AWU786500 BGQ786499:BGQ786500 BQM786499:BQM786500 CAI786499:CAI786500 CKE786499:CKE786500 CUA786499:CUA786500 DDW786499:DDW786500 DNS786499:DNS786500 DXO786499:DXO786500 EHK786499:EHK786500 ERG786499:ERG786500 FBC786499:FBC786500 FKY786499:FKY786500 FUU786499:FUU786500 GEQ786499:GEQ786500 GOM786499:GOM786500 GYI786499:GYI786500 HIE786499:HIE786500 HSA786499:HSA786500 IBW786499:IBW786500 ILS786499:ILS786500 IVO786499:IVO786500 JFK786499:JFK786500 JPG786499:JPG786500 JZC786499:JZC786500 KIY786499:KIY786500 KSU786499:KSU786500 LCQ786499:LCQ786500 LMM786499:LMM786500 LWI786499:LWI786500 MGE786499:MGE786500 MQA786499:MQA786500 MZW786499:MZW786500 NJS786499:NJS786500 NTO786499:NTO786500 ODK786499:ODK786500 ONG786499:ONG786500 OXC786499:OXC786500 PGY786499:PGY786500 PQU786499:PQU786500 QAQ786499:QAQ786500 QKM786499:QKM786500 QUI786499:QUI786500 REE786499:REE786500 ROA786499:ROA786500 RXW786499:RXW786500 SHS786499:SHS786500 SRO786499:SRO786500 TBK786499:TBK786500 TLG786499:TLG786500 TVC786499:TVC786500 UEY786499:UEY786500 UOU786499:UOU786500 UYQ786499:UYQ786500 VIM786499:VIM786500 VSI786499:VSI786500 WCE786499:WCE786500 WMA786499:WMA786500 WVW786499:WVW786500 N852035:N852036 JK852035:JK852036 TG852035:TG852036 ADC852035:ADC852036 AMY852035:AMY852036 AWU852035:AWU852036 BGQ852035:BGQ852036 BQM852035:BQM852036 CAI852035:CAI852036 CKE852035:CKE852036 CUA852035:CUA852036 DDW852035:DDW852036 DNS852035:DNS852036 DXO852035:DXO852036 EHK852035:EHK852036 ERG852035:ERG852036 FBC852035:FBC852036 FKY852035:FKY852036 FUU852035:FUU852036 GEQ852035:GEQ852036 GOM852035:GOM852036 GYI852035:GYI852036 HIE852035:HIE852036 HSA852035:HSA852036 IBW852035:IBW852036 ILS852035:ILS852036 IVO852035:IVO852036 JFK852035:JFK852036 JPG852035:JPG852036 JZC852035:JZC852036 KIY852035:KIY852036 KSU852035:KSU852036 LCQ852035:LCQ852036 LMM852035:LMM852036 LWI852035:LWI852036 MGE852035:MGE852036 MQA852035:MQA852036 MZW852035:MZW852036 NJS852035:NJS852036 NTO852035:NTO852036 ODK852035:ODK852036 ONG852035:ONG852036 OXC852035:OXC852036 PGY852035:PGY852036 PQU852035:PQU852036 QAQ852035:QAQ852036 QKM852035:QKM852036 QUI852035:QUI852036 REE852035:REE852036 ROA852035:ROA852036 RXW852035:RXW852036 SHS852035:SHS852036 SRO852035:SRO852036 TBK852035:TBK852036 TLG852035:TLG852036 TVC852035:TVC852036 UEY852035:UEY852036 UOU852035:UOU852036 UYQ852035:UYQ852036 VIM852035:VIM852036 VSI852035:VSI852036 WCE852035:WCE852036 WMA852035:WMA852036 WVW852035:WVW852036 N917571:N917572 JK917571:JK917572 TG917571:TG917572 ADC917571:ADC917572 AMY917571:AMY917572 AWU917571:AWU917572 BGQ917571:BGQ917572 BQM917571:BQM917572 CAI917571:CAI917572 CKE917571:CKE917572 CUA917571:CUA917572 DDW917571:DDW917572 DNS917571:DNS917572 DXO917571:DXO917572 EHK917571:EHK917572 ERG917571:ERG917572 FBC917571:FBC917572 FKY917571:FKY917572 FUU917571:FUU917572 GEQ917571:GEQ917572 GOM917571:GOM917572 GYI917571:GYI917572 HIE917571:HIE917572 HSA917571:HSA917572 IBW917571:IBW917572 ILS917571:ILS917572 IVO917571:IVO917572 JFK917571:JFK917572 JPG917571:JPG917572 JZC917571:JZC917572 KIY917571:KIY917572 KSU917571:KSU917572 LCQ917571:LCQ917572 LMM917571:LMM917572 LWI917571:LWI917572 MGE917571:MGE917572 MQA917571:MQA917572 MZW917571:MZW917572 NJS917571:NJS917572 NTO917571:NTO917572 ODK917571:ODK917572 ONG917571:ONG917572 OXC917571:OXC917572 PGY917571:PGY917572 PQU917571:PQU917572 QAQ917571:QAQ917572 QKM917571:QKM917572 QUI917571:QUI917572 REE917571:REE917572 ROA917571:ROA917572 RXW917571:RXW917572 SHS917571:SHS917572 SRO917571:SRO917572 TBK917571:TBK917572 TLG917571:TLG917572 TVC917571:TVC917572 UEY917571:UEY917572 UOU917571:UOU917572 UYQ917571:UYQ917572 VIM917571:VIM917572 VSI917571:VSI917572 WCE917571:WCE917572 WMA917571:WMA917572 WVW917571:WVW917572 N983107:N983108 JK983107:JK983108 TG983107:TG983108 ADC983107:ADC983108 AMY983107:AMY983108 AWU983107:AWU983108 BGQ983107:BGQ983108 BQM983107:BQM983108 CAI983107:CAI983108 CKE983107:CKE983108 CUA983107:CUA983108 DDW983107:DDW983108 DNS983107:DNS983108 DXO983107:DXO983108 EHK983107:EHK983108 ERG983107:ERG983108 FBC983107:FBC983108 FKY983107:FKY983108 FUU983107:FUU983108 GEQ983107:GEQ983108 GOM983107:GOM983108 GYI983107:GYI983108 HIE983107:HIE983108 HSA983107:HSA983108 IBW983107:IBW983108 ILS983107:ILS983108 IVO983107:IVO983108 JFK983107:JFK983108 JPG983107:JPG983108 JZC983107:JZC983108 KIY983107:KIY983108 KSU983107:KSU983108 LCQ983107:LCQ983108 LMM983107:LMM983108 LWI983107:LWI983108 MGE983107:MGE983108 MQA983107:MQA983108 MZW983107:MZW983108 NJS983107:NJS983108 NTO983107:NTO983108 ODK983107:ODK983108 ONG983107:ONG983108 OXC983107:OXC983108 PGY983107:PGY983108 PQU983107:PQU983108 QAQ983107:QAQ983108 QKM983107:QKM983108 QUI983107:QUI983108 REE983107:REE983108 ROA983107:ROA983108 RXW983107:RXW983108 SHS983107:SHS983108 SRO983107:SRO983108 TBK983107:TBK983108 TLG983107:TLG983108 TVC983107:TVC983108 UEY983107:UEY983108 UOU983107:UOU983108 UYQ983107:UYQ983108 VIM983107:VIM983108 VSI983107:VSI983108 WCE983107:WCE983108 WMA983107:WMA983108 WVW983107:WVW983108 JK82:JK84 TG82:TG84 ADC82:ADC84 AMY82:AMY84 AWU82:AWU84 BGQ82:BGQ84 BQM82:BQM84 CAI82:CAI84 CKE82:CKE84 CUA82:CUA84 DDW82:DDW84 DNS82:DNS84 DXO82:DXO84 EHK82:EHK84 ERG82:ERG84 FBC82:FBC84 FKY82:FKY84 FUU82:FUU84 GEQ82:GEQ84 GOM82:GOM84 GYI82:GYI84 HIE82:HIE84 HSA82:HSA84 IBW82:IBW84 ILS82:ILS84 IVO82:IVO84 JFK82:JFK84 JPG82:JPG84 JZC82:JZC84 KIY82:KIY84 KSU82:KSU84 LCQ82:LCQ84 LMM82:LMM84 LWI82:LWI84 MGE82:MGE84 MQA82:MQA84 MZW82:MZW84 NJS82:NJS84 NTO82:NTO84 ODK82:ODK84 ONG82:ONG84 OXC82:OXC84 PGY82:PGY84 PQU82:PQU84 QAQ82:QAQ84 QKM82:QKM84 QUI82:QUI84 REE82:REE84 ROA82:ROA84 RXW82:RXW84 SHS82:SHS84 SRO82:SRO84 TBK82:TBK84 TLG82:TLG84 TVC82:TVC84 UEY82:UEY84 UOU82:UOU84 UYQ82:UYQ84 VIM82:VIM84 VSI82:VSI84 WCE82:WCE84 WMA82:WMA84 WVW82:WVW84 WVW983124:WVW983126 N65620:N65622 JK65620:JK65622 TG65620:TG65622 ADC65620:ADC65622 AMY65620:AMY65622 AWU65620:AWU65622 BGQ65620:BGQ65622 BQM65620:BQM65622 CAI65620:CAI65622 CKE65620:CKE65622 CUA65620:CUA65622 DDW65620:DDW65622 DNS65620:DNS65622 DXO65620:DXO65622 EHK65620:EHK65622 ERG65620:ERG65622 FBC65620:FBC65622 FKY65620:FKY65622 FUU65620:FUU65622 GEQ65620:GEQ65622 GOM65620:GOM65622 GYI65620:GYI65622 HIE65620:HIE65622 HSA65620:HSA65622 IBW65620:IBW65622 ILS65620:ILS65622 IVO65620:IVO65622 JFK65620:JFK65622 JPG65620:JPG65622 JZC65620:JZC65622 KIY65620:KIY65622 KSU65620:KSU65622 LCQ65620:LCQ65622 LMM65620:LMM65622 LWI65620:LWI65622 MGE65620:MGE65622 MQA65620:MQA65622 MZW65620:MZW65622 NJS65620:NJS65622 NTO65620:NTO65622 ODK65620:ODK65622 ONG65620:ONG65622 OXC65620:OXC65622 PGY65620:PGY65622 PQU65620:PQU65622 QAQ65620:QAQ65622 QKM65620:QKM65622 QUI65620:QUI65622 REE65620:REE65622 ROA65620:ROA65622 RXW65620:RXW65622 SHS65620:SHS65622 SRO65620:SRO65622 TBK65620:TBK65622 TLG65620:TLG65622 TVC65620:TVC65622 UEY65620:UEY65622 UOU65620:UOU65622 UYQ65620:UYQ65622 VIM65620:VIM65622 VSI65620:VSI65622 WCE65620:WCE65622 WMA65620:WMA65622 WVW65620:WVW65622 N131156:N131158 JK131156:JK131158 TG131156:TG131158 ADC131156:ADC131158 AMY131156:AMY131158 AWU131156:AWU131158 BGQ131156:BGQ131158 BQM131156:BQM131158 CAI131156:CAI131158 CKE131156:CKE131158 CUA131156:CUA131158 DDW131156:DDW131158 DNS131156:DNS131158 DXO131156:DXO131158 EHK131156:EHK131158 ERG131156:ERG131158 FBC131156:FBC131158 FKY131156:FKY131158 FUU131156:FUU131158 GEQ131156:GEQ131158 GOM131156:GOM131158 GYI131156:GYI131158 HIE131156:HIE131158 HSA131156:HSA131158 IBW131156:IBW131158 ILS131156:ILS131158 IVO131156:IVO131158 JFK131156:JFK131158 JPG131156:JPG131158 JZC131156:JZC131158 KIY131156:KIY131158 KSU131156:KSU131158 LCQ131156:LCQ131158 LMM131156:LMM131158 LWI131156:LWI131158 MGE131156:MGE131158 MQA131156:MQA131158 MZW131156:MZW131158 NJS131156:NJS131158 NTO131156:NTO131158 ODK131156:ODK131158 ONG131156:ONG131158 OXC131156:OXC131158 PGY131156:PGY131158 PQU131156:PQU131158 QAQ131156:QAQ131158 QKM131156:QKM131158 QUI131156:QUI131158 REE131156:REE131158 ROA131156:ROA131158 RXW131156:RXW131158 SHS131156:SHS131158 SRO131156:SRO131158 TBK131156:TBK131158 TLG131156:TLG131158 TVC131156:TVC131158 UEY131156:UEY131158 UOU131156:UOU131158 UYQ131156:UYQ131158 VIM131156:VIM131158 VSI131156:VSI131158 WCE131156:WCE131158 WMA131156:WMA131158 WVW131156:WVW131158 N196692:N196694 JK196692:JK196694 TG196692:TG196694 ADC196692:ADC196694 AMY196692:AMY196694 AWU196692:AWU196694 BGQ196692:BGQ196694 BQM196692:BQM196694 CAI196692:CAI196694 CKE196692:CKE196694 CUA196692:CUA196694 DDW196692:DDW196694 DNS196692:DNS196694 DXO196692:DXO196694 EHK196692:EHK196694 ERG196692:ERG196694 FBC196692:FBC196694 FKY196692:FKY196694 FUU196692:FUU196694 GEQ196692:GEQ196694 GOM196692:GOM196694 GYI196692:GYI196694 HIE196692:HIE196694 HSA196692:HSA196694 IBW196692:IBW196694 ILS196692:ILS196694 IVO196692:IVO196694 JFK196692:JFK196694 JPG196692:JPG196694 JZC196692:JZC196694 KIY196692:KIY196694 KSU196692:KSU196694 LCQ196692:LCQ196694 LMM196692:LMM196694 LWI196692:LWI196694 MGE196692:MGE196694 MQA196692:MQA196694 MZW196692:MZW196694 NJS196692:NJS196694 NTO196692:NTO196694 ODK196692:ODK196694 ONG196692:ONG196694 OXC196692:OXC196694 PGY196692:PGY196694 PQU196692:PQU196694 QAQ196692:QAQ196694 QKM196692:QKM196694 QUI196692:QUI196694 REE196692:REE196694 ROA196692:ROA196694 RXW196692:RXW196694 SHS196692:SHS196694 SRO196692:SRO196694 TBK196692:TBK196694 TLG196692:TLG196694 TVC196692:TVC196694 UEY196692:UEY196694 UOU196692:UOU196694 UYQ196692:UYQ196694 VIM196692:VIM196694 VSI196692:VSI196694 WCE196692:WCE196694 WMA196692:WMA196694 WVW196692:WVW196694 N262228:N262230 JK262228:JK262230 TG262228:TG262230 ADC262228:ADC262230 AMY262228:AMY262230 AWU262228:AWU262230 BGQ262228:BGQ262230 BQM262228:BQM262230 CAI262228:CAI262230 CKE262228:CKE262230 CUA262228:CUA262230 DDW262228:DDW262230 DNS262228:DNS262230 DXO262228:DXO262230 EHK262228:EHK262230 ERG262228:ERG262230 FBC262228:FBC262230 FKY262228:FKY262230 FUU262228:FUU262230 GEQ262228:GEQ262230 GOM262228:GOM262230 GYI262228:GYI262230 HIE262228:HIE262230 HSA262228:HSA262230 IBW262228:IBW262230 ILS262228:ILS262230 IVO262228:IVO262230 JFK262228:JFK262230 JPG262228:JPG262230 JZC262228:JZC262230 KIY262228:KIY262230 KSU262228:KSU262230 LCQ262228:LCQ262230 LMM262228:LMM262230 LWI262228:LWI262230 MGE262228:MGE262230 MQA262228:MQA262230 MZW262228:MZW262230 NJS262228:NJS262230 NTO262228:NTO262230 ODK262228:ODK262230 ONG262228:ONG262230 OXC262228:OXC262230 PGY262228:PGY262230 PQU262228:PQU262230 QAQ262228:QAQ262230 QKM262228:QKM262230 QUI262228:QUI262230 REE262228:REE262230 ROA262228:ROA262230 RXW262228:RXW262230 SHS262228:SHS262230 SRO262228:SRO262230 TBK262228:TBK262230 TLG262228:TLG262230 TVC262228:TVC262230 UEY262228:UEY262230 UOU262228:UOU262230 UYQ262228:UYQ262230 VIM262228:VIM262230 VSI262228:VSI262230 WCE262228:WCE262230 WMA262228:WMA262230 WVW262228:WVW262230 N327764:N327766 JK327764:JK327766 TG327764:TG327766 ADC327764:ADC327766 AMY327764:AMY327766 AWU327764:AWU327766 BGQ327764:BGQ327766 BQM327764:BQM327766 CAI327764:CAI327766 CKE327764:CKE327766 CUA327764:CUA327766 DDW327764:DDW327766 DNS327764:DNS327766 DXO327764:DXO327766 EHK327764:EHK327766 ERG327764:ERG327766 FBC327764:FBC327766 FKY327764:FKY327766 FUU327764:FUU327766 GEQ327764:GEQ327766 GOM327764:GOM327766 GYI327764:GYI327766 HIE327764:HIE327766 HSA327764:HSA327766 IBW327764:IBW327766 ILS327764:ILS327766 IVO327764:IVO327766 JFK327764:JFK327766 JPG327764:JPG327766 JZC327764:JZC327766 KIY327764:KIY327766 KSU327764:KSU327766 LCQ327764:LCQ327766 LMM327764:LMM327766 LWI327764:LWI327766 MGE327764:MGE327766 MQA327764:MQA327766 MZW327764:MZW327766 NJS327764:NJS327766 NTO327764:NTO327766 ODK327764:ODK327766 ONG327764:ONG327766 OXC327764:OXC327766 PGY327764:PGY327766 PQU327764:PQU327766 QAQ327764:QAQ327766 QKM327764:QKM327766 QUI327764:QUI327766 REE327764:REE327766 ROA327764:ROA327766 RXW327764:RXW327766 SHS327764:SHS327766 SRO327764:SRO327766 TBK327764:TBK327766 TLG327764:TLG327766 TVC327764:TVC327766 UEY327764:UEY327766 UOU327764:UOU327766 UYQ327764:UYQ327766 VIM327764:VIM327766 VSI327764:VSI327766 WCE327764:WCE327766 WMA327764:WMA327766 WVW327764:WVW327766 N393300:N393302 JK393300:JK393302 TG393300:TG393302 ADC393300:ADC393302 AMY393300:AMY393302 AWU393300:AWU393302 BGQ393300:BGQ393302 BQM393300:BQM393302 CAI393300:CAI393302 CKE393300:CKE393302 CUA393300:CUA393302 DDW393300:DDW393302 DNS393300:DNS393302 DXO393300:DXO393302 EHK393300:EHK393302 ERG393300:ERG393302 FBC393300:FBC393302 FKY393300:FKY393302 FUU393300:FUU393302 GEQ393300:GEQ393302 GOM393300:GOM393302 GYI393300:GYI393302 HIE393300:HIE393302 HSA393300:HSA393302 IBW393300:IBW393302 ILS393300:ILS393302 IVO393300:IVO393302 JFK393300:JFK393302 JPG393300:JPG393302 JZC393300:JZC393302 KIY393300:KIY393302 KSU393300:KSU393302 LCQ393300:LCQ393302 LMM393300:LMM393302 LWI393300:LWI393302 MGE393300:MGE393302 MQA393300:MQA393302 MZW393300:MZW393302 NJS393300:NJS393302 NTO393300:NTO393302 ODK393300:ODK393302 ONG393300:ONG393302 OXC393300:OXC393302 PGY393300:PGY393302 PQU393300:PQU393302 QAQ393300:QAQ393302 QKM393300:QKM393302 QUI393300:QUI393302 REE393300:REE393302 ROA393300:ROA393302 RXW393300:RXW393302 SHS393300:SHS393302 SRO393300:SRO393302 TBK393300:TBK393302 TLG393300:TLG393302 TVC393300:TVC393302 UEY393300:UEY393302 UOU393300:UOU393302 UYQ393300:UYQ393302 VIM393300:VIM393302 VSI393300:VSI393302 WCE393300:WCE393302 WMA393300:WMA393302 WVW393300:WVW393302 N458836:N458838 JK458836:JK458838 TG458836:TG458838 ADC458836:ADC458838 AMY458836:AMY458838 AWU458836:AWU458838 BGQ458836:BGQ458838 BQM458836:BQM458838 CAI458836:CAI458838 CKE458836:CKE458838 CUA458836:CUA458838 DDW458836:DDW458838 DNS458836:DNS458838 DXO458836:DXO458838 EHK458836:EHK458838 ERG458836:ERG458838 FBC458836:FBC458838 FKY458836:FKY458838 FUU458836:FUU458838 GEQ458836:GEQ458838 GOM458836:GOM458838 GYI458836:GYI458838 HIE458836:HIE458838 HSA458836:HSA458838 IBW458836:IBW458838 ILS458836:ILS458838 IVO458836:IVO458838 JFK458836:JFK458838 JPG458836:JPG458838 JZC458836:JZC458838 KIY458836:KIY458838 KSU458836:KSU458838 LCQ458836:LCQ458838 LMM458836:LMM458838 LWI458836:LWI458838 MGE458836:MGE458838 MQA458836:MQA458838 MZW458836:MZW458838 NJS458836:NJS458838 NTO458836:NTO458838 ODK458836:ODK458838 ONG458836:ONG458838 OXC458836:OXC458838 PGY458836:PGY458838 PQU458836:PQU458838 QAQ458836:QAQ458838 QKM458836:QKM458838 QUI458836:QUI458838 REE458836:REE458838 ROA458836:ROA458838 RXW458836:RXW458838 SHS458836:SHS458838 SRO458836:SRO458838 TBK458836:TBK458838 TLG458836:TLG458838 TVC458836:TVC458838 UEY458836:UEY458838 UOU458836:UOU458838 UYQ458836:UYQ458838 VIM458836:VIM458838 VSI458836:VSI458838 WCE458836:WCE458838 WMA458836:WMA458838 WVW458836:WVW458838 N524372:N524374 JK524372:JK524374 TG524372:TG524374 ADC524372:ADC524374 AMY524372:AMY524374 AWU524372:AWU524374 BGQ524372:BGQ524374 BQM524372:BQM524374 CAI524372:CAI524374 CKE524372:CKE524374 CUA524372:CUA524374 DDW524372:DDW524374 DNS524372:DNS524374 DXO524372:DXO524374 EHK524372:EHK524374 ERG524372:ERG524374 FBC524372:FBC524374 FKY524372:FKY524374 FUU524372:FUU524374 GEQ524372:GEQ524374 GOM524372:GOM524374 GYI524372:GYI524374 HIE524372:HIE524374 HSA524372:HSA524374 IBW524372:IBW524374 ILS524372:ILS524374 IVO524372:IVO524374 JFK524372:JFK524374 JPG524372:JPG524374 JZC524372:JZC524374 KIY524372:KIY524374 KSU524372:KSU524374 LCQ524372:LCQ524374 LMM524372:LMM524374 LWI524372:LWI524374 MGE524372:MGE524374 MQA524372:MQA524374 MZW524372:MZW524374 NJS524372:NJS524374 NTO524372:NTO524374 ODK524372:ODK524374 ONG524372:ONG524374 OXC524372:OXC524374 PGY524372:PGY524374 PQU524372:PQU524374 QAQ524372:QAQ524374 QKM524372:QKM524374 QUI524372:QUI524374 REE524372:REE524374 ROA524372:ROA524374 RXW524372:RXW524374 SHS524372:SHS524374 SRO524372:SRO524374 TBK524372:TBK524374 TLG524372:TLG524374 TVC524372:TVC524374 UEY524372:UEY524374 UOU524372:UOU524374 UYQ524372:UYQ524374 VIM524372:VIM524374 VSI524372:VSI524374 WCE524372:WCE524374 WMA524372:WMA524374 WVW524372:WVW524374 N589908:N589910 JK589908:JK589910 TG589908:TG589910 ADC589908:ADC589910 AMY589908:AMY589910 AWU589908:AWU589910 BGQ589908:BGQ589910 BQM589908:BQM589910 CAI589908:CAI589910 CKE589908:CKE589910 CUA589908:CUA589910 DDW589908:DDW589910 DNS589908:DNS589910 DXO589908:DXO589910 EHK589908:EHK589910 ERG589908:ERG589910 FBC589908:FBC589910 FKY589908:FKY589910 FUU589908:FUU589910 GEQ589908:GEQ589910 GOM589908:GOM589910 GYI589908:GYI589910 HIE589908:HIE589910 HSA589908:HSA589910 IBW589908:IBW589910 ILS589908:ILS589910 IVO589908:IVO589910 JFK589908:JFK589910 JPG589908:JPG589910 JZC589908:JZC589910 KIY589908:KIY589910 KSU589908:KSU589910 LCQ589908:LCQ589910 LMM589908:LMM589910 LWI589908:LWI589910 MGE589908:MGE589910 MQA589908:MQA589910 MZW589908:MZW589910 NJS589908:NJS589910 NTO589908:NTO589910 ODK589908:ODK589910 ONG589908:ONG589910 OXC589908:OXC589910 PGY589908:PGY589910 PQU589908:PQU589910 QAQ589908:QAQ589910 QKM589908:QKM589910 QUI589908:QUI589910 REE589908:REE589910 ROA589908:ROA589910 RXW589908:RXW589910 SHS589908:SHS589910 SRO589908:SRO589910 TBK589908:TBK589910 TLG589908:TLG589910 TVC589908:TVC589910 UEY589908:UEY589910 UOU589908:UOU589910 UYQ589908:UYQ589910 VIM589908:VIM589910 VSI589908:VSI589910 WCE589908:WCE589910 WMA589908:WMA589910 WVW589908:WVW589910 N655444:N655446 JK655444:JK655446 TG655444:TG655446 ADC655444:ADC655446 AMY655444:AMY655446 AWU655444:AWU655446 BGQ655444:BGQ655446 BQM655444:BQM655446 CAI655444:CAI655446 CKE655444:CKE655446 CUA655444:CUA655446 DDW655444:DDW655446 DNS655444:DNS655446 DXO655444:DXO655446 EHK655444:EHK655446 ERG655444:ERG655446 FBC655444:FBC655446 FKY655444:FKY655446 FUU655444:FUU655446 GEQ655444:GEQ655446 GOM655444:GOM655446 GYI655444:GYI655446 HIE655444:HIE655446 HSA655444:HSA655446 IBW655444:IBW655446 ILS655444:ILS655446 IVO655444:IVO655446 JFK655444:JFK655446 JPG655444:JPG655446 JZC655444:JZC655446 KIY655444:KIY655446 KSU655444:KSU655446 LCQ655444:LCQ655446 LMM655444:LMM655446 LWI655444:LWI655446 MGE655444:MGE655446 MQA655444:MQA655446 MZW655444:MZW655446 NJS655444:NJS655446 NTO655444:NTO655446 ODK655444:ODK655446 ONG655444:ONG655446 OXC655444:OXC655446 PGY655444:PGY655446 PQU655444:PQU655446 QAQ655444:QAQ655446 QKM655444:QKM655446 QUI655444:QUI655446 REE655444:REE655446 ROA655444:ROA655446 RXW655444:RXW655446 SHS655444:SHS655446 SRO655444:SRO655446 TBK655444:TBK655446 TLG655444:TLG655446 TVC655444:TVC655446 UEY655444:UEY655446 UOU655444:UOU655446 UYQ655444:UYQ655446 VIM655444:VIM655446 VSI655444:VSI655446 WCE655444:WCE655446 WMA655444:WMA655446 WVW655444:WVW655446 N720980:N720982 JK720980:JK720982 TG720980:TG720982 ADC720980:ADC720982 AMY720980:AMY720982 AWU720980:AWU720982 BGQ720980:BGQ720982 BQM720980:BQM720982 CAI720980:CAI720982 CKE720980:CKE720982 CUA720980:CUA720982 DDW720980:DDW720982 DNS720980:DNS720982 DXO720980:DXO720982 EHK720980:EHK720982 ERG720980:ERG720982 FBC720980:FBC720982 FKY720980:FKY720982 FUU720980:FUU720982 GEQ720980:GEQ720982 GOM720980:GOM720982 GYI720980:GYI720982 HIE720980:HIE720982 HSA720980:HSA720982 IBW720980:IBW720982 ILS720980:ILS720982 IVO720980:IVO720982 JFK720980:JFK720982 JPG720980:JPG720982 JZC720980:JZC720982 KIY720980:KIY720982 KSU720980:KSU720982 LCQ720980:LCQ720982 LMM720980:LMM720982 LWI720980:LWI720982 MGE720980:MGE720982 MQA720980:MQA720982 MZW720980:MZW720982 NJS720980:NJS720982 NTO720980:NTO720982 ODK720980:ODK720982 ONG720980:ONG720982 OXC720980:OXC720982 PGY720980:PGY720982 PQU720980:PQU720982 QAQ720980:QAQ720982 QKM720980:QKM720982 QUI720980:QUI720982 REE720980:REE720982 ROA720980:ROA720982 RXW720980:RXW720982 SHS720980:SHS720982 SRO720980:SRO720982 TBK720980:TBK720982 TLG720980:TLG720982 TVC720980:TVC720982 UEY720980:UEY720982 UOU720980:UOU720982 UYQ720980:UYQ720982 VIM720980:VIM720982 VSI720980:VSI720982 WCE720980:WCE720982 WMA720980:WMA720982 WVW720980:WVW720982 N786516:N786518 JK786516:JK786518 TG786516:TG786518 ADC786516:ADC786518 AMY786516:AMY786518 AWU786516:AWU786518 BGQ786516:BGQ786518 BQM786516:BQM786518 CAI786516:CAI786518 CKE786516:CKE786518 CUA786516:CUA786518 DDW786516:DDW786518 DNS786516:DNS786518 DXO786516:DXO786518 EHK786516:EHK786518 ERG786516:ERG786518 FBC786516:FBC786518 FKY786516:FKY786518 FUU786516:FUU786518 GEQ786516:GEQ786518 GOM786516:GOM786518 GYI786516:GYI786518 HIE786516:HIE786518 HSA786516:HSA786518 IBW786516:IBW786518 ILS786516:ILS786518 IVO786516:IVO786518 JFK786516:JFK786518 JPG786516:JPG786518 JZC786516:JZC786518 KIY786516:KIY786518 KSU786516:KSU786518 LCQ786516:LCQ786518 LMM786516:LMM786518 LWI786516:LWI786518 MGE786516:MGE786518 MQA786516:MQA786518 MZW786516:MZW786518 NJS786516:NJS786518 NTO786516:NTO786518 ODK786516:ODK786518 ONG786516:ONG786518 OXC786516:OXC786518 PGY786516:PGY786518 PQU786516:PQU786518 QAQ786516:QAQ786518 QKM786516:QKM786518 QUI786516:QUI786518 REE786516:REE786518 ROA786516:ROA786518 RXW786516:RXW786518 SHS786516:SHS786518 SRO786516:SRO786518 TBK786516:TBK786518 TLG786516:TLG786518 TVC786516:TVC786518 UEY786516:UEY786518 UOU786516:UOU786518 UYQ786516:UYQ786518 VIM786516:VIM786518 VSI786516:VSI786518 WCE786516:WCE786518 WMA786516:WMA786518 WVW786516:WVW786518 N852052:N852054 JK852052:JK852054 TG852052:TG852054 ADC852052:ADC852054 AMY852052:AMY852054 AWU852052:AWU852054 BGQ852052:BGQ852054 BQM852052:BQM852054 CAI852052:CAI852054 CKE852052:CKE852054 CUA852052:CUA852054 DDW852052:DDW852054 DNS852052:DNS852054 DXO852052:DXO852054 EHK852052:EHK852054 ERG852052:ERG852054 FBC852052:FBC852054 FKY852052:FKY852054 FUU852052:FUU852054 GEQ852052:GEQ852054 GOM852052:GOM852054 GYI852052:GYI852054 HIE852052:HIE852054 HSA852052:HSA852054 IBW852052:IBW852054 ILS852052:ILS852054 IVO852052:IVO852054 JFK852052:JFK852054 JPG852052:JPG852054 JZC852052:JZC852054 KIY852052:KIY852054 KSU852052:KSU852054 LCQ852052:LCQ852054 LMM852052:LMM852054 LWI852052:LWI852054 MGE852052:MGE852054 MQA852052:MQA852054 MZW852052:MZW852054 NJS852052:NJS852054 NTO852052:NTO852054 ODK852052:ODK852054 ONG852052:ONG852054 OXC852052:OXC852054 PGY852052:PGY852054 PQU852052:PQU852054 QAQ852052:QAQ852054 QKM852052:QKM852054 QUI852052:QUI852054 REE852052:REE852054 ROA852052:ROA852054 RXW852052:RXW852054 SHS852052:SHS852054 SRO852052:SRO852054 TBK852052:TBK852054 TLG852052:TLG852054 TVC852052:TVC852054 UEY852052:UEY852054 UOU852052:UOU852054 UYQ852052:UYQ852054 VIM852052:VIM852054 VSI852052:VSI852054 WCE852052:WCE852054 WMA852052:WMA852054 WVW852052:WVW852054 N917588:N917590 JK917588:JK917590 TG917588:TG917590 ADC917588:ADC917590 AMY917588:AMY917590 AWU917588:AWU917590 BGQ917588:BGQ917590 BQM917588:BQM917590 CAI917588:CAI917590 CKE917588:CKE917590 CUA917588:CUA917590 DDW917588:DDW917590 DNS917588:DNS917590 DXO917588:DXO917590 EHK917588:EHK917590 ERG917588:ERG917590 FBC917588:FBC917590 FKY917588:FKY917590 FUU917588:FUU917590 GEQ917588:GEQ917590 GOM917588:GOM917590 GYI917588:GYI917590 HIE917588:HIE917590 HSA917588:HSA917590 IBW917588:IBW917590 ILS917588:ILS917590 IVO917588:IVO917590 JFK917588:JFK917590 JPG917588:JPG917590 JZC917588:JZC917590 KIY917588:KIY917590 KSU917588:KSU917590 LCQ917588:LCQ917590 LMM917588:LMM917590 LWI917588:LWI917590 MGE917588:MGE917590 MQA917588:MQA917590 MZW917588:MZW917590 NJS917588:NJS917590 NTO917588:NTO917590 ODK917588:ODK917590 ONG917588:ONG917590 OXC917588:OXC917590 PGY917588:PGY917590 PQU917588:PQU917590 QAQ917588:QAQ917590 QKM917588:QKM917590 QUI917588:QUI917590 REE917588:REE917590 ROA917588:ROA917590 RXW917588:RXW917590 SHS917588:SHS917590 SRO917588:SRO917590 TBK917588:TBK917590 TLG917588:TLG917590 TVC917588:TVC917590 UEY917588:UEY917590 UOU917588:UOU917590 UYQ917588:UYQ917590 VIM917588:VIM917590 VSI917588:VSI917590 WCE917588:WCE917590 WMA917588:WMA917590 WVW917588:WVW917590 N983124:N983126 JK983124:JK983126 TG983124:TG983126 ADC983124:ADC983126 AMY983124:AMY983126 AWU983124:AWU983126 BGQ983124:BGQ983126 BQM983124:BQM983126 CAI983124:CAI983126 CKE983124:CKE983126 CUA983124:CUA983126 DDW983124:DDW983126 DNS983124:DNS983126 DXO983124:DXO983126 EHK983124:EHK983126 ERG983124:ERG983126 FBC983124:FBC983126 FKY983124:FKY983126 FUU983124:FUU983126 GEQ983124:GEQ983126 GOM983124:GOM983126 GYI983124:GYI983126 HIE983124:HIE983126 HSA983124:HSA983126 IBW983124:IBW983126 ILS983124:ILS983126 IVO983124:IVO983126 JFK983124:JFK983126 JPG983124:JPG983126 JZC983124:JZC983126 KIY983124:KIY983126 KSU983124:KSU983126 LCQ983124:LCQ983126 LMM983124:LMM983126 LWI983124:LWI983126 MGE983124:MGE983126 MQA983124:MQA983126 MZW983124:MZW983126 NJS983124:NJS983126 NTO983124:NTO983126 ODK983124:ODK983126 ONG983124:ONG983126 OXC983124:OXC983126 PGY983124:PGY983126 PQU983124:PQU983126 QAQ983124:QAQ983126 QKM983124:QKM983126 QUI983124:QUI983126 REE983124:REE983126 ROA983124:ROA983126 RXW983124:RXW983126 SHS983124:SHS983126 SRO983124:SRO983126 TBK983124:TBK983126 TLG983124:TLG983126 TVC983124:TVC983126 UEY983124:UEY983126 UOU983124:UOU983126 UYQ983124:UYQ983126 VIM983124:VIM983126 VSI983124:VSI983126 WCE983124:WCE983126 WMA983124:WMA983126 N82:N86">
      <formula1>"○,　"</formula1>
    </dataValidation>
    <dataValidation type="whole" operator="greaterThanOrEqual" allowBlank="1" showInputMessage="1" showErrorMessage="1" sqref="J99:J100 JG99:JG100 TC99:TC100 ACY99:ACY100 AMU99:AMU100 AWQ99:AWQ100 BGM99:BGM100 BQI99:BQI100 CAE99:CAE100 CKA99:CKA100 CTW99:CTW100 DDS99:DDS100 DNO99:DNO100 DXK99:DXK100 EHG99:EHG100 ERC99:ERC100 FAY99:FAY100 FKU99:FKU100 FUQ99:FUQ100 GEM99:GEM100 GOI99:GOI100 GYE99:GYE100 HIA99:HIA100 HRW99:HRW100 IBS99:IBS100 ILO99:ILO100 IVK99:IVK100 JFG99:JFG100 JPC99:JPC100 JYY99:JYY100 KIU99:KIU100 KSQ99:KSQ100 LCM99:LCM100 LMI99:LMI100 LWE99:LWE100 MGA99:MGA100 MPW99:MPW100 MZS99:MZS100 NJO99:NJO100 NTK99:NTK100 ODG99:ODG100 ONC99:ONC100 OWY99:OWY100 PGU99:PGU100 PQQ99:PQQ100 QAM99:QAM100 QKI99:QKI100 QUE99:QUE100 REA99:REA100 RNW99:RNW100 RXS99:RXS100 SHO99:SHO100 SRK99:SRK100 TBG99:TBG100 TLC99:TLC100 TUY99:TUY100 UEU99:UEU100 UOQ99:UOQ100 UYM99:UYM100 VII99:VII100 VSE99:VSE100 WCA99:WCA100 WLW99:WLW100 WVS99:WVS100 J65635:J65636 JG65635:JG65636 TC65635:TC65636 ACY65635:ACY65636 AMU65635:AMU65636 AWQ65635:AWQ65636 BGM65635:BGM65636 BQI65635:BQI65636 CAE65635:CAE65636 CKA65635:CKA65636 CTW65635:CTW65636 DDS65635:DDS65636 DNO65635:DNO65636 DXK65635:DXK65636 EHG65635:EHG65636 ERC65635:ERC65636 FAY65635:FAY65636 FKU65635:FKU65636 FUQ65635:FUQ65636 GEM65635:GEM65636 GOI65635:GOI65636 GYE65635:GYE65636 HIA65635:HIA65636 HRW65635:HRW65636 IBS65635:IBS65636 ILO65635:ILO65636 IVK65635:IVK65636 JFG65635:JFG65636 JPC65635:JPC65636 JYY65635:JYY65636 KIU65635:KIU65636 KSQ65635:KSQ65636 LCM65635:LCM65636 LMI65635:LMI65636 LWE65635:LWE65636 MGA65635:MGA65636 MPW65635:MPW65636 MZS65635:MZS65636 NJO65635:NJO65636 NTK65635:NTK65636 ODG65635:ODG65636 ONC65635:ONC65636 OWY65635:OWY65636 PGU65635:PGU65636 PQQ65635:PQQ65636 QAM65635:QAM65636 QKI65635:QKI65636 QUE65635:QUE65636 REA65635:REA65636 RNW65635:RNW65636 RXS65635:RXS65636 SHO65635:SHO65636 SRK65635:SRK65636 TBG65635:TBG65636 TLC65635:TLC65636 TUY65635:TUY65636 UEU65635:UEU65636 UOQ65635:UOQ65636 UYM65635:UYM65636 VII65635:VII65636 VSE65635:VSE65636 WCA65635:WCA65636 WLW65635:WLW65636 WVS65635:WVS65636 J131171:J131172 JG131171:JG131172 TC131171:TC131172 ACY131171:ACY131172 AMU131171:AMU131172 AWQ131171:AWQ131172 BGM131171:BGM131172 BQI131171:BQI131172 CAE131171:CAE131172 CKA131171:CKA131172 CTW131171:CTW131172 DDS131171:DDS131172 DNO131171:DNO131172 DXK131171:DXK131172 EHG131171:EHG131172 ERC131171:ERC131172 FAY131171:FAY131172 FKU131171:FKU131172 FUQ131171:FUQ131172 GEM131171:GEM131172 GOI131171:GOI131172 GYE131171:GYE131172 HIA131171:HIA131172 HRW131171:HRW131172 IBS131171:IBS131172 ILO131171:ILO131172 IVK131171:IVK131172 JFG131171:JFG131172 JPC131171:JPC131172 JYY131171:JYY131172 KIU131171:KIU131172 KSQ131171:KSQ131172 LCM131171:LCM131172 LMI131171:LMI131172 LWE131171:LWE131172 MGA131171:MGA131172 MPW131171:MPW131172 MZS131171:MZS131172 NJO131171:NJO131172 NTK131171:NTK131172 ODG131171:ODG131172 ONC131171:ONC131172 OWY131171:OWY131172 PGU131171:PGU131172 PQQ131171:PQQ131172 QAM131171:QAM131172 QKI131171:QKI131172 QUE131171:QUE131172 REA131171:REA131172 RNW131171:RNW131172 RXS131171:RXS131172 SHO131171:SHO131172 SRK131171:SRK131172 TBG131171:TBG131172 TLC131171:TLC131172 TUY131171:TUY131172 UEU131171:UEU131172 UOQ131171:UOQ131172 UYM131171:UYM131172 VII131171:VII131172 VSE131171:VSE131172 WCA131171:WCA131172 WLW131171:WLW131172 WVS131171:WVS131172 J196707:J196708 JG196707:JG196708 TC196707:TC196708 ACY196707:ACY196708 AMU196707:AMU196708 AWQ196707:AWQ196708 BGM196707:BGM196708 BQI196707:BQI196708 CAE196707:CAE196708 CKA196707:CKA196708 CTW196707:CTW196708 DDS196707:DDS196708 DNO196707:DNO196708 DXK196707:DXK196708 EHG196707:EHG196708 ERC196707:ERC196708 FAY196707:FAY196708 FKU196707:FKU196708 FUQ196707:FUQ196708 GEM196707:GEM196708 GOI196707:GOI196708 GYE196707:GYE196708 HIA196707:HIA196708 HRW196707:HRW196708 IBS196707:IBS196708 ILO196707:ILO196708 IVK196707:IVK196708 JFG196707:JFG196708 JPC196707:JPC196708 JYY196707:JYY196708 KIU196707:KIU196708 KSQ196707:KSQ196708 LCM196707:LCM196708 LMI196707:LMI196708 LWE196707:LWE196708 MGA196707:MGA196708 MPW196707:MPW196708 MZS196707:MZS196708 NJO196707:NJO196708 NTK196707:NTK196708 ODG196707:ODG196708 ONC196707:ONC196708 OWY196707:OWY196708 PGU196707:PGU196708 PQQ196707:PQQ196708 QAM196707:QAM196708 QKI196707:QKI196708 QUE196707:QUE196708 REA196707:REA196708 RNW196707:RNW196708 RXS196707:RXS196708 SHO196707:SHO196708 SRK196707:SRK196708 TBG196707:TBG196708 TLC196707:TLC196708 TUY196707:TUY196708 UEU196707:UEU196708 UOQ196707:UOQ196708 UYM196707:UYM196708 VII196707:VII196708 VSE196707:VSE196708 WCA196707:WCA196708 WLW196707:WLW196708 WVS196707:WVS196708 J262243:J262244 JG262243:JG262244 TC262243:TC262244 ACY262243:ACY262244 AMU262243:AMU262244 AWQ262243:AWQ262244 BGM262243:BGM262244 BQI262243:BQI262244 CAE262243:CAE262244 CKA262243:CKA262244 CTW262243:CTW262244 DDS262243:DDS262244 DNO262243:DNO262244 DXK262243:DXK262244 EHG262243:EHG262244 ERC262243:ERC262244 FAY262243:FAY262244 FKU262243:FKU262244 FUQ262243:FUQ262244 GEM262243:GEM262244 GOI262243:GOI262244 GYE262243:GYE262244 HIA262243:HIA262244 HRW262243:HRW262244 IBS262243:IBS262244 ILO262243:ILO262244 IVK262243:IVK262244 JFG262243:JFG262244 JPC262243:JPC262244 JYY262243:JYY262244 KIU262243:KIU262244 KSQ262243:KSQ262244 LCM262243:LCM262244 LMI262243:LMI262244 LWE262243:LWE262244 MGA262243:MGA262244 MPW262243:MPW262244 MZS262243:MZS262244 NJO262243:NJO262244 NTK262243:NTK262244 ODG262243:ODG262244 ONC262243:ONC262244 OWY262243:OWY262244 PGU262243:PGU262244 PQQ262243:PQQ262244 QAM262243:QAM262244 QKI262243:QKI262244 QUE262243:QUE262244 REA262243:REA262244 RNW262243:RNW262244 RXS262243:RXS262244 SHO262243:SHO262244 SRK262243:SRK262244 TBG262243:TBG262244 TLC262243:TLC262244 TUY262243:TUY262244 UEU262243:UEU262244 UOQ262243:UOQ262244 UYM262243:UYM262244 VII262243:VII262244 VSE262243:VSE262244 WCA262243:WCA262244 WLW262243:WLW262244 WVS262243:WVS262244 J327779:J327780 JG327779:JG327780 TC327779:TC327780 ACY327779:ACY327780 AMU327779:AMU327780 AWQ327779:AWQ327780 BGM327779:BGM327780 BQI327779:BQI327780 CAE327779:CAE327780 CKA327779:CKA327780 CTW327779:CTW327780 DDS327779:DDS327780 DNO327779:DNO327780 DXK327779:DXK327780 EHG327779:EHG327780 ERC327779:ERC327780 FAY327779:FAY327780 FKU327779:FKU327780 FUQ327779:FUQ327780 GEM327779:GEM327780 GOI327779:GOI327780 GYE327779:GYE327780 HIA327779:HIA327780 HRW327779:HRW327780 IBS327779:IBS327780 ILO327779:ILO327780 IVK327779:IVK327780 JFG327779:JFG327780 JPC327779:JPC327780 JYY327779:JYY327780 KIU327779:KIU327780 KSQ327779:KSQ327780 LCM327779:LCM327780 LMI327779:LMI327780 LWE327779:LWE327780 MGA327779:MGA327780 MPW327779:MPW327780 MZS327779:MZS327780 NJO327779:NJO327780 NTK327779:NTK327780 ODG327779:ODG327780 ONC327779:ONC327780 OWY327779:OWY327780 PGU327779:PGU327780 PQQ327779:PQQ327780 QAM327779:QAM327780 QKI327779:QKI327780 QUE327779:QUE327780 REA327779:REA327780 RNW327779:RNW327780 RXS327779:RXS327780 SHO327779:SHO327780 SRK327779:SRK327780 TBG327779:TBG327780 TLC327779:TLC327780 TUY327779:TUY327780 UEU327779:UEU327780 UOQ327779:UOQ327780 UYM327779:UYM327780 VII327779:VII327780 VSE327779:VSE327780 WCA327779:WCA327780 WLW327779:WLW327780 WVS327779:WVS327780 J393315:J393316 JG393315:JG393316 TC393315:TC393316 ACY393315:ACY393316 AMU393315:AMU393316 AWQ393315:AWQ393316 BGM393315:BGM393316 BQI393315:BQI393316 CAE393315:CAE393316 CKA393315:CKA393316 CTW393315:CTW393316 DDS393315:DDS393316 DNO393315:DNO393316 DXK393315:DXK393316 EHG393315:EHG393316 ERC393315:ERC393316 FAY393315:FAY393316 FKU393315:FKU393316 FUQ393315:FUQ393316 GEM393315:GEM393316 GOI393315:GOI393316 GYE393315:GYE393316 HIA393315:HIA393316 HRW393315:HRW393316 IBS393315:IBS393316 ILO393315:ILO393316 IVK393315:IVK393316 JFG393315:JFG393316 JPC393315:JPC393316 JYY393315:JYY393316 KIU393315:KIU393316 KSQ393315:KSQ393316 LCM393315:LCM393316 LMI393315:LMI393316 LWE393315:LWE393316 MGA393315:MGA393316 MPW393315:MPW393316 MZS393315:MZS393316 NJO393315:NJO393316 NTK393315:NTK393316 ODG393315:ODG393316 ONC393315:ONC393316 OWY393315:OWY393316 PGU393315:PGU393316 PQQ393315:PQQ393316 QAM393315:QAM393316 QKI393315:QKI393316 QUE393315:QUE393316 REA393315:REA393316 RNW393315:RNW393316 RXS393315:RXS393316 SHO393315:SHO393316 SRK393315:SRK393316 TBG393315:TBG393316 TLC393315:TLC393316 TUY393315:TUY393316 UEU393315:UEU393316 UOQ393315:UOQ393316 UYM393315:UYM393316 VII393315:VII393316 VSE393315:VSE393316 WCA393315:WCA393316 WLW393315:WLW393316 WVS393315:WVS393316 J458851:J458852 JG458851:JG458852 TC458851:TC458852 ACY458851:ACY458852 AMU458851:AMU458852 AWQ458851:AWQ458852 BGM458851:BGM458852 BQI458851:BQI458852 CAE458851:CAE458852 CKA458851:CKA458852 CTW458851:CTW458852 DDS458851:DDS458852 DNO458851:DNO458852 DXK458851:DXK458852 EHG458851:EHG458852 ERC458851:ERC458852 FAY458851:FAY458852 FKU458851:FKU458852 FUQ458851:FUQ458852 GEM458851:GEM458852 GOI458851:GOI458852 GYE458851:GYE458852 HIA458851:HIA458852 HRW458851:HRW458852 IBS458851:IBS458852 ILO458851:ILO458852 IVK458851:IVK458852 JFG458851:JFG458852 JPC458851:JPC458852 JYY458851:JYY458852 KIU458851:KIU458852 KSQ458851:KSQ458852 LCM458851:LCM458852 LMI458851:LMI458852 LWE458851:LWE458852 MGA458851:MGA458852 MPW458851:MPW458852 MZS458851:MZS458852 NJO458851:NJO458852 NTK458851:NTK458852 ODG458851:ODG458852 ONC458851:ONC458852 OWY458851:OWY458852 PGU458851:PGU458852 PQQ458851:PQQ458852 QAM458851:QAM458852 QKI458851:QKI458852 QUE458851:QUE458852 REA458851:REA458852 RNW458851:RNW458852 RXS458851:RXS458852 SHO458851:SHO458852 SRK458851:SRK458852 TBG458851:TBG458852 TLC458851:TLC458852 TUY458851:TUY458852 UEU458851:UEU458852 UOQ458851:UOQ458852 UYM458851:UYM458852 VII458851:VII458852 VSE458851:VSE458852 WCA458851:WCA458852 WLW458851:WLW458852 WVS458851:WVS458852 J524387:J524388 JG524387:JG524388 TC524387:TC524388 ACY524387:ACY524388 AMU524387:AMU524388 AWQ524387:AWQ524388 BGM524387:BGM524388 BQI524387:BQI524388 CAE524387:CAE524388 CKA524387:CKA524388 CTW524387:CTW524388 DDS524387:DDS524388 DNO524387:DNO524388 DXK524387:DXK524388 EHG524387:EHG524388 ERC524387:ERC524388 FAY524387:FAY524388 FKU524387:FKU524388 FUQ524387:FUQ524388 GEM524387:GEM524388 GOI524387:GOI524388 GYE524387:GYE524388 HIA524387:HIA524388 HRW524387:HRW524388 IBS524387:IBS524388 ILO524387:ILO524388 IVK524387:IVK524388 JFG524387:JFG524388 JPC524387:JPC524388 JYY524387:JYY524388 KIU524387:KIU524388 KSQ524387:KSQ524388 LCM524387:LCM524388 LMI524387:LMI524388 LWE524387:LWE524388 MGA524387:MGA524388 MPW524387:MPW524388 MZS524387:MZS524388 NJO524387:NJO524388 NTK524387:NTK524388 ODG524387:ODG524388 ONC524387:ONC524388 OWY524387:OWY524388 PGU524387:PGU524388 PQQ524387:PQQ524388 QAM524387:QAM524388 QKI524387:QKI524388 QUE524387:QUE524388 REA524387:REA524388 RNW524387:RNW524388 RXS524387:RXS524388 SHO524387:SHO524388 SRK524387:SRK524388 TBG524387:TBG524388 TLC524387:TLC524388 TUY524387:TUY524388 UEU524387:UEU524388 UOQ524387:UOQ524388 UYM524387:UYM524388 VII524387:VII524388 VSE524387:VSE524388 WCA524387:WCA524388 WLW524387:WLW524388 WVS524387:WVS524388 J589923:J589924 JG589923:JG589924 TC589923:TC589924 ACY589923:ACY589924 AMU589923:AMU589924 AWQ589923:AWQ589924 BGM589923:BGM589924 BQI589923:BQI589924 CAE589923:CAE589924 CKA589923:CKA589924 CTW589923:CTW589924 DDS589923:DDS589924 DNO589923:DNO589924 DXK589923:DXK589924 EHG589923:EHG589924 ERC589923:ERC589924 FAY589923:FAY589924 FKU589923:FKU589924 FUQ589923:FUQ589924 GEM589923:GEM589924 GOI589923:GOI589924 GYE589923:GYE589924 HIA589923:HIA589924 HRW589923:HRW589924 IBS589923:IBS589924 ILO589923:ILO589924 IVK589923:IVK589924 JFG589923:JFG589924 JPC589923:JPC589924 JYY589923:JYY589924 KIU589923:KIU589924 KSQ589923:KSQ589924 LCM589923:LCM589924 LMI589923:LMI589924 LWE589923:LWE589924 MGA589923:MGA589924 MPW589923:MPW589924 MZS589923:MZS589924 NJO589923:NJO589924 NTK589923:NTK589924 ODG589923:ODG589924 ONC589923:ONC589924 OWY589923:OWY589924 PGU589923:PGU589924 PQQ589923:PQQ589924 QAM589923:QAM589924 QKI589923:QKI589924 QUE589923:QUE589924 REA589923:REA589924 RNW589923:RNW589924 RXS589923:RXS589924 SHO589923:SHO589924 SRK589923:SRK589924 TBG589923:TBG589924 TLC589923:TLC589924 TUY589923:TUY589924 UEU589923:UEU589924 UOQ589923:UOQ589924 UYM589923:UYM589924 VII589923:VII589924 VSE589923:VSE589924 WCA589923:WCA589924 WLW589923:WLW589924 WVS589923:WVS589924 J655459:J655460 JG655459:JG655460 TC655459:TC655460 ACY655459:ACY655460 AMU655459:AMU655460 AWQ655459:AWQ655460 BGM655459:BGM655460 BQI655459:BQI655460 CAE655459:CAE655460 CKA655459:CKA655460 CTW655459:CTW655460 DDS655459:DDS655460 DNO655459:DNO655460 DXK655459:DXK655460 EHG655459:EHG655460 ERC655459:ERC655460 FAY655459:FAY655460 FKU655459:FKU655460 FUQ655459:FUQ655460 GEM655459:GEM655460 GOI655459:GOI655460 GYE655459:GYE655460 HIA655459:HIA655460 HRW655459:HRW655460 IBS655459:IBS655460 ILO655459:ILO655460 IVK655459:IVK655460 JFG655459:JFG655460 JPC655459:JPC655460 JYY655459:JYY655460 KIU655459:KIU655460 KSQ655459:KSQ655460 LCM655459:LCM655460 LMI655459:LMI655460 LWE655459:LWE655460 MGA655459:MGA655460 MPW655459:MPW655460 MZS655459:MZS655460 NJO655459:NJO655460 NTK655459:NTK655460 ODG655459:ODG655460 ONC655459:ONC655460 OWY655459:OWY655460 PGU655459:PGU655460 PQQ655459:PQQ655460 QAM655459:QAM655460 QKI655459:QKI655460 QUE655459:QUE655460 REA655459:REA655460 RNW655459:RNW655460 RXS655459:RXS655460 SHO655459:SHO655460 SRK655459:SRK655460 TBG655459:TBG655460 TLC655459:TLC655460 TUY655459:TUY655460 UEU655459:UEU655460 UOQ655459:UOQ655460 UYM655459:UYM655460 VII655459:VII655460 VSE655459:VSE655460 WCA655459:WCA655460 WLW655459:WLW655460 WVS655459:WVS655460 J720995:J720996 JG720995:JG720996 TC720995:TC720996 ACY720995:ACY720996 AMU720995:AMU720996 AWQ720995:AWQ720996 BGM720995:BGM720996 BQI720995:BQI720996 CAE720995:CAE720996 CKA720995:CKA720996 CTW720995:CTW720996 DDS720995:DDS720996 DNO720995:DNO720996 DXK720995:DXK720996 EHG720995:EHG720996 ERC720995:ERC720996 FAY720995:FAY720996 FKU720995:FKU720996 FUQ720995:FUQ720996 GEM720995:GEM720996 GOI720995:GOI720996 GYE720995:GYE720996 HIA720995:HIA720996 HRW720995:HRW720996 IBS720995:IBS720996 ILO720995:ILO720996 IVK720995:IVK720996 JFG720995:JFG720996 JPC720995:JPC720996 JYY720995:JYY720996 KIU720995:KIU720996 KSQ720995:KSQ720996 LCM720995:LCM720996 LMI720995:LMI720996 LWE720995:LWE720996 MGA720995:MGA720996 MPW720995:MPW720996 MZS720995:MZS720996 NJO720995:NJO720996 NTK720995:NTK720996 ODG720995:ODG720996 ONC720995:ONC720996 OWY720995:OWY720996 PGU720995:PGU720996 PQQ720995:PQQ720996 QAM720995:QAM720996 QKI720995:QKI720996 QUE720995:QUE720996 REA720995:REA720996 RNW720995:RNW720996 RXS720995:RXS720996 SHO720995:SHO720996 SRK720995:SRK720996 TBG720995:TBG720996 TLC720995:TLC720996 TUY720995:TUY720996 UEU720995:UEU720996 UOQ720995:UOQ720996 UYM720995:UYM720996 VII720995:VII720996 VSE720995:VSE720996 WCA720995:WCA720996 WLW720995:WLW720996 WVS720995:WVS720996 J786531:J786532 JG786531:JG786532 TC786531:TC786532 ACY786531:ACY786532 AMU786531:AMU786532 AWQ786531:AWQ786532 BGM786531:BGM786532 BQI786531:BQI786532 CAE786531:CAE786532 CKA786531:CKA786532 CTW786531:CTW786532 DDS786531:DDS786532 DNO786531:DNO786532 DXK786531:DXK786532 EHG786531:EHG786532 ERC786531:ERC786532 FAY786531:FAY786532 FKU786531:FKU786532 FUQ786531:FUQ786532 GEM786531:GEM786532 GOI786531:GOI786532 GYE786531:GYE786532 HIA786531:HIA786532 HRW786531:HRW786532 IBS786531:IBS786532 ILO786531:ILO786532 IVK786531:IVK786532 JFG786531:JFG786532 JPC786531:JPC786532 JYY786531:JYY786532 KIU786531:KIU786532 KSQ786531:KSQ786532 LCM786531:LCM786532 LMI786531:LMI786532 LWE786531:LWE786532 MGA786531:MGA786532 MPW786531:MPW786532 MZS786531:MZS786532 NJO786531:NJO786532 NTK786531:NTK786532 ODG786531:ODG786532 ONC786531:ONC786532 OWY786531:OWY786532 PGU786531:PGU786532 PQQ786531:PQQ786532 QAM786531:QAM786532 QKI786531:QKI786532 QUE786531:QUE786532 REA786531:REA786532 RNW786531:RNW786532 RXS786531:RXS786532 SHO786531:SHO786532 SRK786531:SRK786532 TBG786531:TBG786532 TLC786531:TLC786532 TUY786531:TUY786532 UEU786531:UEU786532 UOQ786531:UOQ786532 UYM786531:UYM786532 VII786531:VII786532 VSE786531:VSE786532 WCA786531:WCA786532 WLW786531:WLW786532 WVS786531:WVS786532 J852067:J852068 JG852067:JG852068 TC852067:TC852068 ACY852067:ACY852068 AMU852067:AMU852068 AWQ852067:AWQ852068 BGM852067:BGM852068 BQI852067:BQI852068 CAE852067:CAE852068 CKA852067:CKA852068 CTW852067:CTW852068 DDS852067:DDS852068 DNO852067:DNO852068 DXK852067:DXK852068 EHG852067:EHG852068 ERC852067:ERC852068 FAY852067:FAY852068 FKU852067:FKU852068 FUQ852067:FUQ852068 GEM852067:GEM852068 GOI852067:GOI852068 GYE852067:GYE852068 HIA852067:HIA852068 HRW852067:HRW852068 IBS852067:IBS852068 ILO852067:ILO852068 IVK852067:IVK852068 JFG852067:JFG852068 JPC852067:JPC852068 JYY852067:JYY852068 KIU852067:KIU852068 KSQ852067:KSQ852068 LCM852067:LCM852068 LMI852067:LMI852068 LWE852067:LWE852068 MGA852067:MGA852068 MPW852067:MPW852068 MZS852067:MZS852068 NJO852067:NJO852068 NTK852067:NTK852068 ODG852067:ODG852068 ONC852067:ONC852068 OWY852067:OWY852068 PGU852067:PGU852068 PQQ852067:PQQ852068 QAM852067:QAM852068 QKI852067:QKI852068 QUE852067:QUE852068 REA852067:REA852068 RNW852067:RNW852068 RXS852067:RXS852068 SHO852067:SHO852068 SRK852067:SRK852068 TBG852067:TBG852068 TLC852067:TLC852068 TUY852067:TUY852068 UEU852067:UEU852068 UOQ852067:UOQ852068 UYM852067:UYM852068 VII852067:VII852068 VSE852067:VSE852068 WCA852067:WCA852068 WLW852067:WLW852068 WVS852067:WVS852068 J917603:J917604 JG917603:JG917604 TC917603:TC917604 ACY917603:ACY917604 AMU917603:AMU917604 AWQ917603:AWQ917604 BGM917603:BGM917604 BQI917603:BQI917604 CAE917603:CAE917604 CKA917603:CKA917604 CTW917603:CTW917604 DDS917603:DDS917604 DNO917603:DNO917604 DXK917603:DXK917604 EHG917603:EHG917604 ERC917603:ERC917604 FAY917603:FAY917604 FKU917603:FKU917604 FUQ917603:FUQ917604 GEM917603:GEM917604 GOI917603:GOI917604 GYE917603:GYE917604 HIA917603:HIA917604 HRW917603:HRW917604 IBS917603:IBS917604 ILO917603:ILO917604 IVK917603:IVK917604 JFG917603:JFG917604 JPC917603:JPC917604 JYY917603:JYY917604 KIU917603:KIU917604 KSQ917603:KSQ917604 LCM917603:LCM917604 LMI917603:LMI917604 LWE917603:LWE917604 MGA917603:MGA917604 MPW917603:MPW917604 MZS917603:MZS917604 NJO917603:NJO917604 NTK917603:NTK917604 ODG917603:ODG917604 ONC917603:ONC917604 OWY917603:OWY917604 PGU917603:PGU917604 PQQ917603:PQQ917604 QAM917603:QAM917604 QKI917603:QKI917604 QUE917603:QUE917604 REA917603:REA917604 RNW917603:RNW917604 RXS917603:RXS917604 SHO917603:SHO917604 SRK917603:SRK917604 TBG917603:TBG917604 TLC917603:TLC917604 TUY917603:TUY917604 UEU917603:UEU917604 UOQ917603:UOQ917604 UYM917603:UYM917604 VII917603:VII917604 VSE917603:VSE917604 WCA917603:WCA917604 WLW917603:WLW917604 WVS917603:WVS917604 J983139:J983140 JG983139:JG983140 TC983139:TC983140 ACY983139:ACY983140 AMU983139:AMU983140 AWQ983139:AWQ983140 BGM983139:BGM983140 BQI983139:BQI983140 CAE983139:CAE983140 CKA983139:CKA983140 CTW983139:CTW983140 DDS983139:DDS983140 DNO983139:DNO983140 DXK983139:DXK983140 EHG983139:EHG983140 ERC983139:ERC983140 FAY983139:FAY983140 FKU983139:FKU983140 FUQ983139:FUQ983140 GEM983139:GEM983140 GOI983139:GOI983140 GYE983139:GYE983140 HIA983139:HIA983140 HRW983139:HRW983140 IBS983139:IBS983140 ILO983139:ILO983140 IVK983139:IVK983140 JFG983139:JFG983140 JPC983139:JPC983140 JYY983139:JYY983140 KIU983139:KIU983140 KSQ983139:KSQ983140 LCM983139:LCM983140 LMI983139:LMI983140 LWE983139:LWE983140 MGA983139:MGA983140 MPW983139:MPW983140 MZS983139:MZS983140 NJO983139:NJO983140 NTK983139:NTK983140 ODG983139:ODG983140 ONC983139:ONC983140 OWY983139:OWY983140 PGU983139:PGU983140 PQQ983139:PQQ983140 QAM983139:QAM983140 QKI983139:QKI983140 QUE983139:QUE983140 REA983139:REA983140 RNW983139:RNW983140 RXS983139:RXS983140 SHO983139:SHO983140 SRK983139:SRK983140 TBG983139:TBG983140 TLC983139:TLC983140 TUY983139:TUY983140 UEU983139:UEU983140 UOQ983139:UOQ983140 UYM983139:UYM983140 VII983139:VII983140 VSE983139:VSE983140 WCA983139:WCA983140 WLW983139:WLW983140 WVS983139:WVS983140 WVS983134:WVS983135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J65630:J65631 JG65630:JG65631 TC65630:TC65631 ACY65630:ACY65631 AMU65630:AMU65631 AWQ65630:AWQ65631 BGM65630:BGM65631 BQI65630:BQI65631 CAE65630:CAE65631 CKA65630:CKA65631 CTW65630:CTW65631 DDS65630:DDS65631 DNO65630:DNO65631 DXK65630:DXK65631 EHG65630:EHG65631 ERC65630:ERC65631 FAY65630:FAY65631 FKU65630:FKU65631 FUQ65630:FUQ65631 GEM65630:GEM65631 GOI65630:GOI65631 GYE65630:GYE65631 HIA65630:HIA65631 HRW65630:HRW65631 IBS65630:IBS65631 ILO65630:ILO65631 IVK65630:IVK65631 JFG65630:JFG65631 JPC65630:JPC65631 JYY65630:JYY65631 KIU65630:KIU65631 KSQ65630:KSQ65631 LCM65630:LCM65631 LMI65630:LMI65631 LWE65630:LWE65631 MGA65630:MGA65631 MPW65630:MPW65631 MZS65630:MZS65631 NJO65630:NJO65631 NTK65630:NTK65631 ODG65630:ODG65631 ONC65630:ONC65631 OWY65630:OWY65631 PGU65630:PGU65631 PQQ65630:PQQ65631 QAM65630:QAM65631 QKI65630:QKI65631 QUE65630:QUE65631 REA65630:REA65631 RNW65630:RNW65631 RXS65630:RXS65631 SHO65630:SHO65631 SRK65630:SRK65631 TBG65630:TBG65631 TLC65630:TLC65631 TUY65630:TUY65631 UEU65630:UEU65631 UOQ65630:UOQ65631 UYM65630:UYM65631 VII65630:VII65631 VSE65630:VSE65631 WCA65630:WCA65631 WLW65630:WLW65631 WVS65630:WVS65631 J131166:J131167 JG131166:JG131167 TC131166:TC131167 ACY131166:ACY131167 AMU131166:AMU131167 AWQ131166:AWQ131167 BGM131166:BGM131167 BQI131166:BQI131167 CAE131166:CAE131167 CKA131166:CKA131167 CTW131166:CTW131167 DDS131166:DDS131167 DNO131166:DNO131167 DXK131166:DXK131167 EHG131166:EHG131167 ERC131166:ERC131167 FAY131166:FAY131167 FKU131166:FKU131167 FUQ131166:FUQ131167 GEM131166:GEM131167 GOI131166:GOI131167 GYE131166:GYE131167 HIA131166:HIA131167 HRW131166:HRW131167 IBS131166:IBS131167 ILO131166:ILO131167 IVK131166:IVK131167 JFG131166:JFG131167 JPC131166:JPC131167 JYY131166:JYY131167 KIU131166:KIU131167 KSQ131166:KSQ131167 LCM131166:LCM131167 LMI131166:LMI131167 LWE131166:LWE131167 MGA131166:MGA131167 MPW131166:MPW131167 MZS131166:MZS131167 NJO131166:NJO131167 NTK131166:NTK131167 ODG131166:ODG131167 ONC131166:ONC131167 OWY131166:OWY131167 PGU131166:PGU131167 PQQ131166:PQQ131167 QAM131166:QAM131167 QKI131166:QKI131167 QUE131166:QUE131167 REA131166:REA131167 RNW131166:RNW131167 RXS131166:RXS131167 SHO131166:SHO131167 SRK131166:SRK131167 TBG131166:TBG131167 TLC131166:TLC131167 TUY131166:TUY131167 UEU131166:UEU131167 UOQ131166:UOQ131167 UYM131166:UYM131167 VII131166:VII131167 VSE131166:VSE131167 WCA131166:WCA131167 WLW131166:WLW131167 WVS131166:WVS131167 J196702:J196703 JG196702:JG196703 TC196702:TC196703 ACY196702:ACY196703 AMU196702:AMU196703 AWQ196702:AWQ196703 BGM196702:BGM196703 BQI196702:BQI196703 CAE196702:CAE196703 CKA196702:CKA196703 CTW196702:CTW196703 DDS196702:DDS196703 DNO196702:DNO196703 DXK196702:DXK196703 EHG196702:EHG196703 ERC196702:ERC196703 FAY196702:FAY196703 FKU196702:FKU196703 FUQ196702:FUQ196703 GEM196702:GEM196703 GOI196702:GOI196703 GYE196702:GYE196703 HIA196702:HIA196703 HRW196702:HRW196703 IBS196702:IBS196703 ILO196702:ILO196703 IVK196702:IVK196703 JFG196702:JFG196703 JPC196702:JPC196703 JYY196702:JYY196703 KIU196702:KIU196703 KSQ196702:KSQ196703 LCM196702:LCM196703 LMI196702:LMI196703 LWE196702:LWE196703 MGA196702:MGA196703 MPW196702:MPW196703 MZS196702:MZS196703 NJO196702:NJO196703 NTK196702:NTK196703 ODG196702:ODG196703 ONC196702:ONC196703 OWY196702:OWY196703 PGU196702:PGU196703 PQQ196702:PQQ196703 QAM196702:QAM196703 QKI196702:QKI196703 QUE196702:QUE196703 REA196702:REA196703 RNW196702:RNW196703 RXS196702:RXS196703 SHO196702:SHO196703 SRK196702:SRK196703 TBG196702:TBG196703 TLC196702:TLC196703 TUY196702:TUY196703 UEU196702:UEU196703 UOQ196702:UOQ196703 UYM196702:UYM196703 VII196702:VII196703 VSE196702:VSE196703 WCA196702:WCA196703 WLW196702:WLW196703 WVS196702:WVS196703 J262238:J262239 JG262238:JG262239 TC262238:TC262239 ACY262238:ACY262239 AMU262238:AMU262239 AWQ262238:AWQ262239 BGM262238:BGM262239 BQI262238:BQI262239 CAE262238:CAE262239 CKA262238:CKA262239 CTW262238:CTW262239 DDS262238:DDS262239 DNO262238:DNO262239 DXK262238:DXK262239 EHG262238:EHG262239 ERC262238:ERC262239 FAY262238:FAY262239 FKU262238:FKU262239 FUQ262238:FUQ262239 GEM262238:GEM262239 GOI262238:GOI262239 GYE262238:GYE262239 HIA262238:HIA262239 HRW262238:HRW262239 IBS262238:IBS262239 ILO262238:ILO262239 IVK262238:IVK262239 JFG262238:JFG262239 JPC262238:JPC262239 JYY262238:JYY262239 KIU262238:KIU262239 KSQ262238:KSQ262239 LCM262238:LCM262239 LMI262238:LMI262239 LWE262238:LWE262239 MGA262238:MGA262239 MPW262238:MPW262239 MZS262238:MZS262239 NJO262238:NJO262239 NTK262238:NTK262239 ODG262238:ODG262239 ONC262238:ONC262239 OWY262238:OWY262239 PGU262238:PGU262239 PQQ262238:PQQ262239 QAM262238:QAM262239 QKI262238:QKI262239 QUE262238:QUE262239 REA262238:REA262239 RNW262238:RNW262239 RXS262238:RXS262239 SHO262238:SHO262239 SRK262238:SRK262239 TBG262238:TBG262239 TLC262238:TLC262239 TUY262238:TUY262239 UEU262238:UEU262239 UOQ262238:UOQ262239 UYM262238:UYM262239 VII262238:VII262239 VSE262238:VSE262239 WCA262238:WCA262239 WLW262238:WLW262239 WVS262238:WVS262239 J327774:J327775 JG327774:JG327775 TC327774:TC327775 ACY327774:ACY327775 AMU327774:AMU327775 AWQ327774:AWQ327775 BGM327774:BGM327775 BQI327774:BQI327775 CAE327774:CAE327775 CKA327774:CKA327775 CTW327774:CTW327775 DDS327774:DDS327775 DNO327774:DNO327775 DXK327774:DXK327775 EHG327774:EHG327775 ERC327774:ERC327775 FAY327774:FAY327775 FKU327774:FKU327775 FUQ327774:FUQ327775 GEM327774:GEM327775 GOI327774:GOI327775 GYE327774:GYE327775 HIA327774:HIA327775 HRW327774:HRW327775 IBS327774:IBS327775 ILO327774:ILO327775 IVK327774:IVK327775 JFG327774:JFG327775 JPC327774:JPC327775 JYY327774:JYY327775 KIU327774:KIU327775 KSQ327774:KSQ327775 LCM327774:LCM327775 LMI327774:LMI327775 LWE327774:LWE327775 MGA327774:MGA327775 MPW327774:MPW327775 MZS327774:MZS327775 NJO327774:NJO327775 NTK327774:NTK327775 ODG327774:ODG327775 ONC327774:ONC327775 OWY327774:OWY327775 PGU327774:PGU327775 PQQ327774:PQQ327775 QAM327774:QAM327775 QKI327774:QKI327775 QUE327774:QUE327775 REA327774:REA327775 RNW327774:RNW327775 RXS327774:RXS327775 SHO327774:SHO327775 SRK327774:SRK327775 TBG327774:TBG327775 TLC327774:TLC327775 TUY327774:TUY327775 UEU327774:UEU327775 UOQ327774:UOQ327775 UYM327774:UYM327775 VII327774:VII327775 VSE327774:VSE327775 WCA327774:WCA327775 WLW327774:WLW327775 WVS327774:WVS327775 J393310:J393311 JG393310:JG393311 TC393310:TC393311 ACY393310:ACY393311 AMU393310:AMU393311 AWQ393310:AWQ393311 BGM393310:BGM393311 BQI393310:BQI393311 CAE393310:CAE393311 CKA393310:CKA393311 CTW393310:CTW393311 DDS393310:DDS393311 DNO393310:DNO393311 DXK393310:DXK393311 EHG393310:EHG393311 ERC393310:ERC393311 FAY393310:FAY393311 FKU393310:FKU393311 FUQ393310:FUQ393311 GEM393310:GEM393311 GOI393310:GOI393311 GYE393310:GYE393311 HIA393310:HIA393311 HRW393310:HRW393311 IBS393310:IBS393311 ILO393310:ILO393311 IVK393310:IVK393311 JFG393310:JFG393311 JPC393310:JPC393311 JYY393310:JYY393311 KIU393310:KIU393311 KSQ393310:KSQ393311 LCM393310:LCM393311 LMI393310:LMI393311 LWE393310:LWE393311 MGA393310:MGA393311 MPW393310:MPW393311 MZS393310:MZS393311 NJO393310:NJO393311 NTK393310:NTK393311 ODG393310:ODG393311 ONC393310:ONC393311 OWY393310:OWY393311 PGU393310:PGU393311 PQQ393310:PQQ393311 QAM393310:QAM393311 QKI393310:QKI393311 QUE393310:QUE393311 REA393310:REA393311 RNW393310:RNW393311 RXS393310:RXS393311 SHO393310:SHO393311 SRK393310:SRK393311 TBG393310:TBG393311 TLC393310:TLC393311 TUY393310:TUY393311 UEU393310:UEU393311 UOQ393310:UOQ393311 UYM393310:UYM393311 VII393310:VII393311 VSE393310:VSE393311 WCA393310:WCA393311 WLW393310:WLW393311 WVS393310:WVS393311 J458846:J458847 JG458846:JG458847 TC458846:TC458847 ACY458846:ACY458847 AMU458846:AMU458847 AWQ458846:AWQ458847 BGM458846:BGM458847 BQI458846:BQI458847 CAE458846:CAE458847 CKA458846:CKA458847 CTW458846:CTW458847 DDS458846:DDS458847 DNO458846:DNO458847 DXK458846:DXK458847 EHG458846:EHG458847 ERC458846:ERC458847 FAY458846:FAY458847 FKU458846:FKU458847 FUQ458846:FUQ458847 GEM458846:GEM458847 GOI458846:GOI458847 GYE458846:GYE458847 HIA458846:HIA458847 HRW458846:HRW458847 IBS458846:IBS458847 ILO458846:ILO458847 IVK458846:IVK458847 JFG458846:JFG458847 JPC458846:JPC458847 JYY458846:JYY458847 KIU458846:KIU458847 KSQ458846:KSQ458847 LCM458846:LCM458847 LMI458846:LMI458847 LWE458846:LWE458847 MGA458846:MGA458847 MPW458846:MPW458847 MZS458846:MZS458847 NJO458846:NJO458847 NTK458846:NTK458847 ODG458846:ODG458847 ONC458846:ONC458847 OWY458846:OWY458847 PGU458846:PGU458847 PQQ458846:PQQ458847 QAM458846:QAM458847 QKI458846:QKI458847 QUE458846:QUE458847 REA458846:REA458847 RNW458846:RNW458847 RXS458846:RXS458847 SHO458846:SHO458847 SRK458846:SRK458847 TBG458846:TBG458847 TLC458846:TLC458847 TUY458846:TUY458847 UEU458846:UEU458847 UOQ458846:UOQ458847 UYM458846:UYM458847 VII458846:VII458847 VSE458846:VSE458847 WCA458846:WCA458847 WLW458846:WLW458847 WVS458846:WVS458847 J524382:J524383 JG524382:JG524383 TC524382:TC524383 ACY524382:ACY524383 AMU524382:AMU524383 AWQ524382:AWQ524383 BGM524382:BGM524383 BQI524382:BQI524383 CAE524382:CAE524383 CKA524382:CKA524383 CTW524382:CTW524383 DDS524382:DDS524383 DNO524382:DNO524383 DXK524382:DXK524383 EHG524382:EHG524383 ERC524382:ERC524383 FAY524382:FAY524383 FKU524382:FKU524383 FUQ524382:FUQ524383 GEM524382:GEM524383 GOI524382:GOI524383 GYE524382:GYE524383 HIA524382:HIA524383 HRW524382:HRW524383 IBS524382:IBS524383 ILO524382:ILO524383 IVK524382:IVK524383 JFG524382:JFG524383 JPC524382:JPC524383 JYY524382:JYY524383 KIU524382:KIU524383 KSQ524382:KSQ524383 LCM524382:LCM524383 LMI524382:LMI524383 LWE524382:LWE524383 MGA524382:MGA524383 MPW524382:MPW524383 MZS524382:MZS524383 NJO524382:NJO524383 NTK524382:NTK524383 ODG524382:ODG524383 ONC524382:ONC524383 OWY524382:OWY524383 PGU524382:PGU524383 PQQ524382:PQQ524383 QAM524382:QAM524383 QKI524382:QKI524383 QUE524382:QUE524383 REA524382:REA524383 RNW524382:RNW524383 RXS524382:RXS524383 SHO524382:SHO524383 SRK524382:SRK524383 TBG524382:TBG524383 TLC524382:TLC524383 TUY524382:TUY524383 UEU524382:UEU524383 UOQ524382:UOQ524383 UYM524382:UYM524383 VII524382:VII524383 VSE524382:VSE524383 WCA524382:WCA524383 WLW524382:WLW524383 WVS524382:WVS524383 J589918:J589919 JG589918:JG589919 TC589918:TC589919 ACY589918:ACY589919 AMU589918:AMU589919 AWQ589918:AWQ589919 BGM589918:BGM589919 BQI589918:BQI589919 CAE589918:CAE589919 CKA589918:CKA589919 CTW589918:CTW589919 DDS589918:DDS589919 DNO589918:DNO589919 DXK589918:DXK589919 EHG589918:EHG589919 ERC589918:ERC589919 FAY589918:FAY589919 FKU589918:FKU589919 FUQ589918:FUQ589919 GEM589918:GEM589919 GOI589918:GOI589919 GYE589918:GYE589919 HIA589918:HIA589919 HRW589918:HRW589919 IBS589918:IBS589919 ILO589918:ILO589919 IVK589918:IVK589919 JFG589918:JFG589919 JPC589918:JPC589919 JYY589918:JYY589919 KIU589918:KIU589919 KSQ589918:KSQ589919 LCM589918:LCM589919 LMI589918:LMI589919 LWE589918:LWE589919 MGA589918:MGA589919 MPW589918:MPW589919 MZS589918:MZS589919 NJO589918:NJO589919 NTK589918:NTK589919 ODG589918:ODG589919 ONC589918:ONC589919 OWY589918:OWY589919 PGU589918:PGU589919 PQQ589918:PQQ589919 QAM589918:QAM589919 QKI589918:QKI589919 QUE589918:QUE589919 REA589918:REA589919 RNW589918:RNW589919 RXS589918:RXS589919 SHO589918:SHO589919 SRK589918:SRK589919 TBG589918:TBG589919 TLC589918:TLC589919 TUY589918:TUY589919 UEU589918:UEU589919 UOQ589918:UOQ589919 UYM589918:UYM589919 VII589918:VII589919 VSE589918:VSE589919 WCA589918:WCA589919 WLW589918:WLW589919 WVS589918:WVS589919 J655454:J655455 JG655454:JG655455 TC655454:TC655455 ACY655454:ACY655455 AMU655454:AMU655455 AWQ655454:AWQ655455 BGM655454:BGM655455 BQI655454:BQI655455 CAE655454:CAE655455 CKA655454:CKA655455 CTW655454:CTW655455 DDS655454:DDS655455 DNO655454:DNO655455 DXK655454:DXK655455 EHG655454:EHG655455 ERC655454:ERC655455 FAY655454:FAY655455 FKU655454:FKU655455 FUQ655454:FUQ655455 GEM655454:GEM655455 GOI655454:GOI655455 GYE655454:GYE655455 HIA655454:HIA655455 HRW655454:HRW655455 IBS655454:IBS655455 ILO655454:ILO655455 IVK655454:IVK655455 JFG655454:JFG655455 JPC655454:JPC655455 JYY655454:JYY655455 KIU655454:KIU655455 KSQ655454:KSQ655455 LCM655454:LCM655455 LMI655454:LMI655455 LWE655454:LWE655455 MGA655454:MGA655455 MPW655454:MPW655455 MZS655454:MZS655455 NJO655454:NJO655455 NTK655454:NTK655455 ODG655454:ODG655455 ONC655454:ONC655455 OWY655454:OWY655455 PGU655454:PGU655455 PQQ655454:PQQ655455 QAM655454:QAM655455 QKI655454:QKI655455 QUE655454:QUE655455 REA655454:REA655455 RNW655454:RNW655455 RXS655454:RXS655455 SHO655454:SHO655455 SRK655454:SRK655455 TBG655454:TBG655455 TLC655454:TLC655455 TUY655454:TUY655455 UEU655454:UEU655455 UOQ655454:UOQ655455 UYM655454:UYM655455 VII655454:VII655455 VSE655454:VSE655455 WCA655454:WCA655455 WLW655454:WLW655455 WVS655454:WVS655455 J720990:J720991 JG720990:JG720991 TC720990:TC720991 ACY720990:ACY720991 AMU720990:AMU720991 AWQ720990:AWQ720991 BGM720990:BGM720991 BQI720990:BQI720991 CAE720990:CAE720991 CKA720990:CKA720991 CTW720990:CTW720991 DDS720990:DDS720991 DNO720990:DNO720991 DXK720990:DXK720991 EHG720990:EHG720991 ERC720990:ERC720991 FAY720990:FAY720991 FKU720990:FKU720991 FUQ720990:FUQ720991 GEM720990:GEM720991 GOI720990:GOI720991 GYE720990:GYE720991 HIA720990:HIA720991 HRW720990:HRW720991 IBS720990:IBS720991 ILO720990:ILO720991 IVK720990:IVK720991 JFG720990:JFG720991 JPC720990:JPC720991 JYY720990:JYY720991 KIU720990:KIU720991 KSQ720990:KSQ720991 LCM720990:LCM720991 LMI720990:LMI720991 LWE720990:LWE720991 MGA720990:MGA720991 MPW720990:MPW720991 MZS720990:MZS720991 NJO720990:NJO720991 NTK720990:NTK720991 ODG720990:ODG720991 ONC720990:ONC720991 OWY720990:OWY720991 PGU720990:PGU720991 PQQ720990:PQQ720991 QAM720990:QAM720991 QKI720990:QKI720991 QUE720990:QUE720991 REA720990:REA720991 RNW720990:RNW720991 RXS720990:RXS720991 SHO720990:SHO720991 SRK720990:SRK720991 TBG720990:TBG720991 TLC720990:TLC720991 TUY720990:TUY720991 UEU720990:UEU720991 UOQ720990:UOQ720991 UYM720990:UYM720991 VII720990:VII720991 VSE720990:VSE720991 WCA720990:WCA720991 WLW720990:WLW720991 WVS720990:WVS720991 J786526:J786527 JG786526:JG786527 TC786526:TC786527 ACY786526:ACY786527 AMU786526:AMU786527 AWQ786526:AWQ786527 BGM786526:BGM786527 BQI786526:BQI786527 CAE786526:CAE786527 CKA786526:CKA786527 CTW786526:CTW786527 DDS786526:DDS786527 DNO786526:DNO786527 DXK786526:DXK786527 EHG786526:EHG786527 ERC786526:ERC786527 FAY786526:FAY786527 FKU786526:FKU786527 FUQ786526:FUQ786527 GEM786526:GEM786527 GOI786526:GOI786527 GYE786526:GYE786527 HIA786526:HIA786527 HRW786526:HRW786527 IBS786526:IBS786527 ILO786526:ILO786527 IVK786526:IVK786527 JFG786526:JFG786527 JPC786526:JPC786527 JYY786526:JYY786527 KIU786526:KIU786527 KSQ786526:KSQ786527 LCM786526:LCM786527 LMI786526:LMI786527 LWE786526:LWE786527 MGA786526:MGA786527 MPW786526:MPW786527 MZS786526:MZS786527 NJO786526:NJO786527 NTK786526:NTK786527 ODG786526:ODG786527 ONC786526:ONC786527 OWY786526:OWY786527 PGU786526:PGU786527 PQQ786526:PQQ786527 QAM786526:QAM786527 QKI786526:QKI786527 QUE786526:QUE786527 REA786526:REA786527 RNW786526:RNW786527 RXS786526:RXS786527 SHO786526:SHO786527 SRK786526:SRK786527 TBG786526:TBG786527 TLC786526:TLC786527 TUY786526:TUY786527 UEU786526:UEU786527 UOQ786526:UOQ786527 UYM786526:UYM786527 VII786526:VII786527 VSE786526:VSE786527 WCA786526:WCA786527 WLW786526:WLW786527 WVS786526:WVS786527 J852062:J852063 JG852062:JG852063 TC852062:TC852063 ACY852062:ACY852063 AMU852062:AMU852063 AWQ852062:AWQ852063 BGM852062:BGM852063 BQI852062:BQI852063 CAE852062:CAE852063 CKA852062:CKA852063 CTW852062:CTW852063 DDS852062:DDS852063 DNO852062:DNO852063 DXK852062:DXK852063 EHG852062:EHG852063 ERC852062:ERC852063 FAY852062:FAY852063 FKU852062:FKU852063 FUQ852062:FUQ852063 GEM852062:GEM852063 GOI852062:GOI852063 GYE852062:GYE852063 HIA852062:HIA852063 HRW852062:HRW852063 IBS852062:IBS852063 ILO852062:ILO852063 IVK852062:IVK852063 JFG852062:JFG852063 JPC852062:JPC852063 JYY852062:JYY852063 KIU852062:KIU852063 KSQ852062:KSQ852063 LCM852062:LCM852063 LMI852062:LMI852063 LWE852062:LWE852063 MGA852062:MGA852063 MPW852062:MPW852063 MZS852062:MZS852063 NJO852062:NJO852063 NTK852062:NTK852063 ODG852062:ODG852063 ONC852062:ONC852063 OWY852062:OWY852063 PGU852062:PGU852063 PQQ852062:PQQ852063 QAM852062:QAM852063 QKI852062:QKI852063 QUE852062:QUE852063 REA852062:REA852063 RNW852062:RNW852063 RXS852062:RXS852063 SHO852062:SHO852063 SRK852062:SRK852063 TBG852062:TBG852063 TLC852062:TLC852063 TUY852062:TUY852063 UEU852062:UEU852063 UOQ852062:UOQ852063 UYM852062:UYM852063 VII852062:VII852063 VSE852062:VSE852063 WCA852062:WCA852063 WLW852062:WLW852063 WVS852062:WVS852063 J917598:J917599 JG917598:JG917599 TC917598:TC917599 ACY917598:ACY917599 AMU917598:AMU917599 AWQ917598:AWQ917599 BGM917598:BGM917599 BQI917598:BQI917599 CAE917598:CAE917599 CKA917598:CKA917599 CTW917598:CTW917599 DDS917598:DDS917599 DNO917598:DNO917599 DXK917598:DXK917599 EHG917598:EHG917599 ERC917598:ERC917599 FAY917598:FAY917599 FKU917598:FKU917599 FUQ917598:FUQ917599 GEM917598:GEM917599 GOI917598:GOI917599 GYE917598:GYE917599 HIA917598:HIA917599 HRW917598:HRW917599 IBS917598:IBS917599 ILO917598:ILO917599 IVK917598:IVK917599 JFG917598:JFG917599 JPC917598:JPC917599 JYY917598:JYY917599 KIU917598:KIU917599 KSQ917598:KSQ917599 LCM917598:LCM917599 LMI917598:LMI917599 LWE917598:LWE917599 MGA917598:MGA917599 MPW917598:MPW917599 MZS917598:MZS917599 NJO917598:NJO917599 NTK917598:NTK917599 ODG917598:ODG917599 ONC917598:ONC917599 OWY917598:OWY917599 PGU917598:PGU917599 PQQ917598:PQQ917599 QAM917598:QAM917599 QKI917598:QKI917599 QUE917598:QUE917599 REA917598:REA917599 RNW917598:RNW917599 RXS917598:RXS917599 SHO917598:SHO917599 SRK917598:SRK917599 TBG917598:TBG917599 TLC917598:TLC917599 TUY917598:TUY917599 UEU917598:UEU917599 UOQ917598:UOQ917599 UYM917598:UYM917599 VII917598:VII917599 VSE917598:VSE917599 WCA917598:WCA917599 WLW917598:WLW917599 WVS917598:WVS917599 J983134:J983135 JG983134:JG983135 TC983134:TC983135 ACY983134:ACY983135 AMU983134:AMU983135 AWQ983134:AWQ983135 BGM983134:BGM983135 BQI983134:BQI983135 CAE983134:CAE983135 CKA983134:CKA983135 CTW983134:CTW983135 DDS983134:DDS983135 DNO983134:DNO983135 DXK983134:DXK983135 EHG983134:EHG983135 ERC983134:ERC983135 FAY983134:FAY983135 FKU983134:FKU983135 FUQ983134:FUQ983135 GEM983134:GEM983135 GOI983134:GOI983135 GYE983134:GYE983135 HIA983134:HIA983135 HRW983134:HRW983135 IBS983134:IBS983135 ILO983134:ILO983135 IVK983134:IVK983135 JFG983134:JFG983135 JPC983134:JPC983135 JYY983134:JYY983135 KIU983134:KIU983135 KSQ983134:KSQ983135 LCM983134:LCM983135 LMI983134:LMI983135 LWE983134:LWE983135 MGA983134:MGA983135 MPW983134:MPW983135 MZS983134:MZS983135 NJO983134:NJO983135 NTK983134:NTK983135 ODG983134:ODG983135 ONC983134:ONC983135 OWY983134:OWY983135 PGU983134:PGU983135 PQQ983134:PQQ983135 QAM983134:QAM983135 QKI983134:QKI983135 QUE983134:QUE983135 REA983134:REA983135 RNW983134:RNW983135 RXS983134:RXS983135 SHO983134:SHO983135 SRK983134:SRK983135 TBG983134:TBG983135 TLC983134:TLC983135 TUY983134:TUY983135 UEU983134:UEU983135 UOQ983134:UOQ983135 UYM983134:UYM983135 VII983134:VII983135 VSE983134:VSE983135 WCA983134:WCA983135 WLW983134:WLW983135">
      <formula1>0</formula1>
    </dataValidation>
    <dataValidation type="list" allowBlank="1" showInputMessage="1" showErrorMessage="1" sqref="WVT983051:WVT983052 WLX983051:WLX983052 WCB983051:WCB983052 VSF983051:VSF983052 VIJ983051:VIJ983052 UYN983051:UYN983052 UOR983051:UOR983052 UEV983051:UEV983052 TUZ983051:TUZ983052 TLD983051:TLD983052 TBH983051:TBH983052 SRL983051:SRL983052 SHP983051:SHP983052 RXT983051:RXT983052 RNX983051:RNX983052 REB983051:REB983052 QUF983051:QUF983052 QKJ983051:QKJ983052 QAN983051:QAN983052 PQR983051:PQR983052 PGV983051:PGV983052 OWZ983051:OWZ983052 OND983051:OND983052 ODH983051:ODH983052 NTL983051:NTL983052 NJP983051:NJP983052 MZT983051:MZT983052 MPX983051:MPX983052 MGB983051:MGB983052 LWF983051:LWF983052 LMJ983051:LMJ983052 LCN983051:LCN983052 KSR983051:KSR983052 KIV983051:KIV983052 JYZ983051:JYZ983052 JPD983051:JPD983052 JFH983051:JFH983052 IVL983051:IVL983052 ILP983051:ILP983052 IBT983051:IBT983052 HRX983051:HRX983052 HIB983051:HIB983052 GYF983051:GYF983052 GOJ983051:GOJ983052 GEN983051:GEN983052 FUR983051:FUR983052 FKV983051:FKV983052 FAZ983051:FAZ983052 ERD983051:ERD983052 EHH983051:EHH983052 DXL983051:DXL983052 DNP983051:DNP983052 DDT983051:DDT983052 CTX983051:CTX983052 CKB983051:CKB983052 CAF983051:CAF983052 BQJ983051:BQJ983052 BGN983051:BGN983052 AWR983051:AWR983052 AMV983051:AMV983052 ACZ983051:ACZ983052 TD983051:TD983052 JH983051:JH983052 K983051:K983052 WVT917515:WVT917516 WLX917515:WLX917516 WCB917515:WCB917516 VSF917515:VSF917516 VIJ917515:VIJ917516 UYN917515:UYN917516 UOR917515:UOR917516 UEV917515:UEV917516 TUZ917515:TUZ917516 TLD917515:TLD917516 TBH917515:TBH917516 SRL917515:SRL917516 SHP917515:SHP917516 RXT917515:RXT917516 RNX917515:RNX917516 REB917515:REB917516 QUF917515:QUF917516 QKJ917515:QKJ917516 QAN917515:QAN917516 PQR917515:PQR917516 PGV917515:PGV917516 OWZ917515:OWZ917516 OND917515:OND917516 ODH917515:ODH917516 NTL917515:NTL917516 NJP917515:NJP917516 MZT917515:MZT917516 MPX917515:MPX917516 MGB917515:MGB917516 LWF917515:LWF917516 LMJ917515:LMJ917516 LCN917515:LCN917516 KSR917515:KSR917516 KIV917515:KIV917516 JYZ917515:JYZ917516 JPD917515:JPD917516 JFH917515:JFH917516 IVL917515:IVL917516 ILP917515:ILP917516 IBT917515:IBT917516 HRX917515:HRX917516 HIB917515:HIB917516 GYF917515:GYF917516 GOJ917515:GOJ917516 GEN917515:GEN917516 FUR917515:FUR917516 FKV917515:FKV917516 FAZ917515:FAZ917516 ERD917515:ERD917516 EHH917515:EHH917516 DXL917515:DXL917516 DNP917515:DNP917516 DDT917515:DDT917516 CTX917515:CTX917516 CKB917515:CKB917516 CAF917515:CAF917516 BQJ917515:BQJ917516 BGN917515:BGN917516 AWR917515:AWR917516 AMV917515:AMV917516 ACZ917515:ACZ917516 TD917515:TD917516 JH917515:JH917516 K917515:K917516 WVT851979:WVT851980 WLX851979:WLX851980 WCB851979:WCB851980 VSF851979:VSF851980 VIJ851979:VIJ851980 UYN851979:UYN851980 UOR851979:UOR851980 UEV851979:UEV851980 TUZ851979:TUZ851980 TLD851979:TLD851980 TBH851979:TBH851980 SRL851979:SRL851980 SHP851979:SHP851980 RXT851979:RXT851980 RNX851979:RNX851980 REB851979:REB851980 QUF851979:QUF851980 QKJ851979:QKJ851980 QAN851979:QAN851980 PQR851979:PQR851980 PGV851979:PGV851980 OWZ851979:OWZ851980 OND851979:OND851980 ODH851979:ODH851980 NTL851979:NTL851980 NJP851979:NJP851980 MZT851979:MZT851980 MPX851979:MPX851980 MGB851979:MGB851980 LWF851979:LWF851980 LMJ851979:LMJ851980 LCN851979:LCN851980 KSR851979:KSR851980 KIV851979:KIV851980 JYZ851979:JYZ851980 JPD851979:JPD851980 JFH851979:JFH851980 IVL851979:IVL851980 ILP851979:ILP851980 IBT851979:IBT851980 HRX851979:HRX851980 HIB851979:HIB851980 GYF851979:GYF851980 GOJ851979:GOJ851980 GEN851979:GEN851980 FUR851979:FUR851980 FKV851979:FKV851980 FAZ851979:FAZ851980 ERD851979:ERD851980 EHH851979:EHH851980 DXL851979:DXL851980 DNP851979:DNP851980 DDT851979:DDT851980 CTX851979:CTX851980 CKB851979:CKB851980 CAF851979:CAF851980 BQJ851979:BQJ851980 BGN851979:BGN851980 AWR851979:AWR851980 AMV851979:AMV851980 ACZ851979:ACZ851980 TD851979:TD851980 JH851979:JH851980 K851979:K851980 WVT786443:WVT786444 WLX786443:WLX786444 WCB786443:WCB786444 VSF786443:VSF786444 VIJ786443:VIJ786444 UYN786443:UYN786444 UOR786443:UOR786444 UEV786443:UEV786444 TUZ786443:TUZ786444 TLD786443:TLD786444 TBH786443:TBH786444 SRL786443:SRL786444 SHP786443:SHP786444 RXT786443:RXT786444 RNX786443:RNX786444 REB786443:REB786444 QUF786443:QUF786444 QKJ786443:QKJ786444 QAN786443:QAN786444 PQR786443:PQR786444 PGV786443:PGV786444 OWZ786443:OWZ786444 OND786443:OND786444 ODH786443:ODH786444 NTL786443:NTL786444 NJP786443:NJP786444 MZT786443:MZT786444 MPX786443:MPX786444 MGB786443:MGB786444 LWF786443:LWF786444 LMJ786443:LMJ786444 LCN786443:LCN786444 KSR786443:KSR786444 KIV786443:KIV786444 JYZ786443:JYZ786444 JPD786443:JPD786444 JFH786443:JFH786444 IVL786443:IVL786444 ILP786443:ILP786444 IBT786443:IBT786444 HRX786443:HRX786444 HIB786443:HIB786444 GYF786443:GYF786444 GOJ786443:GOJ786444 GEN786443:GEN786444 FUR786443:FUR786444 FKV786443:FKV786444 FAZ786443:FAZ786444 ERD786443:ERD786444 EHH786443:EHH786444 DXL786443:DXL786444 DNP786443:DNP786444 DDT786443:DDT786444 CTX786443:CTX786444 CKB786443:CKB786444 CAF786443:CAF786444 BQJ786443:BQJ786444 BGN786443:BGN786444 AWR786443:AWR786444 AMV786443:AMV786444 ACZ786443:ACZ786444 TD786443:TD786444 JH786443:JH786444 K786443:K786444 WVT720907:WVT720908 WLX720907:WLX720908 WCB720907:WCB720908 VSF720907:VSF720908 VIJ720907:VIJ720908 UYN720907:UYN720908 UOR720907:UOR720908 UEV720907:UEV720908 TUZ720907:TUZ720908 TLD720907:TLD720908 TBH720907:TBH720908 SRL720907:SRL720908 SHP720907:SHP720908 RXT720907:RXT720908 RNX720907:RNX720908 REB720907:REB720908 QUF720907:QUF720908 QKJ720907:QKJ720908 QAN720907:QAN720908 PQR720907:PQR720908 PGV720907:PGV720908 OWZ720907:OWZ720908 OND720907:OND720908 ODH720907:ODH720908 NTL720907:NTL720908 NJP720907:NJP720908 MZT720907:MZT720908 MPX720907:MPX720908 MGB720907:MGB720908 LWF720907:LWF720908 LMJ720907:LMJ720908 LCN720907:LCN720908 KSR720907:KSR720908 KIV720907:KIV720908 JYZ720907:JYZ720908 JPD720907:JPD720908 JFH720907:JFH720908 IVL720907:IVL720908 ILP720907:ILP720908 IBT720907:IBT720908 HRX720907:HRX720908 HIB720907:HIB720908 GYF720907:GYF720908 GOJ720907:GOJ720908 GEN720907:GEN720908 FUR720907:FUR720908 FKV720907:FKV720908 FAZ720907:FAZ720908 ERD720907:ERD720908 EHH720907:EHH720908 DXL720907:DXL720908 DNP720907:DNP720908 DDT720907:DDT720908 CTX720907:CTX720908 CKB720907:CKB720908 CAF720907:CAF720908 BQJ720907:BQJ720908 BGN720907:BGN720908 AWR720907:AWR720908 AMV720907:AMV720908 ACZ720907:ACZ720908 TD720907:TD720908 JH720907:JH720908 K720907:K720908 WVT655371:WVT655372 WLX655371:WLX655372 WCB655371:WCB655372 VSF655371:VSF655372 VIJ655371:VIJ655372 UYN655371:UYN655372 UOR655371:UOR655372 UEV655371:UEV655372 TUZ655371:TUZ655372 TLD655371:TLD655372 TBH655371:TBH655372 SRL655371:SRL655372 SHP655371:SHP655372 RXT655371:RXT655372 RNX655371:RNX655372 REB655371:REB655372 QUF655371:QUF655372 QKJ655371:QKJ655372 QAN655371:QAN655372 PQR655371:PQR655372 PGV655371:PGV655372 OWZ655371:OWZ655372 OND655371:OND655372 ODH655371:ODH655372 NTL655371:NTL655372 NJP655371:NJP655372 MZT655371:MZT655372 MPX655371:MPX655372 MGB655371:MGB655372 LWF655371:LWF655372 LMJ655371:LMJ655372 LCN655371:LCN655372 KSR655371:KSR655372 KIV655371:KIV655372 JYZ655371:JYZ655372 JPD655371:JPD655372 JFH655371:JFH655372 IVL655371:IVL655372 ILP655371:ILP655372 IBT655371:IBT655372 HRX655371:HRX655372 HIB655371:HIB655372 GYF655371:GYF655372 GOJ655371:GOJ655372 GEN655371:GEN655372 FUR655371:FUR655372 FKV655371:FKV655372 FAZ655371:FAZ655372 ERD655371:ERD655372 EHH655371:EHH655372 DXL655371:DXL655372 DNP655371:DNP655372 DDT655371:DDT655372 CTX655371:CTX655372 CKB655371:CKB655372 CAF655371:CAF655372 BQJ655371:BQJ655372 BGN655371:BGN655372 AWR655371:AWR655372 AMV655371:AMV655372 ACZ655371:ACZ655372 TD655371:TD655372 JH655371:JH655372 K655371:K655372 WVT589835:WVT589836 WLX589835:WLX589836 WCB589835:WCB589836 VSF589835:VSF589836 VIJ589835:VIJ589836 UYN589835:UYN589836 UOR589835:UOR589836 UEV589835:UEV589836 TUZ589835:TUZ589836 TLD589835:TLD589836 TBH589835:TBH589836 SRL589835:SRL589836 SHP589835:SHP589836 RXT589835:RXT589836 RNX589835:RNX589836 REB589835:REB589836 QUF589835:QUF589836 QKJ589835:QKJ589836 QAN589835:QAN589836 PQR589835:PQR589836 PGV589835:PGV589836 OWZ589835:OWZ589836 OND589835:OND589836 ODH589835:ODH589836 NTL589835:NTL589836 NJP589835:NJP589836 MZT589835:MZT589836 MPX589835:MPX589836 MGB589835:MGB589836 LWF589835:LWF589836 LMJ589835:LMJ589836 LCN589835:LCN589836 KSR589835:KSR589836 KIV589835:KIV589836 JYZ589835:JYZ589836 JPD589835:JPD589836 JFH589835:JFH589836 IVL589835:IVL589836 ILP589835:ILP589836 IBT589835:IBT589836 HRX589835:HRX589836 HIB589835:HIB589836 GYF589835:GYF589836 GOJ589835:GOJ589836 GEN589835:GEN589836 FUR589835:FUR589836 FKV589835:FKV589836 FAZ589835:FAZ589836 ERD589835:ERD589836 EHH589835:EHH589836 DXL589835:DXL589836 DNP589835:DNP589836 DDT589835:DDT589836 CTX589835:CTX589836 CKB589835:CKB589836 CAF589835:CAF589836 BQJ589835:BQJ589836 BGN589835:BGN589836 AWR589835:AWR589836 AMV589835:AMV589836 ACZ589835:ACZ589836 TD589835:TD589836 JH589835:JH589836 K589835:K589836 WVT524299:WVT524300 WLX524299:WLX524300 WCB524299:WCB524300 VSF524299:VSF524300 VIJ524299:VIJ524300 UYN524299:UYN524300 UOR524299:UOR524300 UEV524299:UEV524300 TUZ524299:TUZ524300 TLD524299:TLD524300 TBH524299:TBH524300 SRL524299:SRL524300 SHP524299:SHP524300 RXT524299:RXT524300 RNX524299:RNX524300 REB524299:REB524300 QUF524299:QUF524300 QKJ524299:QKJ524300 QAN524299:QAN524300 PQR524299:PQR524300 PGV524299:PGV524300 OWZ524299:OWZ524300 OND524299:OND524300 ODH524299:ODH524300 NTL524299:NTL524300 NJP524299:NJP524300 MZT524299:MZT524300 MPX524299:MPX524300 MGB524299:MGB524300 LWF524299:LWF524300 LMJ524299:LMJ524300 LCN524299:LCN524300 KSR524299:KSR524300 KIV524299:KIV524300 JYZ524299:JYZ524300 JPD524299:JPD524300 JFH524299:JFH524300 IVL524299:IVL524300 ILP524299:ILP524300 IBT524299:IBT524300 HRX524299:HRX524300 HIB524299:HIB524300 GYF524299:GYF524300 GOJ524299:GOJ524300 GEN524299:GEN524300 FUR524299:FUR524300 FKV524299:FKV524300 FAZ524299:FAZ524300 ERD524299:ERD524300 EHH524299:EHH524300 DXL524299:DXL524300 DNP524299:DNP524300 DDT524299:DDT524300 CTX524299:CTX524300 CKB524299:CKB524300 CAF524299:CAF524300 BQJ524299:BQJ524300 BGN524299:BGN524300 AWR524299:AWR524300 AMV524299:AMV524300 ACZ524299:ACZ524300 TD524299:TD524300 JH524299:JH524300 K524299:K524300 WVT458763:WVT458764 WLX458763:WLX458764 WCB458763:WCB458764 VSF458763:VSF458764 VIJ458763:VIJ458764 UYN458763:UYN458764 UOR458763:UOR458764 UEV458763:UEV458764 TUZ458763:TUZ458764 TLD458763:TLD458764 TBH458763:TBH458764 SRL458763:SRL458764 SHP458763:SHP458764 RXT458763:RXT458764 RNX458763:RNX458764 REB458763:REB458764 QUF458763:QUF458764 QKJ458763:QKJ458764 QAN458763:QAN458764 PQR458763:PQR458764 PGV458763:PGV458764 OWZ458763:OWZ458764 OND458763:OND458764 ODH458763:ODH458764 NTL458763:NTL458764 NJP458763:NJP458764 MZT458763:MZT458764 MPX458763:MPX458764 MGB458763:MGB458764 LWF458763:LWF458764 LMJ458763:LMJ458764 LCN458763:LCN458764 KSR458763:KSR458764 KIV458763:KIV458764 JYZ458763:JYZ458764 JPD458763:JPD458764 JFH458763:JFH458764 IVL458763:IVL458764 ILP458763:ILP458764 IBT458763:IBT458764 HRX458763:HRX458764 HIB458763:HIB458764 GYF458763:GYF458764 GOJ458763:GOJ458764 GEN458763:GEN458764 FUR458763:FUR458764 FKV458763:FKV458764 FAZ458763:FAZ458764 ERD458763:ERD458764 EHH458763:EHH458764 DXL458763:DXL458764 DNP458763:DNP458764 DDT458763:DDT458764 CTX458763:CTX458764 CKB458763:CKB458764 CAF458763:CAF458764 BQJ458763:BQJ458764 BGN458763:BGN458764 AWR458763:AWR458764 AMV458763:AMV458764 ACZ458763:ACZ458764 TD458763:TD458764 JH458763:JH458764 K458763:K458764 WVT393227:WVT393228 WLX393227:WLX393228 WCB393227:WCB393228 VSF393227:VSF393228 VIJ393227:VIJ393228 UYN393227:UYN393228 UOR393227:UOR393228 UEV393227:UEV393228 TUZ393227:TUZ393228 TLD393227:TLD393228 TBH393227:TBH393228 SRL393227:SRL393228 SHP393227:SHP393228 RXT393227:RXT393228 RNX393227:RNX393228 REB393227:REB393228 QUF393227:QUF393228 QKJ393227:QKJ393228 QAN393227:QAN393228 PQR393227:PQR393228 PGV393227:PGV393228 OWZ393227:OWZ393228 OND393227:OND393228 ODH393227:ODH393228 NTL393227:NTL393228 NJP393227:NJP393228 MZT393227:MZT393228 MPX393227:MPX393228 MGB393227:MGB393228 LWF393227:LWF393228 LMJ393227:LMJ393228 LCN393227:LCN393228 KSR393227:KSR393228 KIV393227:KIV393228 JYZ393227:JYZ393228 JPD393227:JPD393228 JFH393227:JFH393228 IVL393227:IVL393228 ILP393227:ILP393228 IBT393227:IBT393228 HRX393227:HRX393228 HIB393227:HIB393228 GYF393227:GYF393228 GOJ393227:GOJ393228 GEN393227:GEN393228 FUR393227:FUR393228 FKV393227:FKV393228 FAZ393227:FAZ393228 ERD393227:ERD393228 EHH393227:EHH393228 DXL393227:DXL393228 DNP393227:DNP393228 DDT393227:DDT393228 CTX393227:CTX393228 CKB393227:CKB393228 CAF393227:CAF393228 BQJ393227:BQJ393228 BGN393227:BGN393228 AWR393227:AWR393228 AMV393227:AMV393228 ACZ393227:ACZ393228 TD393227:TD393228 JH393227:JH393228 K393227:K393228 WVT327691:WVT327692 WLX327691:WLX327692 WCB327691:WCB327692 VSF327691:VSF327692 VIJ327691:VIJ327692 UYN327691:UYN327692 UOR327691:UOR327692 UEV327691:UEV327692 TUZ327691:TUZ327692 TLD327691:TLD327692 TBH327691:TBH327692 SRL327691:SRL327692 SHP327691:SHP327692 RXT327691:RXT327692 RNX327691:RNX327692 REB327691:REB327692 QUF327691:QUF327692 QKJ327691:QKJ327692 QAN327691:QAN327692 PQR327691:PQR327692 PGV327691:PGV327692 OWZ327691:OWZ327692 OND327691:OND327692 ODH327691:ODH327692 NTL327691:NTL327692 NJP327691:NJP327692 MZT327691:MZT327692 MPX327691:MPX327692 MGB327691:MGB327692 LWF327691:LWF327692 LMJ327691:LMJ327692 LCN327691:LCN327692 KSR327691:KSR327692 KIV327691:KIV327692 JYZ327691:JYZ327692 JPD327691:JPD327692 JFH327691:JFH327692 IVL327691:IVL327692 ILP327691:ILP327692 IBT327691:IBT327692 HRX327691:HRX327692 HIB327691:HIB327692 GYF327691:GYF327692 GOJ327691:GOJ327692 GEN327691:GEN327692 FUR327691:FUR327692 FKV327691:FKV327692 FAZ327691:FAZ327692 ERD327691:ERD327692 EHH327691:EHH327692 DXL327691:DXL327692 DNP327691:DNP327692 DDT327691:DDT327692 CTX327691:CTX327692 CKB327691:CKB327692 CAF327691:CAF327692 BQJ327691:BQJ327692 BGN327691:BGN327692 AWR327691:AWR327692 AMV327691:AMV327692 ACZ327691:ACZ327692 TD327691:TD327692 JH327691:JH327692 K327691:K327692 WVT262155:WVT262156 WLX262155:WLX262156 WCB262155:WCB262156 VSF262155:VSF262156 VIJ262155:VIJ262156 UYN262155:UYN262156 UOR262155:UOR262156 UEV262155:UEV262156 TUZ262155:TUZ262156 TLD262155:TLD262156 TBH262155:TBH262156 SRL262155:SRL262156 SHP262155:SHP262156 RXT262155:RXT262156 RNX262155:RNX262156 REB262155:REB262156 QUF262155:QUF262156 QKJ262155:QKJ262156 QAN262155:QAN262156 PQR262155:PQR262156 PGV262155:PGV262156 OWZ262155:OWZ262156 OND262155:OND262156 ODH262155:ODH262156 NTL262155:NTL262156 NJP262155:NJP262156 MZT262155:MZT262156 MPX262155:MPX262156 MGB262155:MGB262156 LWF262155:LWF262156 LMJ262155:LMJ262156 LCN262155:LCN262156 KSR262155:KSR262156 KIV262155:KIV262156 JYZ262155:JYZ262156 JPD262155:JPD262156 JFH262155:JFH262156 IVL262155:IVL262156 ILP262155:ILP262156 IBT262155:IBT262156 HRX262155:HRX262156 HIB262155:HIB262156 GYF262155:GYF262156 GOJ262155:GOJ262156 GEN262155:GEN262156 FUR262155:FUR262156 FKV262155:FKV262156 FAZ262155:FAZ262156 ERD262155:ERD262156 EHH262155:EHH262156 DXL262155:DXL262156 DNP262155:DNP262156 DDT262155:DDT262156 CTX262155:CTX262156 CKB262155:CKB262156 CAF262155:CAF262156 BQJ262155:BQJ262156 BGN262155:BGN262156 AWR262155:AWR262156 AMV262155:AMV262156 ACZ262155:ACZ262156 TD262155:TD262156 JH262155:JH262156 K262155:K262156 WVT196619:WVT196620 WLX196619:WLX196620 WCB196619:WCB196620 VSF196619:VSF196620 VIJ196619:VIJ196620 UYN196619:UYN196620 UOR196619:UOR196620 UEV196619:UEV196620 TUZ196619:TUZ196620 TLD196619:TLD196620 TBH196619:TBH196620 SRL196619:SRL196620 SHP196619:SHP196620 RXT196619:RXT196620 RNX196619:RNX196620 REB196619:REB196620 QUF196619:QUF196620 QKJ196619:QKJ196620 QAN196619:QAN196620 PQR196619:PQR196620 PGV196619:PGV196620 OWZ196619:OWZ196620 OND196619:OND196620 ODH196619:ODH196620 NTL196619:NTL196620 NJP196619:NJP196620 MZT196619:MZT196620 MPX196619:MPX196620 MGB196619:MGB196620 LWF196619:LWF196620 LMJ196619:LMJ196620 LCN196619:LCN196620 KSR196619:KSR196620 KIV196619:KIV196620 JYZ196619:JYZ196620 JPD196619:JPD196620 JFH196619:JFH196620 IVL196619:IVL196620 ILP196619:ILP196620 IBT196619:IBT196620 HRX196619:HRX196620 HIB196619:HIB196620 GYF196619:GYF196620 GOJ196619:GOJ196620 GEN196619:GEN196620 FUR196619:FUR196620 FKV196619:FKV196620 FAZ196619:FAZ196620 ERD196619:ERD196620 EHH196619:EHH196620 DXL196619:DXL196620 DNP196619:DNP196620 DDT196619:DDT196620 CTX196619:CTX196620 CKB196619:CKB196620 CAF196619:CAF196620 BQJ196619:BQJ196620 BGN196619:BGN196620 AWR196619:AWR196620 AMV196619:AMV196620 ACZ196619:ACZ196620 TD196619:TD196620 JH196619:JH196620 K196619:K196620 WVT131083:WVT131084 WLX131083:WLX131084 WCB131083:WCB131084 VSF131083:VSF131084 VIJ131083:VIJ131084 UYN131083:UYN131084 UOR131083:UOR131084 UEV131083:UEV131084 TUZ131083:TUZ131084 TLD131083:TLD131084 TBH131083:TBH131084 SRL131083:SRL131084 SHP131083:SHP131084 RXT131083:RXT131084 RNX131083:RNX131084 REB131083:REB131084 QUF131083:QUF131084 QKJ131083:QKJ131084 QAN131083:QAN131084 PQR131083:PQR131084 PGV131083:PGV131084 OWZ131083:OWZ131084 OND131083:OND131084 ODH131083:ODH131084 NTL131083:NTL131084 NJP131083:NJP131084 MZT131083:MZT131084 MPX131083:MPX131084 MGB131083:MGB131084 LWF131083:LWF131084 LMJ131083:LMJ131084 LCN131083:LCN131084 KSR131083:KSR131084 KIV131083:KIV131084 JYZ131083:JYZ131084 JPD131083:JPD131084 JFH131083:JFH131084 IVL131083:IVL131084 ILP131083:ILP131084 IBT131083:IBT131084 HRX131083:HRX131084 HIB131083:HIB131084 GYF131083:GYF131084 GOJ131083:GOJ131084 GEN131083:GEN131084 FUR131083:FUR131084 FKV131083:FKV131084 FAZ131083:FAZ131084 ERD131083:ERD131084 EHH131083:EHH131084 DXL131083:DXL131084 DNP131083:DNP131084 DDT131083:DDT131084 CTX131083:CTX131084 CKB131083:CKB131084 CAF131083:CAF131084 BQJ131083:BQJ131084 BGN131083:BGN131084 AWR131083:AWR131084 AMV131083:AMV131084 ACZ131083:ACZ131084 TD131083:TD131084 JH131083:JH131084 K131083:K131084 WVT65547:WVT65548 WLX65547:WLX65548 WCB65547:WCB65548 VSF65547:VSF65548 VIJ65547:VIJ65548 UYN65547:UYN65548 UOR65547:UOR65548 UEV65547:UEV65548 TUZ65547:TUZ65548 TLD65547:TLD65548 TBH65547:TBH65548 SRL65547:SRL65548 SHP65547:SHP65548 RXT65547:RXT65548 RNX65547:RNX65548 REB65547:REB65548 QUF65547:QUF65548 QKJ65547:QKJ65548 QAN65547:QAN65548 PQR65547:PQR65548 PGV65547:PGV65548 OWZ65547:OWZ65548 OND65547:OND65548 ODH65547:ODH65548 NTL65547:NTL65548 NJP65547:NJP65548 MZT65547:MZT65548 MPX65547:MPX65548 MGB65547:MGB65548 LWF65547:LWF65548 LMJ65547:LMJ65548 LCN65547:LCN65548 KSR65547:KSR65548 KIV65547:KIV65548 JYZ65547:JYZ65548 JPD65547:JPD65548 JFH65547:JFH65548 IVL65547:IVL65548 ILP65547:ILP65548 IBT65547:IBT65548 HRX65547:HRX65548 HIB65547:HIB65548 GYF65547:GYF65548 GOJ65547:GOJ65548 GEN65547:GEN65548 FUR65547:FUR65548 FKV65547:FKV65548 FAZ65547:FAZ65548 ERD65547:ERD65548 EHH65547:EHH65548 DXL65547:DXL65548 DNP65547:DNP65548 DDT65547:DDT65548 CTX65547:CTX65548 CKB65547:CKB65548 CAF65547:CAF65548 BQJ65547:BQJ65548 BGN65547:BGN65548 AWR65547:AWR65548 AMV65547:AMV65548 ACZ65547:ACZ65548 TD65547:TD65548 JH65547:JH65548 K65547:K65548 WVT9:WVT10 WLX9:WLX10 WCB9:WCB10 VSF9:VSF10 VIJ9:VIJ10 UYN9:UYN10 UOR9:UOR10 UEV9:UEV10 TUZ9:TUZ10 TLD9:TLD10 TBH9:TBH10 SRL9:SRL10 SHP9:SHP10 RXT9:RXT10 RNX9:RNX10 REB9:REB10 QUF9:QUF10 QKJ9:QKJ10 QAN9:QAN10 PQR9:PQR10 PGV9:PGV10 OWZ9:OWZ10 OND9:OND10 ODH9:ODH10 NTL9:NTL10 NJP9:NJP10 MZT9:MZT10 MPX9:MPX10 MGB9:MGB10 LWF9:LWF10 LMJ9:LMJ10 LCN9:LCN10 KSR9:KSR10 KIV9:KIV10 JYZ9:JYZ10 JPD9:JPD10 JFH9:JFH10 IVL9:IVL10 ILP9:ILP10 IBT9:IBT10 HRX9:HRX10 HIB9:HIB10 GYF9:GYF10 GOJ9:GOJ10 GEN9:GEN10 FUR9:FUR10 FKV9:FKV10 FAZ9:FAZ10 ERD9:ERD10 EHH9:EHH10 DXL9:DXL10 DNP9:DNP10 DDT9:DDT10 CTX9:CTX10 CKB9:CKB10 CAF9:CAF10 BQJ9:BQJ10 BGN9:BGN10 AWR9:AWR10 AMV9:AMV10 ACZ9:ACZ10 TD9:TD10 JH9:JH10">
      <formula1>$R$5:$R$9</formula1>
    </dataValidation>
    <dataValidation type="list" allowBlank="1" showInputMessage="1" showErrorMessage="1" sqref="WVW85:WVW86 WMA85:WMA86 WCE85:WCE86 VSI85:VSI86 VIM85:VIM86 UYQ85:UYQ86 UOU85:UOU86 UEY85:UEY86 TVC85:TVC86 TLG85:TLG86 TBK85:TBK86 SRO85:SRO86 SHS85:SHS86 RXW85:RXW86 ROA85:ROA86 REE85:REE86 QUI85:QUI86 QKM85:QKM86 QAQ85:QAQ86 PQU85:PQU86 PGY85:PGY86 OXC85:OXC86 ONG85:ONG86 ODK85:ODK86 NTO85:NTO86 NJS85:NJS86 MZW85:MZW86 MQA85:MQA86 MGE85:MGE86 LWI85:LWI86 LMM85:LMM86 LCQ85:LCQ86 KSU85:KSU86 KIY85:KIY86 JZC85:JZC86 JPG85:JPG86 JFK85:JFK86 IVO85:IVO86 ILS85:ILS86 IBW85:IBW86 HSA85:HSA86 HIE85:HIE86 GYI85:GYI86 GOM85:GOM86 GEQ85:GEQ86 FUU85:FUU86 FKY85:FKY86 FBC85:FBC86 ERG85:ERG86 EHK85:EHK86 DXO85:DXO86 DNS85:DNS86 DDW85:DDW86 CUA85:CUA86 CKE85:CKE86 CAI85:CAI86 BQM85:BQM86 BGQ85:BGQ86 AWU85:AWU86 AMY85:AMY86 ADC85:ADC86 TG85:TG86 JK85:JK86">
      <formula1>"○,　,対象外"</formula1>
    </dataValidation>
  </dataValidations>
  <printOptions horizontalCentered="1"/>
  <pageMargins left="0.39370078740157483" right="0.39370078740157483" top="0.59055118110236227" bottom="0.39370078740157483" header="0.31496062992125984" footer="0.51181102362204722"/>
  <pageSetup paperSize="9" scale="62" orientation="portrait" horizontalDpi="300" verticalDpi="300" r:id="rId1"/>
  <headerFooter alignWithMargins="0"/>
  <drawing r:id="rId2"/>
  <legacyDrawing r:id="rId3"/>
  <extLst xmlns:x14="http://schemas.microsoft.com/office/spreadsheetml/2009/9/main">
    <ext uri="{CCE6A557-97BC-4b89-ADB6-D9C93CAAB3DF}">
      <x14:dataValidations xmlns:xm="http://schemas.microsoft.com/office/excel/2006/main" count="1">
        <x14:dataValidation type="whole" allowBlank="1" showInputMessage="1" showErrorMessage="1">
          <x14:formula1>
            <xm:f>1</xm:f>
          </x14:formula1>
          <x14:formula2>
            <xm:f>5</xm:f>
          </x14:formula2>
          <xm:sqref>WCE983081:WCE983084 JK69:JK71 TG69:TG71 ADC69:ADC71 AMY69:AMY71 AWU69:AWU71 BGQ69:BGQ71 BQM69:BQM71 CAI69:CAI71 CKE69:CKE71 CUA69:CUA71 DDW69:DDW71 DNS69:DNS71 DXO69:DXO71 EHK69:EHK71 ERG69:ERG71 FBC69:FBC71 FKY69:FKY71 FUU69:FUU71 GEQ69:GEQ71 GOM69:GOM71 GYI69:GYI71 HIE69:HIE71 HSA69:HSA71 IBW69:IBW71 ILS69:ILS71 IVO69:IVO71 JFK69:JFK71 JPG69:JPG71 JZC69:JZC71 KIY69:KIY71 KSU69:KSU71 LCQ69:LCQ71 LMM69:LMM71 LWI69:LWI71 MGE69:MGE71 MQA69:MQA71 MZW69:MZW71 NJS69:NJS71 NTO69:NTO71 ODK69:ODK71 ONG69:ONG71 OXC69:OXC71 PGY69:PGY71 PQU69:PQU71 QAQ69:QAQ71 QKM69:QKM71 QUI69:QUI71 REE69:REE71 ROA69:ROA71 RXW69:RXW71 SHS69:SHS71 SRO69:SRO71 TBK69:TBK71 TLG69:TLG71 TVC69:TVC71 UEY69:UEY71 UOU69:UOU71 UYQ69:UYQ71 VIM69:VIM71 VSI69:VSI71 WCE69:WCE71 WMA69:WMA71 WVW69:WVW71 N65607:N65609 JK65607:JK65609 TG65607:TG65609 ADC65607:ADC65609 AMY65607:AMY65609 AWU65607:AWU65609 BGQ65607:BGQ65609 BQM65607:BQM65609 CAI65607:CAI65609 CKE65607:CKE65609 CUA65607:CUA65609 DDW65607:DDW65609 DNS65607:DNS65609 DXO65607:DXO65609 EHK65607:EHK65609 ERG65607:ERG65609 FBC65607:FBC65609 FKY65607:FKY65609 FUU65607:FUU65609 GEQ65607:GEQ65609 GOM65607:GOM65609 GYI65607:GYI65609 HIE65607:HIE65609 HSA65607:HSA65609 IBW65607:IBW65609 ILS65607:ILS65609 IVO65607:IVO65609 JFK65607:JFK65609 JPG65607:JPG65609 JZC65607:JZC65609 KIY65607:KIY65609 KSU65607:KSU65609 LCQ65607:LCQ65609 LMM65607:LMM65609 LWI65607:LWI65609 MGE65607:MGE65609 MQA65607:MQA65609 MZW65607:MZW65609 NJS65607:NJS65609 NTO65607:NTO65609 ODK65607:ODK65609 ONG65607:ONG65609 OXC65607:OXC65609 PGY65607:PGY65609 PQU65607:PQU65609 QAQ65607:QAQ65609 QKM65607:QKM65609 QUI65607:QUI65609 REE65607:REE65609 ROA65607:ROA65609 RXW65607:RXW65609 SHS65607:SHS65609 SRO65607:SRO65609 TBK65607:TBK65609 TLG65607:TLG65609 TVC65607:TVC65609 UEY65607:UEY65609 UOU65607:UOU65609 UYQ65607:UYQ65609 VIM65607:VIM65609 VSI65607:VSI65609 WCE65607:WCE65609 WMA65607:WMA65609 WVW65607:WVW65609 N131143:N131145 JK131143:JK131145 TG131143:TG131145 ADC131143:ADC131145 AMY131143:AMY131145 AWU131143:AWU131145 BGQ131143:BGQ131145 BQM131143:BQM131145 CAI131143:CAI131145 CKE131143:CKE131145 CUA131143:CUA131145 DDW131143:DDW131145 DNS131143:DNS131145 DXO131143:DXO131145 EHK131143:EHK131145 ERG131143:ERG131145 FBC131143:FBC131145 FKY131143:FKY131145 FUU131143:FUU131145 GEQ131143:GEQ131145 GOM131143:GOM131145 GYI131143:GYI131145 HIE131143:HIE131145 HSA131143:HSA131145 IBW131143:IBW131145 ILS131143:ILS131145 IVO131143:IVO131145 JFK131143:JFK131145 JPG131143:JPG131145 JZC131143:JZC131145 KIY131143:KIY131145 KSU131143:KSU131145 LCQ131143:LCQ131145 LMM131143:LMM131145 LWI131143:LWI131145 MGE131143:MGE131145 MQA131143:MQA131145 MZW131143:MZW131145 NJS131143:NJS131145 NTO131143:NTO131145 ODK131143:ODK131145 ONG131143:ONG131145 OXC131143:OXC131145 PGY131143:PGY131145 PQU131143:PQU131145 QAQ131143:QAQ131145 QKM131143:QKM131145 QUI131143:QUI131145 REE131143:REE131145 ROA131143:ROA131145 RXW131143:RXW131145 SHS131143:SHS131145 SRO131143:SRO131145 TBK131143:TBK131145 TLG131143:TLG131145 TVC131143:TVC131145 UEY131143:UEY131145 UOU131143:UOU131145 UYQ131143:UYQ131145 VIM131143:VIM131145 VSI131143:VSI131145 WCE131143:WCE131145 WMA131143:WMA131145 WVW131143:WVW131145 N196679:N196681 JK196679:JK196681 TG196679:TG196681 ADC196679:ADC196681 AMY196679:AMY196681 AWU196679:AWU196681 BGQ196679:BGQ196681 BQM196679:BQM196681 CAI196679:CAI196681 CKE196679:CKE196681 CUA196679:CUA196681 DDW196679:DDW196681 DNS196679:DNS196681 DXO196679:DXO196681 EHK196679:EHK196681 ERG196679:ERG196681 FBC196679:FBC196681 FKY196679:FKY196681 FUU196679:FUU196681 GEQ196679:GEQ196681 GOM196679:GOM196681 GYI196679:GYI196681 HIE196679:HIE196681 HSA196679:HSA196681 IBW196679:IBW196681 ILS196679:ILS196681 IVO196679:IVO196681 JFK196679:JFK196681 JPG196679:JPG196681 JZC196679:JZC196681 KIY196679:KIY196681 KSU196679:KSU196681 LCQ196679:LCQ196681 LMM196679:LMM196681 LWI196679:LWI196681 MGE196679:MGE196681 MQA196679:MQA196681 MZW196679:MZW196681 NJS196679:NJS196681 NTO196679:NTO196681 ODK196679:ODK196681 ONG196679:ONG196681 OXC196679:OXC196681 PGY196679:PGY196681 PQU196679:PQU196681 QAQ196679:QAQ196681 QKM196679:QKM196681 QUI196679:QUI196681 REE196679:REE196681 ROA196679:ROA196681 RXW196679:RXW196681 SHS196679:SHS196681 SRO196679:SRO196681 TBK196679:TBK196681 TLG196679:TLG196681 TVC196679:TVC196681 UEY196679:UEY196681 UOU196679:UOU196681 UYQ196679:UYQ196681 VIM196679:VIM196681 VSI196679:VSI196681 WCE196679:WCE196681 WMA196679:WMA196681 WVW196679:WVW196681 N262215:N262217 JK262215:JK262217 TG262215:TG262217 ADC262215:ADC262217 AMY262215:AMY262217 AWU262215:AWU262217 BGQ262215:BGQ262217 BQM262215:BQM262217 CAI262215:CAI262217 CKE262215:CKE262217 CUA262215:CUA262217 DDW262215:DDW262217 DNS262215:DNS262217 DXO262215:DXO262217 EHK262215:EHK262217 ERG262215:ERG262217 FBC262215:FBC262217 FKY262215:FKY262217 FUU262215:FUU262217 GEQ262215:GEQ262217 GOM262215:GOM262217 GYI262215:GYI262217 HIE262215:HIE262217 HSA262215:HSA262217 IBW262215:IBW262217 ILS262215:ILS262217 IVO262215:IVO262217 JFK262215:JFK262217 JPG262215:JPG262217 JZC262215:JZC262217 KIY262215:KIY262217 KSU262215:KSU262217 LCQ262215:LCQ262217 LMM262215:LMM262217 LWI262215:LWI262217 MGE262215:MGE262217 MQA262215:MQA262217 MZW262215:MZW262217 NJS262215:NJS262217 NTO262215:NTO262217 ODK262215:ODK262217 ONG262215:ONG262217 OXC262215:OXC262217 PGY262215:PGY262217 PQU262215:PQU262217 QAQ262215:QAQ262217 QKM262215:QKM262217 QUI262215:QUI262217 REE262215:REE262217 ROA262215:ROA262217 RXW262215:RXW262217 SHS262215:SHS262217 SRO262215:SRO262217 TBK262215:TBK262217 TLG262215:TLG262217 TVC262215:TVC262217 UEY262215:UEY262217 UOU262215:UOU262217 UYQ262215:UYQ262217 VIM262215:VIM262217 VSI262215:VSI262217 WCE262215:WCE262217 WMA262215:WMA262217 WVW262215:WVW262217 N327751:N327753 JK327751:JK327753 TG327751:TG327753 ADC327751:ADC327753 AMY327751:AMY327753 AWU327751:AWU327753 BGQ327751:BGQ327753 BQM327751:BQM327753 CAI327751:CAI327753 CKE327751:CKE327753 CUA327751:CUA327753 DDW327751:DDW327753 DNS327751:DNS327753 DXO327751:DXO327753 EHK327751:EHK327753 ERG327751:ERG327753 FBC327751:FBC327753 FKY327751:FKY327753 FUU327751:FUU327753 GEQ327751:GEQ327753 GOM327751:GOM327753 GYI327751:GYI327753 HIE327751:HIE327753 HSA327751:HSA327753 IBW327751:IBW327753 ILS327751:ILS327753 IVO327751:IVO327753 JFK327751:JFK327753 JPG327751:JPG327753 JZC327751:JZC327753 KIY327751:KIY327753 KSU327751:KSU327753 LCQ327751:LCQ327753 LMM327751:LMM327753 LWI327751:LWI327753 MGE327751:MGE327753 MQA327751:MQA327753 MZW327751:MZW327753 NJS327751:NJS327753 NTO327751:NTO327753 ODK327751:ODK327753 ONG327751:ONG327753 OXC327751:OXC327753 PGY327751:PGY327753 PQU327751:PQU327753 QAQ327751:QAQ327753 QKM327751:QKM327753 QUI327751:QUI327753 REE327751:REE327753 ROA327751:ROA327753 RXW327751:RXW327753 SHS327751:SHS327753 SRO327751:SRO327753 TBK327751:TBK327753 TLG327751:TLG327753 TVC327751:TVC327753 UEY327751:UEY327753 UOU327751:UOU327753 UYQ327751:UYQ327753 VIM327751:VIM327753 VSI327751:VSI327753 WCE327751:WCE327753 WMA327751:WMA327753 WVW327751:WVW327753 N393287:N393289 JK393287:JK393289 TG393287:TG393289 ADC393287:ADC393289 AMY393287:AMY393289 AWU393287:AWU393289 BGQ393287:BGQ393289 BQM393287:BQM393289 CAI393287:CAI393289 CKE393287:CKE393289 CUA393287:CUA393289 DDW393287:DDW393289 DNS393287:DNS393289 DXO393287:DXO393289 EHK393287:EHK393289 ERG393287:ERG393289 FBC393287:FBC393289 FKY393287:FKY393289 FUU393287:FUU393289 GEQ393287:GEQ393289 GOM393287:GOM393289 GYI393287:GYI393289 HIE393287:HIE393289 HSA393287:HSA393289 IBW393287:IBW393289 ILS393287:ILS393289 IVO393287:IVO393289 JFK393287:JFK393289 JPG393287:JPG393289 JZC393287:JZC393289 KIY393287:KIY393289 KSU393287:KSU393289 LCQ393287:LCQ393289 LMM393287:LMM393289 LWI393287:LWI393289 MGE393287:MGE393289 MQA393287:MQA393289 MZW393287:MZW393289 NJS393287:NJS393289 NTO393287:NTO393289 ODK393287:ODK393289 ONG393287:ONG393289 OXC393287:OXC393289 PGY393287:PGY393289 PQU393287:PQU393289 QAQ393287:QAQ393289 QKM393287:QKM393289 QUI393287:QUI393289 REE393287:REE393289 ROA393287:ROA393289 RXW393287:RXW393289 SHS393287:SHS393289 SRO393287:SRO393289 TBK393287:TBK393289 TLG393287:TLG393289 TVC393287:TVC393289 UEY393287:UEY393289 UOU393287:UOU393289 UYQ393287:UYQ393289 VIM393287:VIM393289 VSI393287:VSI393289 WCE393287:WCE393289 WMA393287:WMA393289 WVW393287:WVW393289 N458823:N458825 JK458823:JK458825 TG458823:TG458825 ADC458823:ADC458825 AMY458823:AMY458825 AWU458823:AWU458825 BGQ458823:BGQ458825 BQM458823:BQM458825 CAI458823:CAI458825 CKE458823:CKE458825 CUA458823:CUA458825 DDW458823:DDW458825 DNS458823:DNS458825 DXO458823:DXO458825 EHK458823:EHK458825 ERG458823:ERG458825 FBC458823:FBC458825 FKY458823:FKY458825 FUU458823:FUU458825 GEQ458823:GEQ458825 GOM458823:GOM458825 GYI458823:GYI458825 HIE458823:HIE458825 HSA458823:HSA458825 IBW458823:IBW458825 ILS458823:ILS458825 IVO458823:IVO458825 JFK458823:JFK458825 JPG458823:JPG458825 JZC458823:JZC458825 KIY458823:KIY458825 KSU458823:KSU458825 LCQ458823:LCQ458825 LMM458823:LMM458825 LWI458823:LWI458825 MGE458823:MGE458825 MQA458823:MQA458825 MZW458823:MZW458825 NJS458823:NJS458825 NTO458823:NTO458825 ODK458823:ODK458825 ONG458823:ONG458825 OXC458823:OXC458825 PGY458823:PGY458825 PQU458823:PQU458825 QAQ458823:QAQ458825 QKM458823:QKM458825 QUI458823:QUI458825 REE458823:REE458825 ROA458823:ROA458825 RXW458823:RXW458825 SHS458823:SHS458825 SRO458823:SRO458825 TBK458823:TBK458825 TLG458823:TLG458825 TVC458823:TVC458825 UEY458823:UEY458825 UOU458823:UOU458825 UYQ458823:UYQ458825 VIM458823:VIM458825 VSI458823:VSI458825 WCE458823:WCE458825 WMA458823:WMA458825 WVW458823:WVW458825 N524359:N524361 JK524359:JK524361 TG524359:TG524361 ADC524359:ADC524361 AMY524359:AMY524361 AWU524359:AWU524361 BGQ524359:BGQ524361 BQM524359:BQM524361 CAI524359:CAI524361 CKE524359:CKE524361 CUA524359:CUA524361 DDW524359:DDW524361 DNS524359:DNS524361 DXO524359:DXO524361 EHK524359:EHK524361 ERG524359:ERG524361 FBC524359:FBC524361 FKY524359:FKY524361 FUU524359:FUU524361 GEQ524359:GEQ524361 GOM524359:GOM524361 GYI524359:GYI524361 HIE524359:HIE524361 HSA524359:HSA524361 IBW524359:IBW524361 ILS524359:ILS524361 IVO524359:IVO524361 JFK524359:JFK524361 JPG524359:JPG524361 JZC524359:JZC524361 KIY524359:KIY524361 KSU524359:KSU524361 LCQ524359:LCQ524361 LMM524359:LMM524361 LWI524359:LWI524361 MGE524359:MGE524361 MQA524359:MQA524361 MZW524359:MZW524361 NJS524359:NJS524361 NTO524359:NTO524361 ODK524359:ODK524361 ONG524359:ONG524361 OXC524359:OXC524361 PGY524359:PGY524361 PQU524359:PQU524361 QAQ524359:QAQ524361 QKM524359:QKM524361 QUI524359:QUI524361 REE524359:REE524361 ROA524359:ROA524361 RXW524359:RXW524361 SHS524359:SHS524361 SRO524359:SRO524361 TBK524359:TBK524361 TLG524359:TLG524361 TVC524359:TVC524361 UEY524359:UEY524361 UOU524359:UOU524361 UYQ524359:UYQ524361 VIM524359:VIM524361 VSI524359:VSI524361 WCE524359:WCE524361 WMA524359:WMA524361 WVW524359:WVW524361 N589895:N589897 JK589895:JK589897 TG589895:TG589897 ADC589895:ADC589897 AMY589895:AMY589897 AWU589895:AWU589897 BGQ589895:BGQ589897 BQM589895:BQM589897 CAI589895:CAI589897 CKE589895:CKE589897 CUA589895:CUA589897 DDW589895:DDW589897 DNS589895:DNS589897 DXO589895:DXO589897 EHK589895:EHK589897 ERG589895:ERG589897 FBC589895:FBC589897 FKY589895:FKY589897 FUU589895:FUU589897 GEQ589895:GEQ589897 GOM589895:GOM589897 GYI589895:GYI589897 HIE589895:HIE589897 HSA589895:HSA589897 IBW589895:IBW589897 ILS589895:ILS589897 IVO589895:IVO589897 JFK589895:JFK589897 JPG589895:JPG589897 JZC589895:JZC589897 KIY589895:KIY589897 KSU589895:KSU589897 LCQ589895:LCQ589897 LMM589895:LMM589897 LWI589895:LWI589897 MGE589895:MGE589897 MQA589895:MQA589897 MZW589895:MZW589897 NJS589895:NJS589897 NTO589895:NTO589897 ODK589895:ODK589897 ONG589895:ONG589897 OXC589895:OXC589897 PGY589895:PGY589897 PQU589895:PQU589897 QAQ589895:QAQ589897 QKM589895:QKM589897 QUI589895:QUI589897 REE589895:REE589897 ROA589895:ROA589897 RXW589895:RXW589897 SHS589895:SHS589897 SRO589895:SRO589897 TBK589895:TBK589897 TLG589895:TLG589897 TVC589895:TVC589897 UEY589895:UEY589897 UOU589895:UOU589897 UYQ589895:UYQ589897 VIM589895:VIM589897 VSI589895:VSI589897 WCE589895:WCE589897 WMA589895:WMA589897 WVW589895:WVW589897 N655431:N655433 JK655431:JK655433 TG655431:TG655433 ADC655431:ADC655433 AMY655431:AMY655433 AWU655431:AWU655433 BGQ655431:BGQ655433 BQM655431:BQM655433 CAI655431:CAI655433 CKE655431:CKE655433 CUA655431:CUA655433 DDW655431:DDW655433 DNS655431:DNS655433 DXO655431:DXO655433 EHK655431:EHK655433 ERG655431:ERG655433 FBC655431:FBC655433 FKY655431:FKY655433 FUU655431:FUU655433 GEQ655431:GEQ655433 GOM655431:GOM655433 GYI655431:GYI655433 HIE655431:HIE655433 HSA655431:HSA655433 IBW655431:IBW655433 ILS655431:ILS655433 IVO655431:IVO655433 JFK655431:JFK655433 JPG655431:JPG655433 JZC655431:JZC655433 KIY655431:KIY655433 KSU655431:KSU655433 LCQ655431:LCQ655433 LMM655431:LMM655433 LWI655431:LWI655433 MGE655431:MGE655433 MQA655431:MQA655433 MZW655431:MZW655433 NJS655431:NJS655433 NTO655431:NTO655433 ODK655431:ODK655433 ONG655431:ONG655433 OXC655431:OXC655433 PGY655431:PGY655433 PQU655431:PQU655433 QAQ655431:QAQ655433 QKM655431:QKM655433 QUI655431:QUI655433 REE655431:REE655433 ROA655431:ROA655433 RXW655431:RXW655433 SHS655431:SHS655433 SRO655431:SRO655433 TBK655431:TBK655433 TLG655431:TLG655433 TVC655431:TVC655433 UEY655431:UEY655433 UOU655431:UOU655433 UYQ655431:UYQ655433 VIM655431:VIM655433 VSI655431:VSI655433 WCE655431:WCE655433 WMA655431:WMA655433 WVW655431:WVW655433 N720967:N720969 JK720967:JK720969 TG720967:TG720969 ADC720967:ADC720969 AMY720967:AMY720969 AWU720967:AWU720969 BGQ720967:BGQ720969 BQM720967:BQM720969 CAI720967:CAI720969 CKE720967:CKE720969 CUA720967:CUA720969 DDW720967:DDW720969 DNS720967:DNS720969 DXO720967:DXO720969 EHK720967:EHK720969 ERG720967:ERG720969 FBC720967:FBC720969 FKY720967:FKY720969 FUU720967:FUU720969 GEQ720967:GEQ720969 GOM720967:GOM720969 GYI720967:GYI720969 HIE720967:HIE720969 HSA720967:HSA720969 IBW720967:IBW720969 ILS720967:ILS720969 IVO720967:IVO720969 JFK720967:JFK720969 JPG720967:JPG720969 JZC720967:JZC720969 KIY720967:KIY720969 KSU720967:KSU720969 LCQ720967:LCQ720969 LMM720967:LMM720969 LWI720967:LWI720969 MGE720967:MGE720969 MQA720967:MQA720969 MZW720967:MZW720969 NJS720967:NJS720969 NTO720967:NTO720969 ODK720967:ODK720969 ONG720967:ONG720969 OXC720967:OXC720969 PGY720967:PGY720969 PQU720967:PQU720969 QAQ720967:QAQ720969 QKM720967:QKM720969 QUI720967:QUI720969 REE720967:REE720969 ROA720967:ROA720969 RXW720967:RXW720969 SHS720967:SHS720969 SRO720967:SRO720969 TBK720967:TBK720969 TLG720967:TLG720969 TVC720967:TVC720969 UEY720967:UEY720969 UOU720967:UOU720969 UYQ720967:UYQ720969 VIM720967:VIM720969 VSI720967:VSI720969 WCE720967:WCE720969 WMA720967:WMA720969 WVW720967:WVW720969 N786503:N786505 JK786503:JK786505 TG786503:TG786505 ADC786503:ADC786505 AMY786503:AMY786505 AWU786503:AWU786505 BGQ786503:BGQ786505 BQM786503:BQM786505 CAI786503:CAI786505 CKE786503:CKE786505 CUA786503:CUA786505 DDW786503:DDW786505 DNS786503:DNS786505 DXO786503:DXO786505 EHK786503:EHK786505 ERG786503:ERG786505 FBC786503:FBC786505 FKY786503:FKY786505 FUU786503:FUU786505 GEQ786503:GEQ786505 GOM786503:GOM786505 GYI786503:GYI786505 HIE786503:HIE786505 HSA786503:HSA786505 IBW786503:IBW786505 ILS786503:ILS786505 IVO786503:IVO786505 JFK786503:JFK786505 JPG786503:JPG786505 JZC786503:JZC786505 KIY786503:KIY786505 KSU786503:KSU786505 LCQ786503:LCQ786505 LMM786503:LMM786505 LWI786503:LWI786505 MGE786503:MGE786505 MQA786503:MQA786505 MZW786503:MZW786505 NJS786503:NJS786505 NTO786503:NTO786505 ODK786503:ODK786505 ONG786503:ONG786505 OXC786503:OXC786505 PGY786503:PGY786505 PQU786503:PQU786505 QAQ786503:QAQ786505 QKM786503:QKM786505 QUI786503:QUI786505 REE786503:REE786505 ROA786503:ROA786505 RXW786503:RXW786505 SHS786503:SHS786505 SRO786503:SRO786505 TBK786503:TBK786505 TLG786503:TLG786505 TVC786503:TVC786505 UEY786503:UEY786505 UOU786503:UOU786505 UYQ786503:UYQ786505 VIM786503:VIM786505 VSI786503:VSI786505 WCE786503:WCE786505 WMA786503:WMA786505 WVW786503:WVW786505 N852039:N852041 JK852039:JK852041 TG852039:TG852041 ADC852039:ADC852041 AMY852039:AMY852041 AWU852039:AWU852041 BGQ852039:BGQ852041 BQM852039:BQM852041 CAI852039:CAI852041 CKE852039:CKE852041 CUA852039:CUA852041 DDW852039:DDW852041 DNS852039:DNS852041 DXO852039:DXO852041 EHK852039:EHK852041 ERG852039:ERG852041 FBC852039:FBC852041 FKY852039:FKY852041 FUU852039:FUU852041 GEQ852039:GEQ852041 GOM852039:GOM852041 GYI852039:GYI852041 HIE852039:HIE852041 HSA852039:HSA852041 IBW852039:IBW852041 ILS852039:ILS852041 IVO852039:IVO852041 JFK852039:JFK852041 JPG852039:JPG852041 JZC852039:JZC852041 KIY852039:KIY852041 KSU852039:KSU852041 LCQ852039:LCQ852041 LMM852039:LMM852041 LWI852039:LWI852041 MGE852039:MGE852041 MQA852039:MQA852041 MZW852039:MZW852041 NJS852039:NJS852041 NTO852039:NTO852041 ODK852039:ODK852041 ONG852039:ONG852041 OXC852039:OXC852041 PGY852039:PGY852041 PQU852039:PQU852041 QAQ852039:QAQ852041 QKM852039:QKM852041 QUI852039:QUI852041 REE852039:REE852041 ROA852039:ROA852041 RXW852039:RXW852041 SHS852039:SHS852041 SRO852039:SRO852041 TBK852039:TBK852041 TLG852039:TLG852041 TVC852039:TVC852041 UEY852039:UEY852041 UOU852039:UOU852041 UYQ852039:UYQ852041 VIM852039:VIM852041 VSI852039:VSI852041 WCE852039:WCE852041 WMA852039:WMA852041 WVW852039:WVW852041 N917575:N917577 JK917575:JK917577 TG917575:TG917577 ADC917575:ADC917577 AMY917575:AMY917577 AWU917575:AWU917577 BGQ917575:BGQ917577 BQM917575:BQM917577 CAI917575:CAI917577 CKE917575:CKE917577 CUA917575:CUA917577 DDW917575:DDW917577 DNS917575:DNS917577 DXO917575:DXO917577 EHK917575:EHK917577 ERG917575:ERG917577 FBC917575:FBC917577 FKY917575:FKY917577 FUU917575:FUU917577 GEQ917575:GEQ917577 GOM917575:GOM917577 GYI917575:GYI917577 HIE917575:HIE917577 HSA917575:HSA917577 IBW917575:IBW917577 ILS917575:ILS917577 IVO917575:IVO917577 JFK917575:JFK917577 JPG917575:JPG917577 JZC917575:JZC917577 KIY917575:KIY917577 KSU917575:KSU917577 LCQ917575:LCQ917577 LMM917575:LMM917577 LWI917575:LWI917577 MGE917575:MGE917577 MQA917575:MQA917577 MZW917575:MZW917577 NJS917575:NJS917577 NTO917575:NTO917577 ODK917575:ODK917577 ONG917575:ONG917577 OXC917575:OXC917577 PGY917575:PGY917577 PQU917575:PQU917577 QAQ917575:QAQ917577 QKM917575:QKM917577 QUI917575:QUI917577 REE917575:REE917577 ROA917575:ROA917577 RXW917575:RXW917577 SHS917575:SHS917577 SRO917575:SRO917577 TBK917575:TBK917577 TLG917575:TLG917577 TVC917575:TVC917577 UEY917575:UEY917577 UOU917575:UOU917577 UYQ917575:UYQ917577 VIM917575:VIM917577 VSI917575:VSI917577 WCE917575:WCE917577 WMA917575:WMA917577 WVW917575:WVW917577 N983111:N983113 JK983111:JK983113 TG983111:TG983113 ADC983111:ADC983113 AMY983111:AMY983113 AWU983111:AWU983113 BGQ983111:BGQ983113 BQM983111:BQM983113 CAI983111:CAI983113 CKE983111:CKE983113 CUA983111:CUA983113 DDW983111:DDW983113 DNS983111:DNS983113 DXO983111:DXO983113 EHK983111:EHK983113 ERG983111:ERG983113 FBC983111:FBC983113 FKY983111:FKY983113 FUU983111:FUU983113 GEQ983111:GEQ983113 GOM983111:GOM983113 GYI983111:GYI983113 HIE983111:HIE983113 HSA983111:HSA983113 IBW983111:IBW983113 ILS983111:ILS983113 IVO983111:IVO983113 JFK983111:JFK983113 JPG983111:JPG983113 JZC983111:JZC983113 KIY983111:KIY983113 KSU983111:KSU983113 LCQ983111:LCQ983113 LMM983111:LMM983113 LWI983111:LWI983113 MGE983111:MGE983113 MQA983111:MQA983113 MZW983111:MZW983113 NJS983111:NJS983113 NTO983111:NTO983113 ODK983111:ODK983113 ONG983111:ONG983113 OXC983111:OXC983113 PGY983111:PGY983113 PQU983111:PQU983113 QAQ983111:QAQ983113 QKM983111:QKM983113 QUI983111:QUI983113 REE983111:REE983113 ROA983111:ROA983113 RXW983111:RXW983113 SHS983111:SHS983113 SRO983111:SRO983113 TBK983111:TBK983113 TLG983111:TLG983113 TVC983111:TVC983113 UEY983111:UEY983113 UOU983111:UOU983113 UYQ983111:UYQ983113 VIM983111:VIM983113 VSI983111:VSI983113 WCE983111:WCE983113 WMA983111:WMA983113 WVW983111:WVW983113 VIM983081:VIM983084 JE53:JE55 TA53:TA55 ACW53:ACW55 AMS53:AMS55 AWO53:AWO55 BGK53:BGK55 BQG53:BQG55 CAC53:CAC55 CJY53:CJY55 CTU53:CTU55 DDQ53:DDQ55 DNM53:DNM55 DXI53:DXI55 EHE53:EHE55 ERA53:ERA55 FAW53:FAW55 FKS53:FKS55 FUO53:FUO55 GEK53:GEK55 GOG53:GOG55 GYC53:GYC55 HHY53:HHY55 HRU53:HRU55 IBQ53:IBQ55 ILM53:ILM55 IVI53:IVI55 JFE53:JFE55 JPA53:JPA55 JYW53:JYW55 KIS53:KIS55 KSO53:KSO55 LCK53:LCK55 LMG53:LMG55 LWC53:LWC55 MFY53:MFY55 MPU53:MPU55 MZQ53:MZQ55 NJM53:NJM55 NTI53:NTI55 ODE53:ODE55 ONA53:ONA55 OWW53:OWW55 PGS53:PGS55 PQO53:PQO55 QAK53:QAK55 QKG53:QKG55 QUC53:QUC55 RDY53:RDY55 RNU53:RNU55 RXQ53:RXQ55 SHM53:SHM55 SRI53:SRI55 TBE53:TBE55 TLA53:TLA55 TUW53:TUW55 UES53:UES55 UOO53:UOO55 UYK53:UYK55 VIG53:VIG55 VSC53:VSC55 WBY53:WBY55 WLU53:WLU55 WVQ53:WVQ55 H65591:H65593 JE65591:JE65593 TA65591:TA65593 ACW65591:ACW65593 AMS65591:AMS65593 AWO65591:AWO65593 BGK65591:BGK65593 BQG65591:BQG65593 CAC65591:CAC65593 CJY65591:CJY65593 CTU65591:CTU65593 DDQ65591:DDQ65593 DNM65591:DNM65593 DXI65591:DXI65593 EHE65591:EHE65593 ERA65591:ERA65593 FAW65591:FAW65593 FKS65591:FKS65593 FUO65591:FUO65593 GEK65591:GEK65593 GOG65591:GOG65593 GYC65591:GYC65593 HHY65591:HHY65593 HRU65591:HRU65593 IBQ65591:IBQ65593 ILM65591:ILM65593 IVI65591:IVI65593 JFE65591:JFE65593 JPA65591:JPA65593 JYW65591:JYW65593 KIS65591:KIS65593 KSO65591:KSO65593 LCK65591:LCK65593 LMG65591:LMG65593 LWC65591:LWC65593 MFY65591:MFY65593 MPU65591:MPU65593 MZQ65591:MZQ65593 NJM65591:NJM65593 NTI65591:NTI65593 ODE65591:ODE65593 ONA65591:ONA65593 OWW65591:OWW65593 PGS65591:PGS65593 PQO65591:PQO65593 QAK65591:QAK65593 QKG65591:QKG65593 QUC65591:QUC65593 RDY65591:RDY65593 RNU65591:RNU65593 RXQ65591:RXQ65593 SHM65591:SHM65593 SRI65591:SRI65593 TBE65591:TBE65593 TLA65591:TLA65593 TUW65591:TUW65593 UES65591:UES65593 UOO65591:UOO65593 UYK65591:UYK65593 VIG65591:VIG65593 VSC65591:VSC65593 WBY65591:WBY65593 WLU65591:WLU65593 WVQ65591:WVQ65593 H131127:H131129 JE131127:JE131129 TA131127:TA131129 ACW131127:ACW131129 AMS131127:AMS131129 AWO131127:AWO131129 BGK131127:BGK131129 BQG131127:BQG131129 CAC131127:CAC131129 CJY131127:CJY131129 CTU131127:CTU131129 DDQ131127:DDQ131129 DNM131127:DNM131129 DXI131127:DXI131129 EHE131127:EHE131129 ERA131127:ERA131129 FAW131127:FAW131129 FKS131127:FKS131129 FUO131127:FUO131129 GEK131127:GEK131129 GOG131127:GOG131129 GYC131127:GYC131129 HHY131127:HHY131129 HRU131127:HRU131129 IBQ131127:IBQ131129 ILM131127:ILM131129 IVI131127:IVI131129 JFE131127:JFE131129 JPA131127:JPA131129 JYW131127:JYW131129 KIS131127:KIS131129 KSO131127:KSO131129 LCK131127:LCK131129 LMG131127:LMG131129 LWC131127:LWC131129 MFY131127:MFY131129 MPU131127:MPU131129 MZQ131127:MZQ131129 NJM131127:NJM131129 NTI131127:NTI131129 ODE131127:ODE131129 ONA131127:ONA131129 OWW131127:OWW131129 PGS131127:PGS131129 PQO131127:PQO131129 QAK131127:QAK131129 QKG131127:QKG131129 QUC131127:QUC131129 RDY131127:RDY131129 RNU131127:RNU131129 RXQ131127:RXQ131129 SHM131127:SHM131129 SRI131127:SRI131129 TBE131127:TBE131129 TLA131127:TLA131129 TUW131127:TUW131129 UES131127:UES131129 UOO131127:UOO131129 UYK131127:UYK131129 VIG131127:VIG131129 VSC131127:VSC131129 WBY131127:WBY131129 WLU131127:WLU131129 WVQ131127:WVQ131129 H196663:H196665 JE196663:JE196665 TA196663:TA196665 ACW196663:ACW196665 AMS196663:AMS196665 AWO196663:AWO196665 BGK196663:BGK196665 BQG196663:BQG196665 CAC196663:CAC196665 CJY196663:CJY196665 CTU196663:CTU196665 DDQ196663:DDQ196665 DNM196663:DNM196665 DXI196663:DXI196665 EHE196663:EHE196665 ERA196663:ERA196665 FAW196663:FAW196665 FKS196663:FKS196665 FUO196663:FUO196665 GEK196663:GEK196665 GOG196663:GOG196665 GYC196663:GYC196665 HHY196663:HHY196665 HRU196663:HRU196665 IBQ196663:IBQ196665 ILM196663:ILM196665 IVI196663:IVI196665 JFE196663:JFE196665 JPA196663:JPA196665 JYW196663:JYW196665 KIS196663:KIS196665 KSO196663:KSO196665 LCK196663:LCK196665 LMG196663:LMG196665 LWC196663:LWC196665 MFY196663:MFY196665 MPU196663:MPU196665 MZQ196663:MZQ196665 NJM196663:NJM196665 NTI196663:NTI196665 ODE196663:ODE196665 ONA196663:ONA196665 OWW196663:OWW196665 PGS196663:PGS196665 PQO196663:PQO196665 QAK196663:QAK196665 QKG196663:QKG196665 QUC196663:QUC196665 RDY196663:RDY196665 RNU196663:RNU196665 RXQ196663:RXQ196665 SHM196663:SHM196665 SRI196663:SRI196665 TBE196663:TBE196665 TLA196663:TLA196665 TUW196663:TUW196665 UES196663:UES196665 UOO196663:UOO196665 UYK196663:UYK196665 VIG196663:VIG196665 VSC196663:VSC196665 WBY196663:WBY196665 WLU196663:WLU196665 WVQ196663:WVQ196665 H262199:H262201 JE262199:JE262201 TA262199:TA262201 ACW262199:ACW262201 AMS262199:AMS262201 AWO262199:AWO262201 BGK262199:BGK262201 BQG262199:BQG262201 CAC262199:CAC262201 CJY262199:CJY262201 CTU262199:CTU262201 DDQ262199:DDQ262201 DNM262199:DNM262201 DXI262199:DXI262201 EHE262199:EHE262201 ERA262199:ERA262201 FAW262199:FAW262201 FKS262199:FKS262201 FUO262199:FUO262201 GEK262199:GEK262201 GOG262199:GOG262201 GYC262199:GYC262201 HHY262199:HHY262201 HRU262199:HRU262201 IBQ262199:IBQ262201 ILM262199:ILM262201 IVI262199:IVI262201 JFE262199:JFE262201 JPA262199:JPA262201 JYW262199:JYW262201 KIS262199:KIS262201 KSO262199:KSO262201 LCK262199:LCK262201 LMG262199:LMG262201 LWC262199:LWC262201 MFY262199:MFY262201 MPU262199:MPU262201 MZQ262199:MZQ262201 NJM262199:NJM262201 NTI262199:NTI262201 ODE262199:ODE262201 ONA262199:ONA262201 OWW262199:OWW262201 PGS262199:PGS262201 PQO262199:PQO262201 QAK262199:QAK262201 QKG262199:QKG262201 QUC262199:QUC262201 RDY262199:RDY262201 RNU262199:RNU262201 RXQ262199:RXQ262201 SHM262199:SHM262201 SRI262199:SRI262201 TBE262199:TBE262201 TLA262199:TLA262201 TUW262199:TUW262201 UES262199:UES262201 UOO262199:UOO262201 UYK262199:UYK262201 VIG262199:VIG262201 VSC262199:VSC262201 WBY262199:WBY262201 WLU262199:WLU262201 WVQ262199:WVQ262201 H327735:H327737 JE327735:JE327737 TA327735:TA327737 ACW327735:ACW327737 AMS327735:AMS327737 AWO327735:AWO327737 BGK327735:BGK327737 BQG327735:BQG327737 CAC327735:CAC327737 CJY327735:CJY327737 CTU327735:CTU327737 DDQ327735:DDQ327737 DNM327735:DNM327737 DXI327735:DXI327737 EHE327735:EHE327737 ERA327735:ERA327737 FAW327735:FAW327737 FKS327735:FKS327737 FUO327735:FUO327737 GEK327735:GEK327737 GOG327735:GOG327737 GYC327735:GYC327737 HHY327735:HHY327737 HRU327735:HRU327737 IBQ327735:IBQ327737 ILM327735:ILM327737 IVI327735:IVI327737 JFE327735:JFE327737 JPA327735:JPA327737 JYW327735:JYW327737 KIS327735:KIS327737 KSO327735:KSO327737 LCK327735:LCK327737 LMG327735:LMG327737 LWC327735:LWC327737 MFY327735:MFY327737 MPU327735:MPU327737 MZQ327735:MZQ327737 NJM327735:NJM327737 NTI327735:NTI327737 ODE327735:ODE327737 ONA327735:ONA327737 OWW327735:OWW327737 PGS327735:PGS327737 PQO327735:PQO327737 QAK327735:QAK327737 QKG327735:QKG327737 QUC327735:QUC327737 RDY327735:RDY327737 RNU327735:RNU327737 RXQ327735:RXQ327737 SHM327735:SHM327737 SRI327735:SRI327737 TBE327735:TBE327737 TLA327735:TLA327737 TUW327735:TUW327737 UES327735:UES327737 UOO327735:UOO327737 UYK327735:UYK327737 VIG327735:VIG327737 VSC327735:VSC327737 WBY327735:WBY327737 WLU327735:WLU327737 WVQ327735:WVQ327737 H393271:H393273 JE393271:JE393273 TA393271:TA393273 ACW393271:ACW393273 AMS393271:AMS393273 AWO393271:AWO393273 BGK393271:BGK393273 BQG393271:BQG393273 CAC393271:CAC393273 CJY393271:CJY393273 CTU393271:CTU393273 DDQ393271:DDQ393273 DNM393271:DNM393273 DXI393271:DXI393273 EHE393271:EHE393273 ERA393271:ERA393273 FAW393271:FAW393273 FKS393271:FKS393273 FUO393271:FUO393273 GEK393271:GEK393273 GOG393271:GOG393273 GYC393271:GYC393273 HHY393271:HHY393273 HRU393271:HRU393273 IBQ393271:IBQ393273 ILM393271:ILM393273 IVI393271:IVI393273 JFE393271:JFE393273 JPA393271:JPA393273 JYW393271:JYW393273 KIS393271:KIS393273 KSO393271:KSO393273 LCK393271:LCK393273 LMG393271:LMG393273 LWC393271:LWC393273 MFY393271:MFY393273 MPU393271:MPU393273 MZQ393271:MZQ393273 NJM393271:NJM393273 NTI393271:NTI393273 ODE393271:ODE393273 ONA393271:ONA393273 OWW393271:OWW393273 PGS393271:PGS393273 PQO393271:PQO393273 QAK393271:QAK393273 QKG393271:QKG393273 QUC393271:QUC393273 RDY393271:RDY393273 RNU393271:RNU393273 RXQ393271:RXQ393273 SHM393271:SHM393273 SRI393271:SRI393273 TBE393271:TBE393273 TLA393271:TLA393273 TUW393271:TUW393273 UES393271:UES393273 UOO393271:UOO393273 UYK393271:UYK393273 VIG393271:VIG393273 VSC393271:VSC393273 WBY393271:WBY393273 WLU393271:WLU393273 WVQ393271:WVQ393273 H458807:H458809 JE458807:JE458809 TA458807:TA458809 ACW458807:ACW458809 AMS458807:AMS458809 AWO458807:AWO458809 BGK458807:BGK458809 BQG458807:BQG458809 CAC458807:CAC458809 CJY458807:CJY458809 CTU458807:CTU458809 DDQ458807:DDQ458809 DNM458807:DNM458809 DXI458807:DXI458809 EHE458807:EHE458809 ERA458807:ERA458809 FAW458807:FAW458809 FKS458807:FKS458809 FUO458807:FUO458809 GEK458807:GEK458809 GOG458807:GOG458809 GYC458807:GYC458809 HHY458807:HHY458809 HRU458807:HRU458809 IBQ458807:IBQ458809 ILM458807:ILM458809 IVI458807:IVI458809 JFE458807:JFE458809 JPA458807:JPA458809 JYW458807:JYW458809 KIS458807:KIS458809 KSO458807:KSO458809 LCK458807:LCK458809 LMG458807:LMG458809 LWC458807:LWC458809 MFY458807:MFY458809 MPU458807:MPU458809 MZQ458807:MZQ458809 NJM458807:NJM458809 NTI458807:NTI458809 ODE458807:ODE458809 ONA458807:ONA458809 OWW458807:OWW458809 PGS458807:PGS458809 PQO458807:PQO458809 QAK458807:QAK458809 QKG458807:QKG458809 QUC458807:QUC458809 RDY458807:RDY458809 RNU458807:RNU458809 RXQ458807:RXQ458809 SHM458807:SHM458809 SRI458807:SRI458809 TBE458807:TBE458809 TLA458807:TLA458809 TUW458807:TUW458809 UES458807:UES458809 UOO458807:UOO458809 UYK458807:UYK458809 VIG458807:VIG458809 VSC458807:VSC458809 WBY458807:WBY458809 WLU458807:WLU458809 WVQ458807:WVQ458809 H524343:H524345 JE524343:JE524345 TA524343:TA524345 ACW524343:ACW524345 AMS524343:AMS524345 AWO524343:AWO524345 BGK524343:BGK524345 BQG524343:BQG524345 CAC524343:CAC524345 CJY524343:CJY524345 CTU524343:CTU524345 DDQ524343:DDQ524345 DNM524343:DNM524345 DXI524343:DXI524345 EHE524343:EHE524345 ERA524343:ERA524345 FAW524343:FAW524345 FKS524343:FKS524345 FUO524343:FUO524345 GEK524343:GEK524345 GOG524343:GOG524345 GYC524343:GYC524345 HHY524343:HHY524345 HRU524343:HRU524345 IBQ524343:IBQ524345 ILM524343:ILM524345 IVI524343:IVI524345 JFE524343:JFE524345 JPA524343:JPA524345 JYW524343:JYW524345 KIS524343:KIS524345 KSO524343:KSO524345 LCK524343:LCK524345 LMG524343:LMG524345 LWC524343:LWC524345 MFY524343:MFY524345 MPU524343:MPU524345 MZQ524343:MZQ524345 NJM524343:NJM524345 NTI524343:NTI524345 ODE524343:ODE524345 ONA524343:ONA524345 OWW524343:OWW524345 PGS524343:PGS524345 PQO524343:PQO524345 QAK524343:QAK524345 QKG524343:QKG524345 QUC524343:QUC524345 RDY524343:RDY524345 RNU524343:RNU524345 RXQ524343:RXQ524345 SHM524343:SHM524345 SRI524343:SRI524345 TBE524343:TBE524345 TLA524343:TLA524345 TUW524343:TUW524345 UES524343:UES524345 UOO524343:UOO524345 UYK524343:UYK524345 VIG524343:VIG524345 VSC524343:VSC524345 WBY524343:WBY524345 WLU524343:WLU524345 WVQ524343:WVQ524345 H589879:H589881 JE589879:JE589881 TA589879:TA589881 ACW589879:ACW589881 AMS589879:AMS589881 AWO589879:AWO589881 BGK589879:BGK589881 BQG589879:BQG589881 CAC589879:CAC589881 CJY589879:CJY589881 CTU589879:CTU589881 DDQ589879:DDQ589881 DNM589879:DNM589881 DXI589879:DXI589881 EHE589879:EHE589881 ERA589879:ERA589881 FAW589879:FAW589881 FKS589879:FKS589881 FUO589879:FUO589881 GEK589879:GEK589881 GOG589879:GOG589881 GYC589879:GYC589881 HHY589879:HHY589881 HRU589879:HRU589881 IBQ589879:IBQ589881 ILM589879:ILM589881 IVI589879:IVI589881 JFE589879:JFE589881 JPA589879:JPA589881 JYW589879:JYW589881 KIS589879:KIS589881 KSO589879:KSO589881 LCK589879:LCK589881 LMG589879:LMG589881 LWC589879:LWC589881 MFY589879:MFY589881 MPU589879:MPU589881 MZQ589879:MZQ589881 NJM589879:NJM589881 NTI589879:NTI589881 ODE589879:ODE589881 ONA589879:ONA589881 OWW589879:OWW589881 PGS589879:PGS589881 PQO589879:PQO589881 QAK589879:QAK589881 QKG589879:QKG589881 QUC589879:QUC589881 RDY589879:RDY589881 RNU589879:RNU589881 RXQ589879:RXQ589881 SHM589879:SHM589881 SRI589879:SRI589881 TBE589879:TBE589881 TLA589879:TLA589881 TUW589879:TUW589881 UES589879:UES589881 UOO589879:UOO589881 UYK589879:UYK589881 VIG589879:VIG589881 VSC589879:VSC589881 WBY589879:WBY589881 WLU589879:WLU589881 WVQ589879:WVQ589881 H655415:H655417 JE655415:JE655417 TA655415:TA655417 ACW655415:ACW655417 AMS655415:AMS655417 AWO655415:AWO655417 BGK655415:BGK655417 BQG655415:BQG655417 CAC655415:CAC655417 CJY655415:CJY655417 CTU655415:CTU655417 DDQ655415:DDQ655417 DNM655415:DNM655417 DXI655415:DXI655417 EHE655415:EHE655417 ERA655415:ERA655417 FAW655415:FAW655417 FKS655415:FKS655417 FUO655415:FUO655417 GEK655415:GEK655417 GOG655415:GOG655417 GYC655415:GYC655417 HHY655415:HHY655417 HRU655415:HRU655417 IBQ655415:IBQ655417 ILM655415:ILM655417 IVI655415:IVI655417 JFE655415:JFE655417 JPA655415:JPA655417 JYW655415:JYW655417 KIS655415:KIS655417 KSO655415:KSO655417 LCK655415:LCK655417 LMG655415:LMG655417 LWC655415:LWC655417 MFY655415:MFY655417 MPU655415:MPU655417 MZQ655415:MZQ655417 NJM655415:NJM655417 NTI655415:NTI655417 ODE655415:ODE655417 ONA655415:ONA655417 OWW655415:OWW655417 PGS655415:PGS655417 PQO655415:PQO655417 QAK655415:QAK655417 QKG655415:QKG655417 QUC655415:QUC655417 RDY655415:RDY655417 RNU655415:RNU655417 RXQ655415:RXQ655417 SHM655415:SHM655417 SRI655415:SRI655417 TBE655415:TBE655417 TLA655415:TLA655417 TUW655415:TUW655417 UES655415:UES655417 UOO655415:UOO655417 UYK655415:UYK655417 VIG655415:VIG655417 VSC655415:VSC655417 WBY655415:WBY655417 WLU655415:WLU655417 WVQ655415:WVQ655417 H720951:H720953 JE720951:JE720953 TA720951:TA720953 ACW720951:ACW720953 AMS720951:AMS720953 AWO720951:AWO720953 BGK720951:BGK720953 BQG720951:BQG720953 CAC720951:CAC720953 CJY720951:CJY720953 CTU720951:CTU720953 DDQ720951:DDQ720953 DNM720951:DNM720953 DXI720951:DXI720953 EHE720951:EHE720953 ERA720951:ERA720953 FAW720951:FAW720953 FKS720951:FKS720953 FUO720951:FUO720953 GEK720951:GEK720953 GOG720951:GOG720953 GYC720951:GYC720953 HHY720951:HHY720953 HRU720951:HRU720953 IBQ720951:IBQ720953 ILM720951:ILM720953 IVI720951:IVI720953 JFE720951:JFE720953 JPA720951:JPA720953 JYW720951:JYW720953 KIS720951:KIS720953 KSO720951:KSO720953 LCK720951:LCK720953 LMG720951:LMG720953 LWC720951:LWC720953 MFY720951:MFY720953 MPU720951:MPU720953 MZQ720951:MZQ720953 NJM720951:NJM720953 NTI720951:NTI720953 ODE720951:ODE720953 ONA720951:ONA720953 OWW720951:OWW720953 PGS720951:PGS720953 PQO720951:PQO720953 QAK720951:QAK720953 QKG720951:QKG720953 QUC720951:QUC720953 RDY720951:RDY720953 RNU720951:RNU720953 RXQ720951:RXQ720953 SHM720951:SHM720953 SRI720951:SRI720953 TBE720951:TBE720953 TLA720951:TLA720953 TUW720951:TUW720953 UES720951:UES720953 UOO720951:UOO720953 UYK720951:UYK720953 VIG720951:VIG720953 VSC720951:VSC720953 WBY720951:WBY720953 WLU720951:WLU720953 WVQ720951:WVQ720953 H786487:H786489 JE786487:JE786489 TA786487:TA786489 ACW786487:ACW786489 AMS786487:AMS786489 AWO786487:AWO786489 BGK786487:BGK786489 BQG786487:BQG786489 CAC786487:CAC786489 CJY786487:CJY786489 CTU786487:CTU786489 DDQ786487:DDQ786489 DNM786487:DNM786489 DXI786487:DXI786489 EHE786487:EHE786489 ERA786487:ERA786489 FAW786487:FAW786489 FKS786487:FKS786489 FUO786487:FUO786489 GEK786487:GEK786489 GOG786487:GOG786489 GYC786487:GYC786489 HHY786487:HHY786489 HRU786487:HRU786489 IBQ786487:IBQ786489 ILM786487:ILM786489 IVI786487:IVI786489 JFE786487:JFE786489 JPA786487:JPA786489 JYW786487:JYW786489 KIS786487:KIS786489 KSO786487:KSO786489 LCK786487:LCK786489 LMG786487:LMG786489 LWC786487:LWC786489 MFY786487:MFY786489 MPU786487:MPU786489 MZQ786487:MZQ786489 NJM786487:NJM786489 NTI786487:NTI786489 ODE786487:ODE786489 ONA786487:ONA786489 OWW786487:OWW786489 PGS786487:PGS786489 PQO786487:PQO786489 QAK786487:QAK786489 QKG786487:QKG786489 QUC786487:QUC786489 RDY786487:RDY786489 RNU786487:RNU786489 RXQ786487:RXQ786489 SHM786487:SHM786489 SRI786487:SRI786489 TBE786487:TBE786489 TLA786487:TLA786489 TUW786487:TUW786489 UES786487:UES786489 UOO786487:UOO786489 UYK786487:UYK786489 VIG786487:VIG786489 VSC786487:VSC786489 WBY786487:WBY786489 WLU786487:WLU786489 WVQ786487:WVQ786489 H852023:H852025 JE852023:JE852025 TA852023:TA852025 ACW852023:ACW852025 AMS852023:AMS852025 AWO852023:AWO852025 BGK852023:BGK852025 BQG852023:BQG852025 CAC852023:CAC852025 CJY852023:CJY852025 CTU852023:CTU852025 DDQ852023:DDQ852025 DNM852023:DNM852025 DXI852023:DXI852025 EHE852023:EHE852025 ERA852023:ERA852025 FAW852023:FAW852025 FKS852023:FKS852025 FUO852023:FUO852025 GEK852023:GEK852025 GOG852023:GOG852025 GYC852023:GYC852025 HHY852023:HHY852025 HRU852023:HRU852025 IBQ852023:IBQ852025 ILM852023:ILM852025 IVI852023:IVI852025 JFE852023:JFE852025 JPA852023:JPA852025 JYW852023:JYW852025 KIS852023:KIS852025 KSO852023:KSO852025 LCK852023:LCK852025 LMG852023:LMG852025 LWC852023:LWC852025 MFY852023:MFY852025 MPU852023:MPU852025 MZQ852023:MZQ852025 NJM852023:NJM852025 NTI852023:NTI852025 ODE852023:ODE852025 ONA852023:ONA852025 OWW852023:OWW852025 PGS852023:PGS852025 PQO852023:PQO852025 QAK852023:QAK852025 QKG852023:QKG852025 QUC852023:QUC852025 RDY852023:RDY852025 RNU852023:RNU852025 RXQ852023:RXQ852025 SHM852023:SHM852025 SRI852023:SRI852025 TBE852023:TBE852025 TLA852023:TLA852025 TUW852023:TUW852025 UES852023:UES852025 UOO852023:UOO852025 UYK852023:UYK852025 VIG852023:VIG852025 VSC852023:VSC852025 WBY852023:WBY852025 WLU852023:WLU852025 WVQ852023:WVQ852025 H917559:H917561 JE917559:JE917561 TA917559:TA917561 ACW917559:ACW917561 AMS917559:AMS917561 AWO917559:AWO917561 BGK917559:BGK917561 BQG917559:BQG917561 CAC917559:CAC917561 CJY917559:CJY917561 CTU917559:CTU917561 DDQ917559:DDQ917561 DNM917559:DNM917561 DXI917559:DXI917561 EHE917559:EHE917561 ERA917559:ERA917561 FAW917559:FAW917561 FKS917559:FKS917561 FUO917559:FUO917561 GEK917559:GEK917561 GOG917559:GOG917561 GYC917559:GYC917561 HHY917559:HHY917561 HRU917559:HRU917561 IBQ917559:IBQ917561 ILM917559:ILM917561 IVI917559:IVI917561 JFE917559:JFE917561 JPA917559:JPA917561 JYW917559:JYW917561 KIS917559:KIS917561 KSO917559:KSO917561 LCK917559:LCK917561 LMG917559:LMG917561 LWC917559:LWC917561 MFY917559:MFY917561 MPU917559:MPU917561 MZQ917559:MZQ917561 NJM917559:NJM917561 NTI917559:NTI917561 ODE917559:ODE917561 ONA917559:ONA917561 OWW917559:OWW917561 PGS917559:PGS917561 PQO917559:PQO917561 QAK917559:QAK917561 QKG917559:QKG917561 QUC917559:QUC917561 RDY917559:RDY917561 RNU917559:RNU917561 RXQ917559:RXQ917561 SHM917559:SHM917561 SRI917559:SRI917561 TBE917559:TBE917561 TLA917559:TLA917561 TUW917559:TUW917561 UES917559:UES917561 UOO917559:UOO917561 UYK917559:UYK917561 VIG917559:VIG917561 VSC917559:VSC917561 WBY917559:WBY917561 WLU917559:WLU917561 WVQ917559:WVQ917561 H983095:H983097 JE983095:JE983097 TA983095:TA983097 ACW983095:ACW983097 AMS983095:AMS983097 AWO983095:AWO983097 BGK983095:BGK983097 BQG983095:BQG983097 CAC983095:CAC983097 CJY983095:CJY983097 CTU983095:CTU983097 DDQ983095:DDQ983097 DNM983095:DNM983097 DXI983095:DXI983097 EHE983095:EHE983097 ERA983095:ERA983097 FAW983095:FAW983097 FKS983095:FKS983097 FUO983095:FUO983097 GEK983095:GEK983097 GOG983095:GOG983097 GYC983095:GYC983097 HHY983095:HHY983097 HRU983095:HRU983097 IBQ983095:IBQ983097 ILM983095:ILM983097 IVI983095:IVI983097 JFE983095:JFE983097 JPA983095:JPA983097 JYW983095:JYW983097 KIS983095:KIS983097 KSO983095:KSO983097 LCK983095:LCK983097 LMG983095:LMG983097 LWC983095:LWC983097 MFY983095:MFY983097 MPU983095:MPU983097 MZQ983095:MZQ983097 NJM983095:NJM983097 NTI983095:NTI983097 ODE983095:ODE983097 ONA983095:ONA983097 OWW983095:OWW983097 PGS983095:PGS983097 PQO983095:PQO983097 QAK983095:QAK983097 QKG983095:QKG983097 QUC983095:QUC983097 RDY983095:RDY983097 RNU983095:RNU983097 RXQ983095:RXQ983097 SHM983095:SHM983097 SRI983095:SRI983097 TBE983095:TBE983097 TLA983095:TLA983097 TUW983095:TUW983097 UES983095:UES983097 UOO983095:UOO983097 UYK983095:UYK983097 VIG983095:VIG983097 VSC983095:VSC983097 WBY983095:WBY983097 WLU983095:WLU983097 WVQ983095:WVQ983097 WVW983081:WVW983084 JE75:JE78 TA75:TA78 ACW75:ACW78 AMS75:AMS78 AWO75:AWO78 BGK75:BGK78 BQG75:BQG78 CAC75:CAC78 CJY75:CJY78 CTU75:CTU78 DDQ75:DDQ78 DNM75:DNM78 DXI75:DXI78 EHE75:EHE78 ERA75:ERA78 FAW75:FAW78 FKS75:FKS78 FUO75:FUO78 GEK75:GEK78 GOG75:GOG78 GYC75:GYC78 HHY75:HHY78 HRU75:HRU78 IBQ75:IBQ78 ILM75:ILM78 IVI75:IVI78 JFE75:JFE78 JPA75:JPA78 JYW75:JYW78 KIS75:KIS78 KSO75:KSO78 LCK75:LCK78 LMG75:LMG78 LWC75:LWC78 MFY75:MFY78 MPU75:MPU78 MZQ75:MZQ78 NJM75:NJM78 NTI75:NTI78 ODE75:ODE78 ONA75:ONA78 OWW75:OWW78 PGS75:PGS78 PQO75:PQO78 QAK75:QAK78 QKG75:QKG78 QUC75:QUC78 RDY75:RDY78 RNU75:RNU78 RXQ75:RXQ78 SHM75:SHM78 SRI75:SRI78 TBE75:TBE78 TLA75:TLA78 TUW75:TUW78 UES75:UES78 UOO75:UOO78 UYK75:UYK78 VIG75:VIG78 VSC75:VSC78 WBY75:WBY78 WLU75:WLU78 WVQ75:WVQ78 H65613:H65616 JE65613:JE65616 TA65613:TA65616 ACW65613:ACW65616 AMS65613:AMS65616 AWO65613:AWO65616 BGK65613:BGK65616 BQG65613:BQG65616 CAC65613:CAC65616 CJY65613:CJY65616 CTU65613:CTU65616 DDQ65613:DDQ65616 DNM65613:DNM65616 DXI65613:DXI65616 EHE65613:EHE65616 ERA65613:ERA65616 FAW65613:FAW65616 FKS65613:FKS65616 FUO65613:FUO65616 GEK65613:GEK65616 GOG65613:GOG65616 GYC65613:GYC65616 HHY65613:HHY65616 HRU65613:HRU65616 IBQ65613:IBQ65616 ILM65613:ILM65616 IVI65613:IVI65616 JFE65613:JFE65616 JPA65613:JPA65616 JYW65613:JYW65616 KIS65613:KIS65616 KSO65613:KSO65616 LCK65613:LCK65616 LMG65613:LMG65616 LWC65613:LWC65616 MFY65613:MFY65616 MPU65613:MPU65616 MZQ65613:MZQ65616 NJM65613:NJM65616 NTI65613:NTI65616 ODE65613:ODE65616 ONA65613:ONA65616 OWW65613:OWW65616 PGS65613:PGS65616 PQO65613:PQO65616 QAK65613:QAK65616 QKG65613:QKG65616 QUC65613:QUC65616 RDY65613:RDY65616 RNU65613:RNU65616 RXQ65613:RXQ65616 SHM65613:SHM65616 SRI65613:SRI65616 TBE65613:TBE65616 TLA65613:TLA65616 TUW65613:TUW65616 UES65613:UES65616 UOO65613:UOO65616 UYK65613:UYK65616 VIG65613:VIG65616 VSC65613:VSC65616 WBY65613:WBY65616 WLU65613:WLU65616 WVQ65613:WVQ65616 H131149:H131152 JE131149:JE131152 TA131149:TA131152 ACW131149:ACW131152 AMS131149:AMS131152 AWO131149:AWO131152 BGK131149:BGK131152 BQG131149:BQG131152 CAC131149:CAC131152 CJY131149:CJY131152 CTU131149:CTU131152 DDQ131149:DDQ131152 DNM131149:DNM131152 DXI131149:DXI131152 EHE131149:EHE131152 ERA131149:ERA131152 FAW131149:FAW131152 FKS131149:FKS131152 FUO131149:FUO131152 GEK131149:GEK131152 GOG131149:GOG131152 GYC131149:GYC131152 HHY131149:HHY131152 HRU131149:HRU131152 IBQ131149:IBQ131152 ILM131149:ILM131152 IVI131149:IVI131152 JFE131149:JFE131152 JPA131149:JPA131152 JYW131149:JYW131152 KIS131149:KIS131152 KSO131149:KSO131152 LCK131149:LCK131152 LMG131149:LMG131152 LWC131149:LWC131152 MFY131149:MFY131152 MPU131149:MPU131152 MZQ131149:MZQ131152 NJM131149:NJM131152 NTI131149:NTI131152 ODE131149:ODE131152 ONA131149:ONA131152 OWW131149:OWW131152 PGS131149:PGS131152 PQO131149:PQO131152 QAK131149:QAK131152 QKG131149:QKG131152 QUC131149:QUC131152 RDY131149:RDY131152 RNU131149:RNU131152 RXQ131149:RXQ131152 SHM131149:SHM131152 SRI131149:SRI131152 TBE131149:TBE131152 TLA131149:TLA131152 TUW131149:TUW131152 UES131149:UES131152 UOO131149:UOO131152 UYK131149:UYK131152 VIG131149:VIG131152 VSC131149:VSC131152 WBY131149:WBY131152 WLU131149:WLU131152 WVQ131149:WVQ131152 H196685:H196688 JE196685:JE196688 TA196685:TA196688 ACW196685:ACW196688 AMS196685:AMS196688 AWO196685:AWO196688 BGK196685:BGK196688 BQG196685:BQG196688 CAC196685:CAC196688 CJY196685:CJY196688 CTU196685:CTU196688 DDQ196685:DDQ196688 DNM196685:DNM196688 DXI196685:DXI196688 EHE196685:EHE196688 ERA196685:ERA196688 FAW196685:FAW196688 FKS196685:FKS196688 FUO196685:FUO196688 GEK196685:GEK196688 GOG196685:GOG196688 GYC196685:GYC196688 HHY196685:HHY196688 HRU196685:HRU196688 IBQ196685:IBQ196688 ILM196685:ILM196688 IVI196685:IVI196688 JFE196685:JFE196688 JPA196685:JPA196688 JYW196685:JYW196688 KIS196685:KIS196688 KSO196685:KSO196688 LCK196685:LCK196688 LMG196685:LMG196688 LWC196685:LWC196688 MFY196685:MFY196688 MPU196685:MPU196688 MZQ196685:MZQ196688 NJM196685:NJM196688 NTI196685:NTI196688 ODE196685:ODE196688 ONA196685:ONA196688 OWW196685:OWW196688 PGS196685:PGS196688 PQO196685:PQO196688 QAK196685:QAK196688 QKG196685:QKG196688 QUC196685:QUC196688 RDY196685:RDY196688 RNU196685:RNU196688 RXQ196685:RXQ196688 SHM196685:SHM196688 SRI196685:SRI196688 TBE196685:TBE196688 TLA196685:TLA196688 TUW196685:TUW196688 UES196685:UES196688 UOO196685:UOO196688 UYK196685:UYK196688 VIG196685:VIG196688 VSC196685:VSC196688 WBY196685:WBY196688 WLU196685:WLU196688 WVQ196685:WVQ196688 H262221:H262224 JE262221:JE262224 TA262221:TA262224 ACW262221:ACW262224 AMS262221:AMS262224 AWO262221:AWO262224 BGK262221:BGK262224 BQG262221:BQG262224 CAC262221:CAC262224 CJY262221:CJY262224 CTU262221:CTU262224 DDQ262221:DDQ262224 DNM262221:DNM262224 DXI262221:DXI262224 EHE262221:EHE262224 ERA262221:ERA262224 FAW262221:FAW262224 FKS262221:FKS262224 FUO262221:FUO262224 GEK262221:GEK262224 GOG262221:GOG262224 GYC262221:GYC262224 HHY262221:HHY262224 HRU262221:HRU262224 IBQ262221:IBQ262224 ILM262221:ILM262224 IVI262221:IVI262224 JFE262221:JFE262224 JPA262221:JPA262224 JYW262221:JYW262224 KIS262221:KIS262224 KSO262221:KSO262224 LCK262221:LCK262224 LMG262221:LMG262224 LWC262221:LWC262224 MFY262221:MFY262224 MPU262221:MPU262224 MZQ262221:MZQ262224 NJM262221:NJM262224 NTI262221:NTI262224 ODE262221:ODE262224 ONA262221:ONA262224 OWW262221:OWW262224 PGS262221:PGS262224 PQO262221:PQO262224 QAK262221:QAK262224 QKG262221:QKG262224 QUC262221:QUC262224 RDY262221:RDY262224 RNU262221:RNU262224 RXQ262221:RXQ262224 SHM262221:SHM262224 SRI262221:SRI262224 TBE262221:TBE262224 TLA262221:TLA262224 TUW262221:TUW262224 UES262221:UES262224 UOO262221:UOO262224 UYK262221:UYK262224 VIG262221:VIG262224 VSC262221:VSC262224 WBY262221:WBY262224 WLU262221:WLU262224 WVQ262221:WVQ262224 H327757:H327760 JE327757:JE327760 TA327757:TA327760 ACW327757:ACW327760 AMS327757:AMS327760 AWO327757:AWO327760 BGK327757:BGK327760 BQG327757:BQG327760 CAC327757:CAC327760 CJY327757:CJY327760 CTU327757:CTU327760 DDQ327757:DDQ327760 DNM327757:DNM327760 DXI327757:DXI327760 EHE327757:EHE327760 ERA327757:ERA327760 FAW327757:FAW327760 FKS327757:FKS327760 FUO327757:FUO327760 GEK327757:GEK327760 GOG327757:GOG327760 GYC327757:GYC327760 HHY327757:HHY327760 HRU327757:HRU327760 IBQ327757:IBQ327760 ILM327757:ILM327760 IVI327757:IVI327760 JFE327757:JFE327760 JPA327757:JPA327760 JYW327757:JYW327760 KIS327757:KIS327760 KSO327757:KSO327760 LCK327757:LCK327760 LMG327757:LMG327760 LWC327757:LWC327760 MFY327757:MFY327760 MPU327757:MPU327760 MZQ327757:MZQ327760 NJM327757:NJM327760 NTI327757:NTI327760 ODE327757:ODE327760 ONA327757:ONA327760 OWW327757:OWW327760 PGS327757:PGS327760 PQO327757:PQO327760 QAK327757:QAK327760 QKG327757:QKG327760 QUC327757:QUC327760 RDY327757:RDY327760 RNU327757:RNU327760 RXQ327757:RXQ327760 SHM327757:SHM327760 SRI327757:SRI327760 TBE327757:TBE327760 TLA327757:TLA327760 TUW327757:TUW327760 UES327757:UES327760 UOO327757:UOO327760 UYK327757:UYK327760 VIG327757:VIG327760 VSC327757:VSC327760 WBY327757:WBY327760 WLU327757:WLU327760 WVQ327757:WVQ327760 H393293:H393296 JE393293:JE393296 TA393293:TA393296 ACW393293:ACW393296 AMS393293:AMS393296 AWO393293:AWO393296 BGK393293:BGK393296 BQG393293:BQG393296 CAC393293:CAC393296 CJY393293:CJY393296 CTU393293:CTU393296 DDQ393293:DDQ393296 DNM393293:DNM393296 DXI393293:DXI393296 EHE393293:EHE393296 ERA393293:ERA393296 FAW393293:FAW393296 FKS393293:FKS393296 FUO393293:FUO393296 GEK393293:GEK393296 GOG393293:GOG393296 GYC393293:GYC393296 HHY393293:HHY393296 HRU393293:HRU393296 IBQ393293:IBQ393296 ILM393293:ILM393296 IVI393293:IVI393296 JFE393293:JFE393296 JPA393293:JPA393296 JYW393293:JYW393296 KIS393293:KIS393296 KSO393293:KSO393296 LCK393293:LCK393296 LMG393293:LMG393296 LWC393293:LWC393296 MFY393293:MFY393296 MPU393293:MPU393296 MZQ393293:MZQ393296 NJM393293:NJM393296 NTI393293:NTI393296 ODE393293:ODE393296 ONA393293:ONA393296 OWW393293:OWW393296 PGS393293:PGS393296 PQO393293:PQO393296 QAK393293:QAK393296 QKG393293:QKG393296 QUC393293:QUC393296 RDY393293:RDY393296 RNU393293:RNU393296 RXQ393293:RXQ393296 SHM393293:SHM393296 SRI393293:SRI393296 TBE393293:TBE393296 TLA393293:TLA393296 TUW393293:TUW393296 UES393293:UES393296 UOO393293:UOO393296 UYK393293:UYK393296 VIG393293:VIG393296 VSC393293:VSC393296 WBY393293:WBY393296 WLU393293:WLU393296 WVQ393293:WVQ393296 H458829:H458832 JE458829:JE458832 TA458829:TA458832 ACW458829:ACW458832 AMS458829:AMS458832 AWO458829:AWO458832 BGK458829:BGK458832 BQG458829:BQG458832 CAC458829:CAC458832 CJY458829:CJY458832 CTU458829:CTU458832 DDQ458829:DDQ458832 DNM458829:DNM458832 DXI458829:DXI458832 EHE458829:EHE458832 ERA458829:ERA458832 FAW458829:FAW458832 FKS458829:FKS458832 FUO458829:FUO458832 GEK458829:GEK458832 GOG458829:GOG458832 GYC458829:GYC458832 HHY458829:HHY458832 HRU458829:HRU458832 IBQ458829:IBQ458832 ILM458829:ILM458832 IVI458829:IVI458832 JFE458829:JFE458832 JPA458829:JPA458832 JYW458829:JYW458832 KIS458829:KIS458832 KSO458829:KSO458832 LCK458829:LCK458832 LMG458829:LMG458832 LWC458829:LWC458832 MFY458829:MFY458832 MPU458829:MPU458832 MZQ458829:MZQ458832 NJM458829:NJM458832 NTI458829:NTI458832 ODE458829:ODE458832 ONA458829:ONA458832 OWW458829:OWW458832 PGS458829:PGS458832 PQO458829:PQO458832 QAK458829:QAK458832 QKG458829:QKG458832 QUC458829:QUC458832 RDY458829:RDY458832 RNU458829:RNU458832 RXQ458829:RXQ458832 SHM458829:SHM458832 SRI458829:SRI458832 TBE458829:TBE458832 TLA458829:TLA458832 TUW458829:TUW458832 UES458829:UES458832 UOO458829:UOO458832 UYK458829:UYK458832 VIG458829:VIG458832 VSC458829:VSC458832 WBY458829:WBY458832 WLU458829:WLU458832 WVQ458829:WVQ458832 H524365:H524368 JE524365:JE524368 TA524365:TA524368 ACW524365:ACW524368 AMS524365:AMS524368 AWO524365:AWO524368 BGK524365:BGK524368 BQG524365:BQG524368 CAC524365:CAC524368 CJY524365:CJY524368 CTU524365:CTU524368 DDQ524365:DDQ524368 DNM524365:DNM524368 DXI524365:DXI524368 EHE524365:EHE524368 ERA524365:ERA524368 FAW524365:FAW524368 FKS524365:FKS524368 FUO524365:FUO524368 GEK524365:GEK524368 GOG524365:GOG524368 GYC524365:GYC524368 HHY524365:HHY524368 HRU524365:HRU524368 IBQ524365:IBQ524368 ILM524365:ILM524368 IVI524365:IVI524368 JFE524365:JFE524368 JPA524365:JPA524368 JYW524365:JYW524368 KIS524365:KIS524368 KSO524365:KSO524368 LCK524365:LCK524368 LMG524365:LMG524368 LWC524365:LWC524368 MFY524365:MFY524368 MPU524365:MPU524368 MZQ524365:MZQ524368 NJM524365:NJM524368 NTI524365:NTI524368 ODE524365:ODE524368 ONA524365:ONA524368 OWW524365:OWW524368 PGS524365:PGS524368 PQO524365:PQO524368 QAK524365:QAK524368 QKG524365:QKG524368 QUC524365:QUC524368 RDY524365:RDY524368 RNU524365:RNU524368 RXQ524365:RXQ524368 SHM524365:SHM524368 SRI524365:SRI524368 TBE524365:TBE524368 TLA524365:TLA524368 TUW524365:TUW524368 UES524365:UES524368 UOO524365:UOO524368 UYK524365:UYK524368 VIG524365:VIG524368 VSC524365:VSC524368 WBY524365:WBY524368 WLU524365:WLU524368 WVQ524365:WVQ524368 H589901:H589904 JE589901:JE589904 TA589901:TA589904 ACW589901:ACW589904 AMS589901:AMS589904 AWO589901:AWO589904 BGK589901:BGK589904 BQG589901:BQG589904 CAC589901:CAC589904 CJY589901:CJY589904 CTU589901:CTU589904 DDQ589901:DDQ589904 DNM589901:DNM589904 DXI589901:DXI589904 EHE589901:EHE589904 ERA589901:ERA589904 FAW589901:FAW589904 FKS589901:FKS589904 FUO589901:FUO589904 GEK589901:GEK589904 GOG589901:GOG589904 GYC589901:GYC589904 HHY589901:HHY589904 HRU589901:HRU589904 IBQ589901:IBQ589904 ILM589901:ILM589904 IVI589901:IVI589904 JFE589901:JFE589904 JPA589901:JPA589904 JYW589901:JYW589904 KIS589901:KIS589904 KSO589901:KSO589904 LCK589901:LCK589904 LMG589901:LMG589904 LWC589901:LWC589904 MFY589901:MFY589904 MPU589901:MPU589904 MZQ589901:MZQ589904 NJM589901:NJM589904 NTI589901:NTI589904 ODE589901:ODE589904 ONA589901:ONA589904 OWW589901:OWW589904 PGS589901:PGS589904 PQO589901:PQO589904 QAK589901:QAK589904 QKG589901:QKG589904 QUC589901:QUC589904 RDY589901:RDY589904 RNU589901:RNU589904 RXQ589901:RXQ589904 SHM589901:SHM589904 SRI589901:SRI589904 TBE589901:TBE589904 TLA589901:TLA589904 TUW589901:TUW589904 UES589901:UES589904 UOO589901:UOO589904 UYK589901:UYK589904 VIG589901:VIG589904 VSC589901:VSC589904 WBY589901:WBY589904 WLU589901:WLU589904 WVQ589901:WVQ589904 H655437:H655440 JE655437:JE655440 TA655437:TA655440 ACW655437:ACW655440 AMS655437:AMS655440 AWO655437:AWO655440 BGK655437:BGK655440 BQG655437:BQG655440 CAC655437:CAC655440 CJY655437:CJY655440 CTU655437:CTU655440 DDQ655437:DDQ655440 DNM655437:DNM655440 DXI655437:DXI655440 EHE655437:EHE655440 ERA655437:ERA655440 FAW655437:FAW655440 FKS655437:FKS655440 FUO655437:FUO655440 GEK655437:GEK655440 GOG655437:GOG655440 GYC655437:GYC655440 HHY655437:HHY655440 HRU655437:HRU655440 IBQ655437:IBQ655440 ILM655437:ILM655440 IVI655437:IVI655440 JFE655437:JFE655440 JPA655437:JPA655440 JYW655437:JYW655440 KIS655437:KIS655440 KSO655437:KSO655440 LCK655437:LCK655440 LMG655437:LMG655440 LWC655437:LWC655440 MFY655437:MFY655440 MPU655437:MPU655440 MZQ655437:MZQ655440 NJM655437:NJM655440 NTI655437:NTI655440 ODE655437:ODE655440 ONA655437:ONA655440 OWW655437:OWW655440 PGS655437:PGS655440 PQO655437:PQO655440 QAK655437:QAK655440 QKG655437:QKG655440 QUC655437:QUC655440 RDY655437:RDY655440 RNU655437:RNU655440 RXQ655437:RXQ655440 SHM655437:SHM655440 SRI655437:SRI655440 TBE655437:TBE655440 TLA655437:TLA655440 TUW655437:TUW655440 UES655437:UES655440 UOO655437:UOO655440 UYK655437:UYK655440 VIG655437:VIG655440 VSC655437:VSC655440 WBY655437:WBY655440 WLU655437:WLU655440 WVQ655437:WVQ655440 H720973:H720976 JE720973:JE720976 TA720973:TA720976 ACW720973:ACW720976 AMS720973:AMS720976 AWO720973:AWO720976 BGK720973:BGK720976 BQG720973:BQG720976 CAC720973:CAC720976 CJY720973:CJY720976 CTU720973:CTU720976 DDQ720973:DDQ720976 DNM720973:DNM720976 DXI720973:DXI720976 EHE720973:EHE720976 ERA720973:ERA720976 FAW720973:FAW720976 FKS720973:FKS720976 FUO720973:FUO720976 GEK720973:GEK720976 GOG720973:GOG720976 GYC720973:GYC720976 HHY720973:HHY720976 HRU720973:HRU720976 IBQ720973:IBQ720976 ILM720973:ILM720976 IVI720973:IVI720976 JFE720973:JFE720976 JPA720973:JPA720976 JYW720973:JYW720976 KIS720973:KIS720976 KSO720973:KSO720976 LCK720973:LCK720976 LMG720973:LMG720976 LWC720973:LWC720976 MFY720973:MFY720976 MPU720973:MPU720976 MZQ720973:MZQ720976 NJM720973:NJM720976 NTI720973:NTI720976 ODE720973:ODE720976 ONA720973:ONA720976 OWW720973:OWW720976 PGS720973:PGS720976 PQO720973:PQO720976 QAK720973:QAK720976 QKG720973:QKG720976 QUC720973:QUC720976 RDY720973:RDY720976 RNU720973:RNU720976 RXQ720973:RXQ720976 SHM720973:SHM720976 SRI720973:SRI720976 TBE720973:TBE720976 TLA720973:TLA720976 TUW720973:TUW720976 UES720973:UES720976 UOO720973:UOO720976 UYK720973:UYK720976 VIG720973:VIG720976 VSC720973:VSC720976 WBY720973:WBY720976 WLU720973:WLU720976 WVQ720973:WVQ720976 H786509:H786512 JE786509:JE786512 TA786509:TA786512 ACW786509:ACW786512 AMS786509:AMS786512 AWO786509:AWO786512 BGK786509:BGK786512 BQG786509:BQG786512 CAC786509:CAC786512 CJY786509:CJY786512 CTU786509:CTU786512 DDQ786509:DDQ786512 DNM786509:DNM786512 DXI786509:DXI786512 EHE786509:EHE786512 ERA786509:ERA786512 FAW786509:FAW786512 FKS786509:FKS786512 FUO786509:FUO786512 GEK786509:GEK786512 GOG786509:GOG786512 GYC786509:GYC786512 HHY786509:HHY786512 HRU786509:HRU786512 IBQ786509:IBQ786512 ILM786509:ILM786512 IVI786509:IVI786512 JFE786509:JFE786512 JPA786509:JPA786512 JYW786509:JYW786512 KIS786509:KIS786512 KSO786509:KSO786512 LCK786509:LCK786512 LMG786509:LMG786512 LWC786509:LWC786512 MFY786509:MFY786512 MPU786509:MPU786512 MZQ786509:MZQ786512 NJM786509:NJM786512 NTI786509:NTI786512 ODE786509:ODE786512 ONA786509:ONA786512 OWW786509:OWW786512 PGS786509:PGS786512 PQO786509:PQO786512 QAK786509:QAK786512 QKG786509:QKG786512 QUC786509:QUC786512 RDY786509:RDY786512 RNU786509:RNU786512 RXQ786509:RXQ786512 SHM786509:SHM786512 SRI786509:SRI786512 TBE786509:TBE786512 TLA786509:TLA786512 TUW786509:TUW786512 UES786509:UES786512 UOO786509:UOO786512 UYK786509:UYK786512 VIG786509:VIG786512 VSC786509:VSC786512 WBY786509:WBY786512 WLU786509:WLU786512 WVQ786509:WVQ786512 H852045:H852048 JE852045:JE852048 TA852045:TA852048 ACW852045:ACW852048 AMS852045:AMS852048 AWO852045:AWO852048 BGK852045:BGK852048 BQG852045:BQG852048 CAC852045:CAC852048 CJY852045:CJY852048 CTU852045:CTU852048 DDQ852045:DDQ852048 DNM852045:DNM852048 DXI852045:DXI852048 EHE852045:EHE852048 ERA852045:ERA852048 FAW852045:FAW852048 FKS852045:FKS852048 FUO852045:FUO852048 GEK852045:GEK852048 GOG852045:GOG852048 GYC852045:GYC852048 HHY852045:HHY852048 HRU852045:HRU852048 IBQ852045:IBQ852048 ILM852045:ILM852048 IVI852045:IVI852048 JFE852045:JFE852048 JPA852045:JPA852048 JYW852045:JYW852048 KIS852045:KIS852048 KSO852045:KSO852048 LCK852045:LCK852048 LMG852045:LMG852048 LWC852045:LWC852048 MFY852045:MFY852048 MPU852045:MPU852048 MZQ852045:MZQ852048 NJM852045:NJM852048 NTI852045:NTI852048 ODE852045:ODE852048 ONA852045:ONA852048 OWW852045:OWW852048 PGS852045:PGS852048 PQO852045:PQO852048 QAK852045:QAK852048 QKG852045:QKG852048 QUC852045:QUC852048 RDY852045:RDY852048 RNU852045:RNU852048 RXQ852045:RXQ852048 SHM852045:SHM852048 SRI852045:SRI852048 TBE852045:TBE852048 TLA852045:TLA852048 TUW852045:TUW852048 UES852045:UES852048 UOO852045:UOO852048 UYK852045:UYK852048 VIG852045:VIG852048 VSC852045:VSC852048 WBY852045:WBY852048 WLU852045:WLU852048 WVQ852045:WVQ852048 H917581:H917584 JE917581:JE917584 TA917581:TA917584 ACW917581:ACW917584 AMS917581:AMS917584 AWO917581:AWO917584 BGK917581:BGK917584 BQG917581:BQG917584 CAC917581:CAC917584 CJY917581:CJY917584 CTU917581:CTU917584 DDQ917581:DDQ917584 DNM917581:DNM917584 DXI917581:DXI917584 EHE917581:EHE917584 ERA917581:ERA917584 FAW917581:FAW917584 FKS917581:FKS917584 FUO917581:FUO917584 GEK917581:GEK917584 GOG917581:GOG917584 GYC917581:GYC917584 HHY917581:HHY917584 HRU917581:HRU917584 IBQ917581:IBQ917584 ILM917581:ILM917584 IVI917581:IVI917584 JFE917581:JFE917584 JPA917581:JPA917584 JYW917581:JYW917584 KIS917581:KIS917584 KSO917581:KSO917584 LCK917581:LCK917584 LMG917581:LMG917584 LWC917581:LWC917584 MFY917581:MFY917584 MPU917581:MPU917584 MZQ917581:MZQ917584 NJM917581:NJM917584 NTI917581:NTI917584 ODE917581:ODE917584 ONA917581:ONA917584 OWW917581:OWW917584 PGS917581:PGS917584 PQO917581:PQO917584 QAK917581:QAK917584 QKG917581:QKG917584 QUC917581:QUC917584 RDY917581:RDY917584 RNU917581:RNU917584 RXQ917581:RXQ917584 SHM917581:SHM917584 SRI917581:SRI917584 TBE917581:TBE917584 TLA917581:TLA917584 TUW917581:TUW917584 UES917581:UES917584 UOO917581:UOO917584 UYK917581:UYK917584 VIG917581:VIG917584 VSC917581:VSC917584 WBY917581:WBY917584 WLU917581:WLU917584 WVQ917581:WVQ917584 H983117:H983120 JE983117:JE983120 TA983117:TA983120 ACW983117:ACW983120 AMS983117:AMS983120 AWO983117:AWO983120 BGK983117:BGK983120 BQG983117:BQG983120 CAC983117:CAC983120 CJY983117:CJY983120 CTU983117:CTU983120 DDQ983117:DDQ983120 DNM983117:DNM983120 DXI983117:DXI983120 EHE983117:EHE983120 ERA983117:ERA983120 FAW983117:FAW983120 FKS983117:FKS983120 FUO983117:FUO983120 GEK983117:GEK983120 GOG983117:GOG983120 GYC983117:GYC983120 HHY983117:HHY983120 HRU983117:HRU983120 IBQ983117:IBQ983120 ILM983117:ILM983120 IVI983117:IVI983120 JFE983117:JFE983120 JPA983117:JPA983120 JYW983117:JYW983120 KIS983117:KIS983120 KSO983117:KSO983120 LCK983117:LCK983120 LMG983117:LMG983120 LWC983117:LWC983120 MFY983117:MFY983120 MPU983117:MPU983120 MZQ983117:MZQ983120 NJM983117:NJM983120 NTI983117:NTI983120 ODE983117:ODE983120 ONA983117:ONA983120 OWW983117:OWW983120 PGS983117:PGS983120 PQO983117:PQO983120 QAK983117:QAK983120 QKG983117:QKG983120 QUC983117:QUC983120 RDY983117:RDY983120 RNU983117:RNU983120 RXQ983117:RXQ983120 SHM983117:SHM983120 SRI983117:SRI983120 TBE983117:TBE983120 TLA983117:TLA983120 TUW983117:TUW983120 UES983117:UES983120 UOO983117:UOO983120 UYK983117:UYK983120 VIG983117:VIG983120 VSC983117:VSC983120 WBY983117:WBY983120 WLU983117:WLU983120 WVQ983117:WVQ983120 UYQ983081:UYQ983084 JK53:JK55 TG53:TG55 ADC53:ADC55 AMY53:AMY55 AWU53:AWU55 BGQ53:BGQ55 BQM53:BQM55 CAI53:CAI55 CKE53:CKE55 CUA53:CUA55 DDW53:DDW55 DNS53:DNS55 DXO53:DXO55 EHK53:EHK55 ERG53:ERG55 FBC53:FBC55 FKY53:FKY55 FUU53:FUU55 GEQ53:GEQ55 GOM53:GOM55 GYI53:GYI55 HIE53:HIE55 HSA53:HSA55 IBW53:IBW55 ILS53:ILS55 IVO53:IVO55 JFK53:JFK55 JPG53:JPG55 JZC53:JZC55 KIY53:KIY55 KSU53:KSU55 LCQ53:LCQ55 LMM53:LMM55 LWI53:LWI55 MGE53:MGE55 MQA53:MQA55 MZW53:MZW55 NJS53:NJS55 NTO53:NTO55 ODK53:ODK55 ONG53:ONG55 OXC53:OXC55 PGY53:PGY55 PQU53:PQU55 QAQ53:QAQ55 QKM53:QKM55 QUI53:QUI55 REE53:REE55 ROA53:ROA55 RXW53:RXW55 SHS53:SHS55 SRO53:SRO55 TBK53:TBK55 TLG53:TLG55 TVC53:TVC55 UEY53:UEY55 UOU53:UOU55 UYQ53:UYQ55 VIM53:VIM55 VSI53:VSI55 WCE53:WCE55 WMA53:WMA55 WVW53:WVW55 N65591:N65593 JK65591:JK65593 TG65591:TG65593 ADC65591:ADC65593 AMY65591:AMY65593 AWU65591:AWU65593 BGQ65591:BGQ65593 BQM65591:BQM65593 CAI65591:CAI65593 CKE65591:CKE65593 CUA65591:CUA65593 DDW65591:DDW65593 DNS65591:DNS65593 DXO65591:DXO65593 EHK65591:EHK65593 ERG65591:ERG65593 FBC65591:FBC65593 FKY65591:FKY65593 FUU65591:FUU65593 GEQ65591:GEQ65593 GOM65591:GOM65593 GYI65591:GYI65593 HIE65591:HIE65593 HSA65591:HSA65593 IBW65591:IBW65593 ILS65591:ILS65593 IVO65591:IVO65593 JFK65591:JFK65593 JPG65591:JPG65593 JZC65591:JZC65593 KIY65591:KIY65593 KSU65591:KSU65593 LCQ65591:LCQ65593 LMM65591:LMM65593 LWI65591:LWI65593 MGE65591:MGE65593 MQA65591:MQA65593 MZW65591:MZW65593 NJS65591:NJS65593 NTO65591:NTO65593 ODK65591:ODK65593 ONG65591:ONG65593 OXC65591:OXC65593 PGY65591:PGY65593 PQU65591:PQU65593 QAQ65591:QAQ65593 QKM65591:QKM65593 QUI65591:QUI65593 REE65591:REE65593 ROA65591:ROA65593 RXW65591:RXW65593 SHS65591:SHS65593 SRO65591:SRO65593 TBK65591:TBK65593 TLG65591:TLG65593 TVC65591:TVC65593 UEY65591:UEY65593 UOU65591:UOU65593 UYQ65591:UYQ65593 VIM65591:VIM65593 VSI65591:VSI65593 WCE65591:WCE65593 WMA65591:WMA65593 WVW65591:WVW65593 N131127:N131129 JK131127:JK131129 TG131127:TG131129 ADC131127:ADC131129 AMY131127:AMY131129 AWU131127:AWU131129 BGQ131127:BGQ131129 BQM131127:BQM131129 CAI131127:CAI131129 CKE131127:CKE131129 CUA131127:CUA131129 DDW131127:DDW131129 DNS131127:DNS131129 DXO131127:DXO131129 EHK131127:EHK131129 ERG131127:ERG131129 FBC131127:FBC131129 FKY131127:FKY131129 FUU131127:FUU131129 GEQ131127:GEQ131129 GOM131127:GOM131129 GYI131127:GYI131129 HIE131127:HIE131129 HSA131127:HSA131129 IBW131127:IBW131129 ILS131127:ILS131129 IVO131127:IVO131129 JFK131127:JFK131129 JPG131127:JPG131129 JZC131127:JZC131129 KIY131127:KIY131129 KSU131127:KSU131129 LCQ131127:LCQ131129 LMM131127:LMM131129 LWI131127:LWI131129 MGE131127:MGE131129 MQA131127:MQA131129 MZW131127:MZW131129 NJS131127:NJS131129 NTO131127:NTO131129 ODK131127:ODK131129 ONG131127:ONG131129 OXC131127:OXC131129 PGY131127:PGY131129 PQU131127:PQU131129 QAQ131127:QAQ131129 QKM131127:QKM131129 QUI131127:QUI131129 REE131127:REE131129 ROA131127:ROA131129 RXW131127:RXW131129 SHS131127:SHS131129 SRO131127:SRO131129 TBK131127:TBK131129 TLG131127:TLG131129 TVC131127:TVC131129 UEY131127:UEY131129 UOU131127:UOU131129 UYQ131127:UYQ131129 VIM131127:VIM131129 VSI131127:VSI131129 WCE131127:WCE131129 WMA131127:WMA131129 WVW131127:WVW131129 N196663:N196665 JK196663:JK196665 TG196663:TG196665 ADC196663:ADC196665 AMY196663:AMY196665 AWU196663:AWU196665 BGQ196663:BGQ196665 BQM196663:BQM196665 CAI196663:CAI196665 CKE196663:CKE196665 CUA196663:CUA196665 DDW196663:DDW196665 DNS196663:DNS196665 DXO196663:DXO196665 EHK196663:EHK196665 ERG196663:ERG196665 FBC196663:FBC196665 FKY196663:FKY196665 FUU196663:FUU196665 GEQ196663:GEQ196665 GOM196663:GOM196665 GYI196663:GYI196665 HIE196663:HIE196665 HSA196663:HSA196665 IBW196663:IBW196665 ILS196663:ILS196665 IVO196663:IVO196665 JFK196663:JFK196665 JPG196663:JPG196665 JZC196663:JZC196665 KIY196663:KIY196665 KSU196663:KSU196665 LCQ196663:LCQ196665 LMM196663:LMM196665 LWI196663:LWI196665 MGE196663:MGE196665 MQA196663:MQA196665 MZW196663:MZW196665 NJS196663:NJS196665 NTO196663:NTO196665 ODK196663:ODK196665 ONG196663:ONG196665 OXC196663:OXC196665 PGY196663:PGY196665 PQU196663:PQU196665 QAQ196663:QAQ196665 QKM196663:QKM196665 QUI196663:QUI196665 REE196663:REE196665 ROA196663:ROA196665 RXW196663:RXW196665 SHS196663:SHS196665 SRO196663:SRO196665 TBK196663:TBK196665 TLG196663:TLG196665 TVC196663:TVC196665 UEY196663:UEY196665 UOU196663:UOU196665 UYQ196663:UYQ196665 VIM196663:VIM196665 VSI196663:VSI196665 WCE196663:WCE196665 WMA196663:WMA196665 WVW196663:WVW196665 N262199:N262201 JK262199:JK262201 TG262199:TG262201 ADC262199:ADC262201 AMY262199:AMY262201 AWU262199:AWU262201 BGQ262199:BGQ262201 BQM262199:BQM262201 CAI262199:CAI262201 CKE262199:CKE262201 CUA262199:CUA262201 DDW262199:DDW262201 DNS262199:DNS262201 DXO262199:DXO262201 EHK262199:EHK262201 ERG262199:ERG262201 FBC262199:FBC262201 FKY262199:FKY262201 FUU262199:FUU262201 GEQ262199:GEQ262201 GOM262199:GOM262201 GYI262199:GYI262201 HIE262199:HIE262201 HSA262199:HSA262201 IBW262199:IBW262201 ILS262199:ILS262201 IVO262199:IVO262201 JFK262199:JFK262201 JPG262199:JPG262201 JZC262199:JZC262201 KIY262199:KIY262201 KSU262199:KSU262201 LCQ262199:LCQ262201 LMM262199:LMM262201 LWI262199:LWI262201 MGE262199:MGE262201 MQA262199:MQA262201 MZW262199:MZW262201 NJS262199:NJS262201 NTO262199:NTO262201 ODK262199:ODK262201 ONG262199:ONG262201 OXC262199:OXC262201 PGY262199:PGY262201 PQU262199:PQU262201 QAQ262199:QAQ262201 QKM262199:QKM262201 QUI262199:QUI262201 REE262199:REE262201 ROA262199:ROA262201 RXW262199:RXW262201 SHS262199:SHS262201 SRO262199:SRO262201 TBK262199:TBK262201 TLG262199:TLG262201 TVC262199:TVC262201 UEY262199:UEY262201 UOU262199:UOU262201 UYQ262199:UYQ262201 VIM262199:VIM262201 VSI262199:VSI262201 WCE262199:WCE262201 WMA262199:WMA262201 WVW262199:WVW262201 N327735:N327737 JK327735:JK327737 TG327735:TG327737 ADC327735:ADC327737 AMY327735:AMY327737 AWU327735:AWU327737 BGQ327735:BGQ327737 BQM327735:BQM327737 CAI327735:CAI327737 CKE327735:CKE327737 CUA327735:CUA327737 DDW327735:DDW327737 DNS327735:DNS327737 DXO327735:DXO327737 EHK327735:EHK327737 ERG327735:ERG327737 FBC327735:FBC327737 FKY327735:FKY327737 FUU327735:FUU327737 GEQ327735:GEQ327737 GOM327735:GOM327737 GYI327735:GYI327737 HIE327735:HIE327737 HSA327735:HSA327737 IBW327735:IBW327737 ILS327735:ILS327737 IVO327735:IVO327737 JFK327735:JFK327737 JPG327735:JPG327737 JZC327735:JZC327737 KIY327735:KIY327737 KSU327735:KSU327737 LCQ327735:LCQ327737 LMM327735:LMM327737 LWI327735:LWI327737 MGE327735:MGE327737 MQA327735:MQA327737 MZW327735:MZW327737 NJS327735:NJS327737 NTO327735:NTO327737 ODK327735:ODK327737 ONG327735:ONG327737 OXC327735:OXC327737 PGY327735:PGY327737 PQU327735:PQU327737 QAQ327735:QAQ327737 QKM327735:QKM327737 QUI327735:QUI327737 REE327735:REE327737 ROA327735:ROA327737 RXW327735:RXW327737 SHS327735:SHS327737 SRO327735:SRO327737 TBK327735:TBK327737 TLG327735:TLG327737 TVC327735:TVC327737 UEY327735:UEY327737 UOU327735:UOU327737 UYQ327735:UYQ327737 VIM327735:VIM327737 VSI327735:VSI327737 WCE327735:WCE327737 WMA327735:WMA327737 WVW327735:WVW327737 N393271:N393273 JK393271:JK393273 TG393271:TG393273 ADC393271:ADC393273 AMY393271:AMY393273 AWU393271:AWU393273 BGQ393271:BGQ393273 BQM393271:BQM393273 CAI393271:CAI393273 CKE393271:CKE393273 CUA393271:CUA393273 DDW393271:DDW393273 DNS393271:DNS393273 DXO393271:DXO393273 EHK393271:EHK393273 ERG393271:ERG393273 FBC393271:FBC393273 FKY393271:FKY393273 FUU393271:FUU393273 GEQ393271:GEQ393273 GOM393271:GOM393273 GYI393271:GYI393273 HIE393271:HIE393273 HSA393271:HSA393273 IBW393271:IBW393273 ILS393271:ILS393273 IVO393271:IVO393273 JFK393271:JFK393273 JPG393271:JPG393273 JZC393271:JZC393273 KIY393271:KIY393273 KSU393271:KSU393273 LCQ393271:LCQ393273 LMM393271:LMM393273 LWI393271:LWI393273 MGE393271:MGE393273 MQA393271:MQA393273 MZW393271:MZW393273 NJS393271:NJS393273 NTO393271:NTO393273 ODK393271:ODK393273 ONG393271:ONG393273 OXC393271:OXC393273 PGY393271:PGY393273 PQU393271:PQU393273 QAQ393271:QAQ393273 QKM393271:QKM393273 QUI393271:QUI393273 REE393271:REE393273 ROA393271:ROA393273 RXW393271:RXW393273 SHS393271:SHS393273 SRO393271:SRO393273 TBK393271:TBK393273 TLG393271:TLG393273 TVC393271:TVC393273 UEY393271:UEY393273 UOU393271:UOU393273 UYQ393271:UYQ393273 VIM393271:VIM393273 VSI393271:VSI393273 WCE393271:WCE393273 WMA393271:WMA393273 WVW393271:WVW393273 N458807:N458809 JK458807:JK458809 TG458807:TG458809 ADC458807:ADC458809 AMY458807:AMY458809 AWU458807:AWU458809 BGQ458807:BGQ458809 BQM458807:BQM458809 CAI458807:CAI458809 CKE458807:CKE458809 CUA458807:CUA458809 DDW458807:DDW458809 DNS458807:DNS458809 DXO458807:DXO458809 EHK458807:EHK458809 ERG458807:ERG458809 FBC458807:FBC458809 FKY458807:FKY458809 FUU458807:FUU458809 GEQ458807:GEQ458809 GOM458807:GOM458809 GYI458807:GYI458809 HIE458807:HIE458809 HSA458807:HSA458809 IBW458807:IBW458809 ILS458807:ILS458809 IVO458807:IVO458809 JFK458807:JFK458809 JPG458807:JPG458809 JZC458807:JZC458809 KIY458807:KIY458809 KSU458807:KSU458809 LCQ458807:LCQ458809 LMM458807:LMM458809 LWI458807:LWI458809 MGE458807:MGE458809 MQA458807:MQA458809 MZW458807:MZW458809 NJS458807:NJS458809 NTO458807:NTO458809 ODK458807:ODK458809 ONG458807:ONG458809 OXC458807:OXC458809 PGY458807:PGY458809 PQU458807:PQU458809 QAQ458807:QAQ458809 QKM458807:QKM458809 QUI458807:QUI458809 REE458807:REE458809 ROA458807:ROA458809 RXW458807:RXW458809 SHS458807:SHS458809 SRO458807:SRO458809 TBK458807:TBK458809 TLG458807:TLG458809 TVC458807:TVC458809 UEY458807:UEY458809 UOU458807:UOU458809 UYQ458807:UYQ458809 VIM458807:VIM458809 VSI458807:VSI458809 WCE458807:WCE458809 WMA458807:WMA458809 WVW458807:WVW458809 N524343:N524345 JK524343:JK524345 TG524343:TG524345 ADC524343:ADC524345 AMY524343:AMY524345 AWU524343:AWU524345 BGQ524343:BGQ524345 BQM524343:BQM524345 CAI524343:CAI524345 CKE524343:CKE524345 CUA524343:CUA524345 DDW524343:DDW524345 DNS524343:DNS524345 DXO524343:DXO524345 EHK524343:EHK524345 ERG524343:ERG524345 FBC524343:FBC524345 FKY524343:FKY524345 FUU524343:FUU524345 GEQ524343:GEQ524345 GOM524343:GOM524345 GYI524343:GYI524345 HIE524343:HIE524345 HSA524343:HSA524345 IBW524343:IBW524345 ILS524343:ILS524345 IVO524343:IVO524345 JFK524343:JFK524345 JPG524343:JPG524345 JZC524343:JZC524345 KIY524343:KIY524345 KSU524343:KSU524345 LCQ524343:LCQ524345 LMM524343:LMM524345 LWI524343:LWI524345 MGE524343:MGE524345 MQA524343:MQA524345 MZW524343:MZW524345 NJS524343:NJS524345 NTO524343:NTO524345 ODK524343:ODK524345 ONG524343:ONG524345 OXC524343:OXC524345 PGY524343:PGY524345 PQU524343:PQU524345 QAQ524343:QAQ524345 QKM524343:QKM524345 QUI524343:QUI524345 REE524343:REE524345 ROA524343:ROA524345 RXW524343:RXW524345 SHS524343:SHS524345 SRO524343:SRO524345 TBK524343:TBK524345 TLG524343:TLG524345 TVC524343:TVC524345 UEY524343:UEY524345 UOU524343:UOU524345 UYQ524343:UYQ524345 VIM524343:VIM524345 VSI524343:VSI524345 WCE524343:WCE524345 WMA524343:WMA524345 WVW524343:WVW524345 N589879:N589881 JK589879:JK589881 TG589879:TG589881 ADC589879:ADC589881 AMY589879:AMY589881 AWU589879:AWU589881 BGQ589879:BGQ589881 BQM589879:BQM589881 CAI589879:CAI589881 CKE589879:CKE589881 CUA589879:CUA589881 DDW589879:DDW589881 DNS589879:DNS589881 DXO589879:DXO589881 EHK589879:EHK589881 ERG589879:ERG589881 FBC589879:FBC589881 FKY589879:FKY589881 FUU589879:FUU589881 GEQ589879:GEQ589881 GOM589879:GOM589881 GYI589879:GYI589881 HIE589879:HIE589881 HSA589879:HSA589881 IBW589879:IBW589881 ILS589879:ILS589881 IVO589879:IVO589881 JFK589879:JFK589881 JPG589879:JPG589881 JZC589879:JZC589881 KIY589879:KIY589881 KSU589879:KSU589881 LCQ589879:LCQ589881 LMM589879:LMM589881 LWI589879:LWI589881 MGE589879:MGE589881 MQA589879:MQA589881 MZW589879:MZW589881 NJS589879:NJS589881 NTO589879:NTO589881 ODK589879:ODK589881 ONG589879:ONG589881 OXC589879:OXC589881 PGY589879:PGY589881 PQU589879:PQU589881 QAQ589879:QAQ589881 QKM589879:QKM589881 QUI589879:QUI589881 REE589879:REE589881 ROA589879:ROA589881 RXW589879:RXW589881 SHS589879:SHS589881 SRO589879:SRO589881 TBK589879:TBK589881 TLG589879:TLG589881 TVC589879:TVC589881 UEY589879:UEY589881 UOU589879:UOU589881 UYQ589879:UYQ589881 VIM589879:VIM589881 VSI589879:VSI589881 WCE589879:WCE589881 WMA589879:WMA589881 WVW589879:WVW589881 N655415:N655417 JK655415:JK655417 TG655415:TG655417 ADC655415:ADC655417 AMY655415:AMY655417 AWU655415:AWU655417 BGQ655415:BGQ655417 BQM655415:BQM655417 CAI655415:CAI655417 CKE655415:CKE655417 CUA655415:CUA655417 DDW655415:DDW655417 DNS655415:DNS655417 DXO655415:DXO655417 EHK655415:EHK655417 ERG655415:ERG655417 FBC655415:FBC655417 FKY655415:FKY655417 FUU655415:FUU655417 GEQ655415:GEQ655417 GOM655415:GOM655417 GYI655415:GYI655417 HIE655415:HIE655417 HSA655415:HSA655417 IBW655415:IBW655417 ILS655415:ILS655417 IVO655415:IVO655417 JFK655415:JFK655417 JPG655415:JPG655417 JZC655415:JZC655417 KIY655415:KIY655417 KSU655415:KSU655417 LCQ655415:LCQ655417 LMM655415:LMM655417 LWI655415:LWI655417 MGE655415:MGE655417 MQA655415:MQA655417 MZW655415:MZW655417 NJS655415:NJS655417 NTO655415:NTO655417 ODK655415:ODK655417 ONG655415:ONG655417 OXC655415:OXC655417 PGY655415:PGY655417 PQU655415:PQU655417 QAQ655415:QAQ655417 QKM655415:QKM655417 QUI655415:QUI655417 REE655415:REE655417 ROA655415:ROA655417 RXW655415:RXW655417 SHS655415:SHS655417 SRO655415:SRO655417 TBK655415:TBK655417 TLG655415:TLG655417 TVC655415:TVC655417 UEY655415:UEY655417 UOU655415:UOU655417 UYQ655415:UYQ655417 VIM655415:VIM655417 VSI655415:VSI655417 WCE655415:WCE655417 WMA655415:WMA655417 WVW655415:WVW655417 N720951:N720953 JK720951:JK720953 TG720951:TG720953 ADC720951:ADC720953 AMY720951:AMY720953 AWU720951:AWU720953 BGQ720951:BGQ720953 BQM720951:BQM720953 CAI720951:CAI720953 CKE720951:CKE720953 CUA720951:CUA720953 DDW720951:DDW720953 DNS720951:DNS720953 DXO720951:DXO720953 EHK720951:EHK720953 ERG720951:ERG720953 FBC720951:FBC720953 FKY720951:FKY720953 FUU720951:FUU720953 GEQ720951:GEQ720953 GOM720951:GOM720953 GYI720951:GYI720953 HIE720951:HIE720953 HSA720951:HSA720953 IBW720951:IBW720953 ILS720951:ILS720953 IVO720951:IVO720953 JFK720951:JFK720953 JPG720951:JPG720953 JZC720951:JZC720953 KIY720951:KIY720953 KSU720951:KSU720953 LCQ720951:LCQ720953 LMM720951:LMM720953 LWI720951:LWI720953 MGE720951:MGE720953 MQA720951:MQA720953 MZW720951:MZW720953 NJS720951:NJS720953 NTO720951:NTO720953 ODK720951:ODK720953 ONG720951:ONG720953 OXC720951:OXC720953 PGY720951:PGY720953 PQU720951:PQU720953 QAQ720951:QAQ720953 QKM720951:QKM720953 QUI720951:QUI720953 REE720951:REE720953 ROA720951:ROA720953 RXW720951:RXW720953 SHS720951:SHS720953 SRO720951:SRO720953 TBK720951:TBK720953 TLG720951:TLG720953 TVC720951:TVC720953 UEY720951:UEY720953 UOU720951:UOU720953 UYQ720951:UYQ720953 VIM720951:VIM720953 VSI720951:VSI720953 WCE720951:WCE720953 WMA720951:WMA720953 WVW720951:WVW720953 N786487:N786489 JK786487:JK786489 TG786487:TG786489 ADC786487:ADC786489 AMY786487:AMY786489 AWU786487:AWU786489 BGQ786487:BGQ786489 BQM786487:BQM786489 CAI786487:CAI786489 CKE786487:CKE786489 CUA786487:CUA786489 DDW786487:DDW786489 DNS786487:DNS786489 DXO786487:DXO786489 EHK786487:EHK786489 ERG786487:ERG786489 FBC786487:FBC786489 FKY786487:FKY786489 FUU786487:FUU786489 GEQ786487:GEQ786489 GOM786487:GOM786489 GYI786487:GYI786489 HIE786487:HIE786489 HSA786487:HSA786489 IBW786487:IBW786489 ILS786487:ILS786489 IVO786487:IVO786489 JFK786487:JFK786489 JPG786487:JPG786489 JZC786487:JZC786489 KIY786487:KIY786489 KSU786487:KSU786489 LCQ786487:LCQ786489 LMM786487:LMM786489 LWI786487:LWI786489 MGE786487:MGE786489 MQA786487:MQA786489 MZW786487:MZW786489 NJS786487:NJS786489 NTO786487:NTO786489 ODK786487:ODK786489 ONG786487:ONG786489 OXC786487:OXC786489 PGY786487:PGY786489 PQU786487:PQU786489 QAQ786487:QAQ786489 QKM786487:QKM786489 QUI786487:QUI786489 REE786487:REE786489 ROA786487:ROA786489 RXW786487:RXW786489 SHS786487:SHS786489 SRO786487:SRO786489 TBK786487:TBK786489 TLG786487:TLG786489 TVC786487:TVC786489 UEY786487:UEY786489 UOU786487:UOU786489 UYQ786487:UYQ786489 VIM786487:VIM786489 VSI786487:VSI786489 WCE786487:WCE786489 WMA786487:WMA786489 WVW786487:WVW786489 N852023:N852025 JK852023:JK852025 TG852023:TG852025 ADC852023:ADC852025 AMY852023:AMY852025 AWU852023:AWU852025 BGQ852023:BGQ852025 BQM852023:BQM852025 CAI852023:CAI852025 CKE852023:CKE852025 CUA852023:CUA852025 DDW852023:DDW852025 DNS852023:DNS852025 DXO852023:DXO852025 EHK852023:EHK852025 ERG852023:ERG852025 FBC852023:FBC852025 FKY852023:FKY852025 FUU852023:FUU852025 GEQ852023:GEQ852025 GOM852023:GOM852025 GYI852023:GYI852025 HIE852023:HIE852025 HSA852023:HSA852025 IBW852023:IBW852025 ILS852023:ILS852025 IVO852023:IVO852025 JFK852023:JFK852025 JPG852023:JPG852025 JZC852023:JZC852025 KIY852023:KIY852025 KSU852023:KSU852025 LCQ852023:LCQ852025 LMM852023:LMM852025 LWI852023:LWI852025 MGE852023:MGE852025 MQA852023:MQA852025 MZW852023:MZW852025 NJS852023:NJS852025 NTO852023:NTO852025 ODK852023:ODK852025 ONG852023:ONG852025 OXC852023:OXC852025 PGY852023:PGY852025 PQU852023:PQU852025 QAQ852023:QAQ852025 QKM852023:QKM852025 QUI852023:QUI852025 REE852023:REE852025 ROA852023:ROA852025 RXW852023:RXW852025 SHS852023:SHS852025 SRO852023:SRO852025 TBK852023:TBK852025 TLG852023:TLG852025 TVC852023:TVC852025 UEY852023:UEY852025 UOU852023:UOU852025 UYQ852023:UYQ852025 VIM852023:VIM852025 VSI852023:VSI852025 WCE852023:WCE852025 WMA852023:WMA852025 WVW852023:WVW852025 N917559:N917561 JK917559:JK917561 TG917559:TG917561 ADC917559:ADC917561 AMY917559:AMY917561 AWU917559:AWU917561 BGQ917559:BGQ917561 BQM917559:BQM917561 CAI917559:CAI917561 CKE917559:CKE917561 CUA917559:CUA917561 DDW917559:DDW917561 DNS917559:DNS917561 DXO917559:DXO917561 EHK917559:EHK917561 ERG917559:ERG917561 FBC917559:FBC917561 FKY917559:FKY917561 FUU917559:FUU917561 GEQ917559:GEQ917561 GOM917559:GOM917561 GYI917559:GYI917561 HIE917559:HIE917561 HSA917559:HSA917561 IBW917559:IBW917561 ILS917559:ILS917561 IVO917559:IVO917561 JFK917559:JFK917561 JPG917559:JPG917561 JZC917559:JZC917561 KIY917559:KIY917561 KSU917559:KSU917561 LCQ917559:LCQ917561 LMM917559:LMM917561 LWI917559:LWI917561 MGE917559:MGE917561 MQA917559:MQA917561 MZW917559:MZW917561 NJS917559:NJS917561 NTO917559:NTO917561 ODK917559:ODK917561 ONG917559:ONG917561 OXC917559:OXC917561 PGY917559:PGY917561 PQU917559:PQU917561 QAQ917559:QAQ917561 QKM917559:QKM917561 QUI917559:QUI917561 REE917559:REE917561 ROA917559:ROA917561 RXW917559:RXW917561 SHS917559:SHS917561 SRO917559:SRO917561 TBK917559:TBK917561 TLG917559:TLG917561 TVC917559:TVC917561 UEY917559:UEY917561 UOU917559:UOU917561 UYQ917559:UYQ917561 VIM917559:VIM917561 VSI917559:VSI917561 WCE917559:WCE917561 WMA917559:WMA917561 WVW917559:WVW917561 N983095:N983097 JK983095:JK983097 TG983095:TG983097 ADC983095:ADC983097 AMY983095:AMY983097 AWU983095:AWU983097 BGQ983095:BGQ983097 BQM983095:BQM983097 CAI983095:CAI983097 CKE983095:CKE983097 CUA983095:CUA983097 DDW983095:DDW983097 DNS983095:DNS983097 DXO983095:DXO983097 EHK983095:EHK983097 ERG983095:ERG983097 FBC983095:FBC983097 FKY983095:FKY983097 FUU983095:FUU983097 GEQ983095:GEQ983097 GOM983095:GOM983097 GYI983095:GYI983097 HIE983095:HIE983097 HSA983095:HSA983097 IBW983095:IBW983097 ILS983095:ILS983097 IVO983095:IVO983097 JFK983095:JFK983097 JPG983095:JPG983097 JZC983095:JZC983097 KIY983095:KIY983097 KSU983095:KSU983097 LCQ983095:LCQ983097 LMM983095:LMM983097 LWI983095:LWI983097 MGE983095:MGE983097 MQA983095:MQA983097 MZW983095:MZW983097 NJS983095:NJS983097 NTO983095:NTO983097 ODK983095:ODK983097 ONG983095:ONG983097 OXC983095:OXC983097 PGY983095:PGY983097 PQU983095:PQU983097 QAQ983095:QAQ983097 QKM983095:QKM983097 QUI983095:QUI983097 REE983095:REE983097 ROA983095:ROA983097 RXW983095:RXW983097 SHS983095:SHS983097 SRO983095:SRO983097 TBK983095:TBK983097 TLG983095:TLG983097 TVC983095:TVC983097 UEY983095:UEY983097 UOU983095:UOU983097 UYQ983095:UYQ983097 VIM983095:VIM983097 VSI983095:VSI983097 WCE983095:WCE983097 WMA983095:WMA983097 WVW983095:WVW983097 TVC983081:TVC983084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N65568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N131104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N196640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N262176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N327712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N393248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N458784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N524320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N589856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N655392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N720928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N786464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N852000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N917536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N983072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UEY983081:UEY983084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N65572:N65573 JK65572:JK65573 TG65572:TG65573 ADC65572:ADC65573 AMY65572:AMY65573 AWU65572:AWU65573 BGQ65572:BGQ65573 BQM65572:BQM65573 CAI65572:CAI65573 CKE65572:CKE65573 CUA65572:CUA65573 DDW65572:DDW65573 DNS65572:DNS65573 DXO65572:DXO65573 EHK65572:EHK65573 ERG65572:ERG65573 FBC65572:FBC65573 FKY65572:FKY65573 FUU65572:FUU65573 GEQ65572:GEQ65573 GOM65572:GOM65573 GYI65572:GYI65573 HIE65572:HIE65573 HSA65572:HSA65573 IBW65572:IBW65573 ILS65572:ILS65573 IVO65572:IVO65573 JFK65572:JFK65573 JPG65572:JPG65573 JZC65572:JZC65573 KIY65572:KIY65573 KSU65572:KSU65573 LCQ65572:LCQ65573 LMM65572:LMM65573 LWI65572:LWI65573 MGE65572:MGE65573 MQA65572:MQA65573 MZW65572:MZW65573 NJS65572:NJS65573 NTO65572:NTO65573 ODK65572:ODK65573 ONG65572:ONG65573 OXC65572:OXC65573 PGY65572:PGY65573 PQU65572:PQU65573 QAQ65572:QAQ65573 QKM65572:QKM65573 QUI65572:QUI65573 REE65572:REE65573 ROA65572:ROA65573 RXW65572:RXW65573 SHS65572:SHS65573 SRO65572:SRO65573 TBK65572:TBK65573 TLG65572:TLG65573 TVC65572:TVC65573 UEY65572:UEY65573 UOU65572:UOU65573 UYQ65572:UYQ65573 VIM65572:VIM65573 VSI65572:VSI65573 WCE65572:WCE65573 WMA65572:WMA65573 WVW65572:WVW65573 N131108:N131109 JK131108:JK131109 TG131108:TG131109 ADC131108:ADC131109 AMY131108:AMY131109 AWU131108:AWU131109 BGQ131108:BGQ131109 BQM131108:BQM131109 CAI131108:CAI131109 CKE131108:CKE131109 CUA131108:CUA131109 DDW131108:DDW131109 DNS131108:DNS131109 DXO131108:DXO131109 EHK131108:EHK131109 ERG131108:ERG131109 FBC131108:FBC131109 FKY131108:FKY131109 FUU131108:FUU131109 GEQ131108:GEQ131109 GOM131108:GOM131109 GYI131108:GYI131109 HIE131108:HIE131109 HSA131108:HSA131109 IBW131108:IBW131109 ILS131108:ILS131109 IVO131108:IVO131109 JFK131108:JFK131109 JPG131108:JPG131109 JZC131108:JZC131109 KIY131108:KIY131109 KSU131108:KSU131109 LCQ131108:LCQ131109 LMM131108:LMM131109 LWI131108:LWI131109 MGE131108:MGE131109 MQA131108:MQA131109 MZW131108:MZW131109 NJS131108:NJS131109 NTO131108:NTO131109 ODK131108:ODK131109 ONG131108:ONG131109 OXC131108:OXC131109 PGY131108:PGY131109 PQU131108:PQU131109 QAQ131108:QAQ131109 QKM131108:QKM131109 QUI131108:QUI131109 REE131108:REE131109 ROA131108:ROA131109 RXW131108:RXW131109 SHS131108:SHS131109 SRO131108:SRO131109 TBK131108:TBK131109 TLG131108:TLG131109 TVC131108:TVC131109 UEY131108:UEY131109 UOU131108:UOU131109 UYQ131108:UYQ131109 VIM131108:VIM131109 VSI131108:VSI131109 WCE131108:WCE131109 WMA131108:WMA131109 WVW131108:WVW131109 N196644:N196645 JK196644:JK196645 TG196644:TG196645 ADC196644:ADC196645 AMY196644:AMY196645 AWU196644:AWU196645 BGQ196644:BGQ196645 BQM196644:BQM196645 CAI196644:CAI196645 CKE196644:CKE196645 CUA196644:CUA196645 DDW196644:DDW196645 DNS196644:DNS196645 DXO196644:DXO196645 EHK196644:EHK196645 ERG196644:ERG196645 FBC196644:FBC196645 FKY196644:FKY196645 FUU196644:FUU196645 GEQ196644:GEQ196645 GOM196644:GOM196645 GYI196644:GYI196645 HIE196644:HIE196645 HSA196644:HSA196645 IBW196644:IBW196645 ILS196644:ILS196645 IVO196644:IVO196645 JFK196644:JFK196645 JPG196644:JPG196645 JZC196644:JZC196645 KIY196644:KIY196645 KSU196644:KSU196645 LCQ196644:LCQ196645 LMM196644:LMM196645 LWI196644:LWI196645 MGE196644:MGE196645 MQA196644:MQA196645 MZW196644:MZW196645 NJS196644:NJS196645 NTO196644:NTO196645 ODK196644:ODK196645 ONG196644:ONG196645 OXC196644:OXC196645 PGY196644:PGY196645 PQU196644:PQU196645 QAQ196644:QAQ196645 QKM196644:QKM196645 QUI196644:QUI196645 REE196644:REE196645 ROA196644:ROA196645 RXW196644:RXW196645 SHS196644:SHS196645 SRO196644:SRO196645 TBK196644:TBK196645 TLG196644:TLG196645 TVC196644:TVC196645 UEY196644:UEY196645 UOU196644:UOU196645 UYQ196644:UYQ196645 VIM196644:VIM196645 VSI196644:VSI196645 WCE196644:WCE196645 WMA196644:WMA196645 WVW196644:WVW196645 N262180:N262181 JK262180:JK262181 TG262180:TG262181 ADC262180:ADC262181 AMY262180:AMY262181 AWU262180:AWU262181 BGQ262180:BGQ262181 BQM262180:BQM262181 CAI262180:CAI262181 CKE262180:CKE262181 CUA262180:CUA262181 DDW262180:DDW262181 DNS262180:DNS262181 DXO262180:DXO262181 EHK262180:EHK262181 ERG262180:ERG262181 FBC262180:FBC262181 FKY262180:FKY262181 FUU262180:FUU262181 GEQ262180:GEQ262181 GOM262180:GOM262181 GYI262180:GYI262181 HIE262180:HIE262181 HSA262180:HSA262181 IBW262180:IBW262181 ILS262180:ILS262181 IVO262180:IVO262181 JFK262180:JFK262181 JPG262180:JPG262181 JZC262180:JZC262181 KIY262180:KIY262181 KSU262180:KSU262181 LCQ262180:LCQ262181 LMM262180:LMM262181 LWI262180:LWI262181 MGE262180:MGE262181 MQA262180:MQA262181 MZW262180:MZW262181 NJS262180:NJS262181 NTO262180:NTO262181 ODK262180:ODK262181 ONG262180:ONG262181 OXC262180:OXC262181 PGY262180:PGY262181 PQU262180:PQU262181 QAQ262180:QAQ262181 QKM262180:QKM262181 QUI262180:QUI262181 REE262180:REE262181 ROA262180:ROA262181 RXW262180:RXW262181 SHS262180:SHS262181 SRO262180:SRO262181 TBK262180:TBK262181 TLG262180:TLG262181 TVC262180:TVC262181 UEY262180:UEY262181 UOU262180:UOU262181 UYQ262180:UYQ262181 VIM262180:VIM262181 VSI262180:VSI262181 WCE262180:WCE262181 WMA262180:WMA262181 WVW262180:WVW262181 N327716:N327717 JK327716:JK327717 TG327716:TG327717 ADC327716:ADC327717 AMY327716:AMY327717 AWU327716:AWU327717 BGQ327716:BGQ327717 BQM327716:BQM327717 CAI327716:CAI327717 CKE327716:CKE327717 CUA327716:CUA327717 DDW327716:DDW327717 DNS327716:DNS327717 DXO327716:DXO327717 EHK327716:EHK327717 ERG327716:ERG327717 FBC327716:FBC327717 FKY327716:FKY327717 FUU327716:FUU327717 GEQ327716:GEQ327717 GOM327716:GOM327717 GYI327716:GYI327717 HIE327716:HIE327717 HSA327716:HSA327717 IBW327716:IBW327717 ILS327716:ILS327717 IVO327716:IVO327717 JFK327716:JFK327717 JPG327716:JPG327717 JZC327716:JZC327717 KIY327716:KIY327717 KSU327716:KSU327717 LCQ327716:LCQ327717 LMM327716:LMM327717 LWI327716:LWI327717 MGE327716:MGE327717 MQA327716:MQA327717 MZW327716:MZW327717 NJS327716:NJS327717 NTO327716:NTO327717 ODK327716:ODK327717 ONG327716:ONG327717 OXC327716:OXC327717 PGY327716:PGY327717 PQU327716:PQU327717 QAQ327716:QAQ327717 QKM327716:QKM327717 QUI327716:QUI327717 REE327716:REE327717 ROA327716:ROA327717 RXW327716:RXW327717 SHS327716:SHS327717 SRO327716:SRO327717 TBK327716:TBK327717 TLG327716:TLG327717 TVC327716:TVC327717 UEY327716:UEY327717 UOU327716:UOU327717 UYQ327716:UYQ327717 VIM327716:VIM327717 VSI327716:VSI327717 WCE327716:WCE327717 WMA327716:WMA327717 WVW327716:WVW327717 N393252:N393253 JK393252:JK393253 TG393252:TG393253 ADC393252:ADC393253 AMY393252:AMY393253 AWU393252:AWU393253 BGQ393252:BGQ393253 BQM393252:BQM393253 CAI393252:CAI393253 CKE393252:CKE393253 CUA393252:CUA393253 DDW393252:DDW393253 DNS393252:DNS393253 DXO393252:DXO393253 EHK393252:EHK393253 ERG393252:ERG393253 FBC393252:FBC393253 FKY393252:FKY393253 FUU393252:FUU393253 GEQ393252:GEQ393253 GOM393252:GOM393253 GYI393252:GYI393253 HIE393252:HIE393253 HSA393252:HSA393253 IBW393252:IBW393253 ILS393252:ILS393253 IVO393252:IVO393253 JFK393252:JFK393253 JPG393252:JPG393253 JZC393252:JZC393253 KIY393252:KIY393253 KSU393252:KSU393253 LCQ393252:LCQ393253 LMM393252:LMM393253 LWI393252:LWI393253 MGE393252:MGE393253 MQA393252:MQA393253 MZW393252:MZW393253 NJS393252:NJS393253 NTO393252:NTO393253 ODK393252:ODK393253 ONG393252:ONG393253 OXC393252:OXC393253 PGY393252:PGY393253 PQU393252:PQU393253 QAQ393252:QAQ393253 QKM393252:QKM393253 QUI393252:QUI393253 REE393252:REE393253 ROA393252:ROA393253 RXW393252:RXW393253 SHS393252:SHS393253 SRO393252:SRO393253 TBK393252:TBK393253 TLG393252:TLG393253 TVC393252:TVC393253 UEY393252:UEY393253 UOU393252:UOU393253 UYQ393252:UYQ393253 VIM393252:VIM393253 VSI393252:VSI393253 WCE393252:WCE393253 WMA393252:WMA393253 WVW393252:WVW393253 N458788:N458789 JK458788:JK458789 TG458788:TG458789 ADC458788:ADC458789 AMY458788:AMY458789 AWU458788:AWU458789 BGQ458788:BGQ458789 BQM458788:BQM458789 CAI458788:CAI458789 CKE458788:CKE458789 CUA458788:CUA458789 DDW458788:DDW458789 DNS458788:DNS458789 DXO458788:DXO458789 EHK458788:EHK458789 ERG458788:ERG458789 FBC458788:FBC458789 FKY458788:FKY458789 FUU458788:FUU458789 GEQ458788:GEQ458789 GOM458788:GOM458789 GYI458788:GYI458789 HIE458788:HIE458789 HSA458788:HSA458789 IBW458788:IBW458789 ILS458788:ILS458789 IVO458788:IVO458789 JFK458788:JFK458789 JPG458788:JPG458789 JZC458788:JZC458789 KIY458788:KIY458789 KSU458788:KSU458789 LCQ458788:LCQ458789 LMM458788:LMM458789 LWI458788:LWI458789 MGE458788:MGE458789 MQA458788:MQA458789 MZW458788:MZW458789 NJS458788:NJS458789 NTO458788:NTO458789 ODK458788:ODK458789 ONG458788:ONG458789 OXC458788:OXC458789 PGY458788:PGY458789 PQU458788:PQU458789 QAQ458788:QAQ458789 QKM458788:QKM458789 QUI458788:QUI458789 REE458788:REE458789 ROA458788:ROA458789 RXW458788:RXW458789 SHS458788:SHS458789 SRO458788:SRO458789 TBK458788:TBK458789 TLG458788:TLG458789 TVC458788:TVC458789 UEY458788:UEY458789 UOU458788:UOU458789 UYQ458788:UYQ458789 VIM458788:VIM458789 VSI458788:VSI458789 WCE458788:WCE458789 WMA458788:WMA458789 WVW458788:WVW458789 N524324:N524325 JK524324:JK524325 TG524324:TG524325 ADC524324:ADC524325 AMY524324:AMY524325 AWU524324:AWU524325 BGQ524324:BGQ524325 BQM524324:BQM524325 CAI524324:CAI524325 CKE524324:CKE524325 CUA524324:CUA524325 DDW524324:DDW524325 DNS524324:DNS524325 DXO524324:DXO524325 EHK524324:EHK524325 ERG524324:ERG524325 FBC524324:FBC524325 FKY524324:FKY524325 FUU524324:FUU524325 GEQ524324:GEQ524325 GOM524324:GOM524325 GYI524324:GYI524325 HIE524324:HIE524325 HSA524324:HSA524325 IBW524324:IBW524325 ILS524324:ILS524325 IVO524324:IVO524325 JFK524324:JFK524325 JPG524324:JPG524325 JZC524324:JZC524325 KIY524324:KIY524325 KSU524324:KSU524325 LCQ524324:LCQ524325 LMM524324:LMM524325 LWI524324:LWI524325 MGE524324:MGE524325 MQA524324:MQA524325 MZW524324:MZW524325 NJS524324:NJS524325 NTO524324:NTO524325 ODK524324:ODK524325 ONG524324:ONG524325 OXC524324:OXC524325 PGY524324:PGY524325 PQU524324:PQU524325 QAQ524324:QAQ524325 QKM524324:QKM524325 QUI524324:QUI524325 REE524324:REE524325 ROA524324:ROA524325 RXW524324:RXW524325 SHS524324:SHS524325 SRO524324:SRO524325 TBK524324:TBK524325 TLG524324:TLG524325 TVC524324:TVC524325 UEY524324:UEY524325 UOU524324:UOU524325 UYQ524324:UYQ524325 VIM524324:VIM524325 VSI524324:VSI524325 WCE524324:WCE524325 WMA524324:WMA524325 WVW524324:WVW524325 N589860:N589861 JK589860:JK589861 TG589860:TG589861 ADC589860:ADC589861 AMY589860:AMY589861 AWU589860:AWU589861 BGQ589860:BGQ589861 BQM589860:BQM589861 CAI589860:CAI589861 CKE589860:CKE589861 CUA589860:CUA589861 DDW589860:DDW589861 DNS589860:DNS589861 DXO589860:DXO589861 EHK589860:EHK589861 ERG589860:ERG589861 FBC589860:FBC589861 FKY589860:FKY589861 FUU589860:FUU589861 GEQ589860:GEQ589861 GOM589860:GOM589861 GYI589860:GYI589861 HIE589860:HIE589861 HSA589860:HSA589861 IBW589860:IBW589861 ILS589860:ILS589861 IVO589860:IVO589861 JFK589860:JFK589861 JPG589860:JPG589861 JZC589860:JZC589861 KIY589860:KIY589861 KSU589860:KSU589861 LCQ589860:LCQ589861 LMM589860:LMM589861 LWI589860:LWI589861 MGE589860:MGE589861 MQA589860:MQA589861 MZW589860:MZW589861 NJS589860:NJS589861 NTO589860:NTO589861 ODK589860:ODK589861 ONG589860:ONG589861 OXC589860:OXC589861 PGY589860:PGY589861 PQU589860:PQU589861 QAQ589860:QAQ589861 QKM589860:QKM589861 QUI589860:QUI589861 REE589860:REE589861 ROA589860:ROA589861 RXW589860:RXW589861 SHS589860:SHS589861 SRO589860:SRO589861 TBK589860:TBK589861 TLG589860:TLG589861 TVC589860:TVC589861 UEY589860:UEY589861 UOU589860:UOU589861 UYQ589860:UYQ589861 VIM589860:VIM589861 VSI589860:VSI589861 WCE589860:WCE589861 WMA589860:WMA589861 WVW589860:WVW589861 N655396:N655397 JK655396:JK655397 TG655396:TG655397 ADC655396:ADC655397 AMY655396:AMY655397 AWU655396:AWU655397 BGQ655396:BGQ655397 BQM655396:BQM655397 CAI655396:CAI655397 CKE655396:CKE655397 CUA655396:CUA655397 DDW655396:DDW655397 DNS655396:DNS655397 DXO655396:DXO655397 EHK655396:EHK655397 ERG655396:ERG655397 FBC655396:FBC655397 FKY655396:FKY655397 FUU655396:FUU655397 GEQ655396:GEQ655397 GOM655396:GOM655397 GYI655396:GYI655397 HIE655396:HIE655397 HSA655396:HSA655397 IBW655396:IBW655397 ILS655396:ILS655397 IVO655396:IVO655397 JFK655396:JFK655397 JPG655396:JPG655397 JZC655396:JZC655397 KIY655396:KIY655397 KSU655396:KSU655397 LCQ655396:LCQ655397 LMM655396:LMM655397 LWI655396:LWI655397 MGE655396:MGE655397 MQA655396:MQA655397 MZW655396:MZW655397 NJS655396:NJS655397 NTO655396:NTO655397 ODK655396:ODK655397 ONG655396:ONG655397 OXC655396:OXC655397 PGY655396:PGY655397 PQU655396:PQU655397 QAQ655396:QAQ655397 QKM655396:QKM655397 QUI655396:QUI655397 REE655396:REE655397 ROA655396:ROA655397 RXW655396:RXW655397 SHS655396:SHS655397 SRO655396:SRO655397 TBK655396:TBK655397 TLG655396:TLG655397 TVC655396:TVC655397 UEY655396:UEY655397 UOU655396:UOU655397 UYQ655396:UYQ655397 VIM655396:VIM655397 VSI655396:VSI655397 WCE655396:WCE655397 WMA655396:WMA655397 WVW655396:WVW655397 N720932:N720933 JK720932:JK720933 TG720932:TG720933 ADC720932:ADC720933 AMY720932:AMY720933 AWU720932:AWU720933 BGQ720932:BGQ720933 BQM720932:BQM720933 CAI720932:CAI720933 CKE720932:CKE720933 CUA720932:CUA720933 DDW720932:DDW720933 DNS720932:DNS720933 DXO720932:DXO720933 EHK720932:EHK720933 ERG720932:ERG720933 FBC720932:FBC720933 FKY720932:FKY720933 FUU720932:FUU720933 GEQ720932:GEQ720933 GOM720932:GOM720933 GYI720932:GYI720933 HIE720932:HIE720933 HSA720932:HSA720933 IBW720932:IBW720933 ILS720932:ILS720933 IVO720932:IVO720933 JFK720932:JFK720933 JPG720932:JPG720933 JZC720932:JZC720933 KIY720932:KIY720933 KSU720932:KSU720933 LCQ720932:LCQ720933 LMM720932:LMM720933 LWI720932:LWI720933 MGE720932:MGE720933 MQA720932:MQA720933 MZW720932:MZW720933 NJS720932:NJS720933 NTO720932:NTO720933 ODK720932:ODK720933 ONG720932:ONG720933 OXC720932:OXC720933 PGY720932:PGY720933 PQU720932:PQU720933 QAQ720932:QAQ720933 QKM720932:QKM720933 QUI720932:QUI720933 REE720932:REE720933 ROA720932:ROA720933 RXW720932:RXW720933 SHS720932:SHS720933 SRO720932:SRO720933 TBK720932:TBK720933 TLG720932:TLG720933 TVC720932:TVC720933 UEY720932:UEY720933 UOU720932:UOU720933 UYQ720932:UYQ720933 VIM720932:VIM720933 VSI720932:VSI720933 WCE720932:WCE720933 WMA720932:WMA720933 WVW720932:WVW720933 N786468:N786469 JK786468:JK786469 TG786468:TG786469 ADC786468:ADC786469 AMY786468:AMY786469 AWU786468:AWU786469 BGQ786468:BGQ786469 BQM786468:BQM786469 CAI786468:CAI786469 CKE786468:CKE786469 CUA786468:CUA786469 DDW786468:DDW786469 DNS786468:DNS786469 DXO786468:DXO786469 EHK786468:EHK786469 ERG786468:ERG786469 FBC786468:FBC786469 FKY786468:FKY786469 FUU786468:FUU786469 GEQ786468:GEQ786469 GOM786468:GOM786469 GYI786468:GYI786469 HIE786468:HIE786469 HSA786468:HSA786469 IBW786468:IBW786469 ILS786468:ILS786469 IVO786468:IVO786469 JFK786468:JFK786469 JPG786468:JPG786469 JZC786468:JZC786469 KIY786468:KIY786469 KSU786468:KSU786469 LCQ786468:LCQ786469 LMM786468:LMM786469 LWI786468:LWI786469 MGE786468:MGE786469 MQA786468:MQA786469 MZW786468:MZW786469 NJS786468:NJS786469 NTO786468:NTO786469 ODK786468:ODK786469 ONG786468:ONG786469 OXC786468:OXC786469 PGY786468:PGY786469 PQU786468:PQU786469 QAQ786468:QAQ786469 QKM786468:QKM786469 QUI786468:QUI786469 REE786468:REE786469 ROA786468:ROA786469 RXW786468:RXW786469 SHS786468:SHS786469 SRO786468:SRO786469 TBK786468:TBK786469 TLG786468:TLG786469 TVC786468:TVC786469 UEY786468:UEY786469 UOU786468:UOU786469 UYQ786468:UYQ786469 VIM786468:VIM786469 VSI786468:VSI786469 WCE786468:WCE786469 WMA786468:WMA786469 WVW786468:WVW786469 N852004:N852005 JK852004:JK852005 TG852004:TG852005 ADC852004:ADC852005 AMY852004:AMY852005 AWU852004:AWU852005 BGQ852004:BGQ852005 BQM852004:BQM852005 CAI852004:CAI852005 CKE852004:CKE852005 CUA852004:CUA852005 DDW852004:DDW852005 DNS852004:DNS852005 DXO852004:DXO852005 EHK852004:EHK852005 ERG852004:ERG852005 FBC852004:FBC852005 FKY852004:FKY852005 FUU852004:FUU852005 GEQ852004:GEQ852005 GOM852004:GOM852005 GYI852004:GYI852005 HIE852004:HIE852005 HSA852004:HSA852005 IBW852004:IBW852005 ILS852004:ILS852005 IVO852004:IVO852005 JFK852004:JFK852005 JPG852004:JPG852005 JZC852004:JZC852005 KIY852004:KIY852005 KSU852004:KSU852005 LCQ852004:LCQ852005 LMM852004:LMM852005 LWI852004:LWI852005 MGE852004:MGE852005 MQA852004:MQA852005 MZW852004:MZW852005 NJS852004:NJS852005 NTO852004:NTO852005 ODK852004:ODK852005 ONG852004:ONG852005 OXC852004:OXC852005 PGY852004:PGY852005 PQU852004:PQU852005 QAQ852004:QAQ852005 QKM852004:QKM852005 QUI852004:QUI852005 REE852004:REE852005 ROA852004:ROA852005 RXW852004:RXW852005 SHS852004:SHS852005 SRO852004:SRO852005 TBK852004:TBK852005 TLG852004:TLG852005 TVC852004:TVC852005 UEY852004:UEY852005 UOU852004:UOU852005 UYQ852004:UYQ852005 VIM852004:VIM852005 VSI852004:VSI852005 WCE852004:WCE852005 WMA852004:WMA852005 WVW852004:WVW852005 N917540:N917541 JK917540:JK917541 TG917540:TG917541 ADC917540:ADC917541 AMY917540:AMY917541 AWU917540:AWU917541 BGQ917540:BGQ917541 BQM917540:BQM917541 CAI917540:CAI917541 CKE917540:CKE917541 CUA917540:CUA917541 DDW917540:DDW917541 DNS917540:DNS917541 DXO917540:DXO917541 EHK917540:EHK917541 ERG917540:ERG917541 FBC917540:FBC917541 FKY917540:FKY917541 FUU917540:FUU917541 GEQ917540:GEQ917541 GOM917540:GOM917541 GYI917540:GYI917541 HIE917540:HIE917541 HSA917540:HSA917541 IBW917540:IBW917541 ILS917540:ILS917541 IVO917540:IVO917541 JFK917540:JFK917541 JPG917540:JPG917541 JZC917540:JZC917541 KIY917540:KIY917541 KSU917540:KSU917541 LCQ917540:LCQ917541 LMM917540:LMM917541 LWI917540:LWI917541 MGE917540:MGE917541 MQA917540:MQA917541 MZW917540:MZW917541 NJS917540:NJS917541 NTO917540:NTO917541 ODK917540:ODK917541 ONG917540:ONG917541 OXC917540:OXC917541 PGY917540:PGY917541 PQU917540:PQU917541 QAQ917540:QAQ917541 QKM917540:QKM917541 QUI917540:QUI917541 REE917540:REE917541 ROA917540:ROA917541 RXW917540:RXW917541 SHS917540:SHS917541 SRO917540:SRO917541 TBK917540:TBK917541 TLG917540:TLG917541 TVC917540:TVC917541 UEY917540:UEY917541 UOU917540:UOU917541 UYQ917540:UYQ917541 VIM917540:VIM917541 VSI917540:VSI917541 WCE917540:WCE917541 WMA917540:WMA917541 WVW917540:WVW917541 N983076:N983077 JK983076:JK983077 TG983076:TG983077 ADC983076:ADC983077 AMY983076:AMY983077 AWU983076:AWU983077 BGQ983076:BGQ983077 BQM983076:BQM983077 CAI983076:CAI983077 CKE983076:CKE983077 CUA983076:CUA983077 DDW983076:DDW983077 DNS983076:DNS983077 DXO983076:DXO983077 EHK983076:EHK983077 ERG983076:ERG983077 FBC983076:FBC983077 FKY983076:FKY983077 FUU983076:FUU983077 GEQ983076:GEQ983077 GOM983076:GOM983077 GYI983076:GYI983077 HIE983076:HIE983077 HSA983076:HSA983077 IBW983076:IBW983077 ILS983076:ILS983077 IVO983076:IVO983077 JFK983076:JFK983077 JPG983076:JPG983077 JZC983076:JZC983077 KIY983076:KIY983077 KSU983076:KSU983077 LCQ983076:LCQ983077 LMM983076:LMM983077 LWI983076:LWI983077 MGE983076:MGE983077 MQA983076:MQA983077 MZW983076:MZW983077 NJS983076:NJS983077 NTO983076:NTO983077 ODK983076:ODK983077 ONG983076:ONG983077 OXC983076:OXC983077 PGY983076:PGY983077 PQU983076:PQU983077 QAQ983076:QAQ983077 QKM983076:QKM983077 QUI983076:QUI983077 REE983076:REE983077 ROA983076:ROA983077 RXW983076:RXW983077 SHS983076:SHS983077 SRO983076:SRO983077 TBK983076:TBK983077 TLG983076:TLG983077 TVC983076:TVC983077 UEY983076:UEY983077 UOU983076:UOU983077 UYQ983076:UYQ983077 VIM983076:VIM983077 VSI983076:VSI983077 WCE983076:WCE983077 WMA983076:WMA983077 WVW983076:WVW983077 WMA983081:WMA983084 JK75:JK77 TG75:TG77 ADC75:ADC77 AMY75:AMY77 AWU75:AWU77 BGQ75:BGQ77 BQM75:BQM77 CAI75:CAI77 CKE75:CKE77 CUA75:CUA77 DDW75:DDW77 DNS75:DNS77 DXO75:DXO77 EHK75:EHK77 ERG75:ERG77 FBC75:FBC77 FKY75:FKY77 FUU75:FUU77 GEQ75:GEQ77 GOM75:GOM77 GYI75:GYI77 HIE75:HIE77 HSA75:HSA77 IBW75:IBW77 ILS75:ILS77 IVO75:IVO77 JFK75:JFK77 JPG75:JPG77 JZC75:JZC77 KIY75:KIY77 KSU75:KSU77 LCQ75:LCQ77 LMM75:LMM77 LWI75:LWI77 MGE75:MGE77 MQA75:MQA77 MZW75:MZW77 NJS75:NJS77 NTO75:NTO77 ODK75:ODK77 ONG75:ONG77 OXC75:OXC77 PGY75:PGY77 PQU75:PQU77 QAQ75:QAQ77 QKM75:QKM77 QUI75:QUI77 REE75:REE77 ROA75:ROA77 RXW75:RXW77 SHS75:SHS77 SRO75:SRO77 TBK75:TBK77 TLG75:TLG77 TVC75:TVC77 UEY75:UEY77 UOU75:UOU77 UYQ75:UYQ77 VIM75:VIM77 VSI75:VSI77 WCE75:WCE77 WMA75:WMA77 WVW75:WVW77 N65613:N65615 JK65613:JK65615 TG65613:TG65615 ADC65613:ADC65615 AMY65613:AMY65615 AWU65613:AWU65615 BGQ65613:BGQ65615 BQM65613:BQM65615 CAI65613:CAI65615 CKE65613:CKE65615 CUA65613:CUA65615 DDW65613:DDW65615 DNS65613:DNS65615 DXO65613:DXO65615 EHK65613:EHK65615 ERG65613:ERG65615 FBC65613:FBC65615 FKY65613:FKY65615 FUU65613:FUU65615 GEQ65613:GEQ65615 GOM65613:GOM65615 GYI65613:GYI65615 HIE65613:HIE65615 HSA65613:HSA65615 IBW65613:IBW65615 ILS65613:ILS65615 IVO65613:IVO65615 JFK65613:JFK65615 JPG65613:JPG65615 JZC65613:JZC65615 KIY65613:KIY65615 KSU65613:KSU65615 LCQ65613:LCQ65615 LMM65613:LMM65615 LWI65613:LWI65615 MGE65613:MGE65615 MQA65613:MQA65615 MZW65613:MZW65615 NJS65613:NJS65615 NTO65613:NTO65615 ODK65613:ODK65615 ONG65613:ONG65615 OXC65613:OXC65615 PGY65613:PGY65615 PQU65613:PQU65615 QAQ65613:QAQ65615 QKM65613:QKM65615 QUI65613:QUI65615 REE65613:REE65615 ROA65613:ROA65615 RXW65613:RXW65615 SHS65613:SHS65615 SRO65613:SRO65615 TBK65613:TBK65615 TLG65613:TLG65615 TVC65613:TVC65615 UEY65613:UEY65615 UOU65613:UOU65615 UYQ65613:UYQ65615 VIM65613:VIM65615 VSI65613:VSI65615 WCE65613:WCE65615 WMA65613:WMA65615 WVW65613:WVW65615 N131149:N131151 JK131149:JK131151 TG131149:TG131151 ADC131149:ADC131151 AMY131149:AMY131151 AWU131149:AWU131151 BGQ131149:BGQ131151 BQM131149:BQM131151 CAI131149:CAI131151 CKE131149:CKE131151 CUA131149:CUA131151 DDW131149:DDW131151 DNS131149:DNS131151 DXO131149:DXO131151 EHK131149:EHK131151 ERG131149:ERG131151 FBC131149:FBC131151 FKY131149:FKY131151 FUU131149:FUU131151 GEQ131149:GEQ131151 GOM131149:GOM131151 GYI131149:GYI131151 HIE131149:HIE131151 HSA131149:HSA131151 IBW131149:IBW131151 ILS131149:ILS131151 IVO131149:IVO131151 JFK131149:JFK131151 JPG131149:JPG131151 JZC131149:JZC131151 KIY131149:KIY131151 KSU131149:KSU131151 LCQ131149:LCQ131151 LMM131149:LMM131151 LWI131149:LWI131151 MGE131149:MGE131151 MQA131149:MQA131151 MZW131149:MZW131151 NJS131149:NJS131151 NTO131149:NTO131151 ODK131149:ODK131151 ONG131149:ONG131151 OXC131149:OXC131151 PGY131149:PGY131151 PQU131149:PQU131151 QAQ131149:QAQ131151 QKM131149:QKM131151 QUI131149:QUI131151 REE131149:REE131151 ROA131149:ROA131151 RXW131149:RXW131151 SHS131149:SHS131151 SRO131149:SRO131151 TBK131149:TBK131151 TLG131149:TLG131151 TVC131149:TVC131151 UEY131149:UEY131151 UOU131149:UOU131151 UYQ131149:UYQ131151 VIM131149:VIM131151 VSI131149:VSI131151 WCE131149:WCE131151 WMA131149:WMA131151 WVW131149:WVW131151 N196685:N196687 JK196685:JK196687 TG196685:TG196687 ADC196685:ADC196687 AMY196685:AMY196687 AWU196685:AWU196687 BGQ196685:BGQ196687 BQM196685:BQM196687 CAI196685:CAI196687 CKE196685:CKE196687 CUA196685:CUA196687 DDW196685:DDW196687 DNS196685:DNS196687 DXO196685:DXO196687 EHK196685:EHK196687 ERG196685:ERG196687 FBC196685:FBC196687 FKY196685:FKY196687 FUU196685:FUU196687 GEQ196685:GEQ196687 GOM196685:GOM196687 GYI196685:GYI196687 HIE196685:HIE196687 HSA196685:HSA196687 IBW196685:IBW196687 ILS196685:ILS196687 IVO196685:IVO196687 JFK196685:JFK196687 JPG196685:JPG196687 JZC196685:JZC196687 KIY196685:KIY196687 KSU196685:KSU196687 LCQ196685:LCQ196687 LMM196685:LMM196687 LWI196685:LWI196687 MGE196685:MGE196687 MQA196685:MQA196687 MZW196685:MZW196687 NJS196685:NJS196687 NTO196685:NTO196687 ODK196685:ODK196687 ONG196685:ONG196687 OXC196685:OXC196687 PGY196685:PGY196687 PQU196685:PQU196687 QAQ196685:QAQ196687 QKM196685:QKM196687 QUI196685:QUI196687 REE196685:REE196687 ROA196685:ROA196687 RXW196685:RXW196687 SHS196685:SHS196687 SRO196685:SRO196687 TBK196685:TBK196687 TLG196685:TLG196687 TVC196685:TVC196687 UEY196685:UEY196687 UOU196685:UOU196687 UYQ196685:UYQ196687 VIM196685:VIM196687 VSI196685:VSI196687 WCE196685:WCE196687 WMA196685:WMA196687 WVW196685:WVW196687 N262221:N262223 JK262221:JK262223 TG262221:TG262223 ADC262221:ADC262223 AMY262221:AMY262223 AWU262221:AWU262223 BGQ262221:BGQ262223 BQM262221:BQM262223 CAI262221:CAI262223 CKE262221:CKE262223 CUA262221:CUA262223 DDW262221:DDW262223 DNS262221:DNS262223 DXO262221:DXO262223 EHK262221:EHK262223 ERG262221:ERG262223 FBC262221:FBC262223 FKY262221:FKY262223 FUU262221:FUU262223 GEQ262221:GEQ262223 GOM262221:GOM262223 GYI262221:GYI262223 HIE262221:HIE262223 HSA262221:HSA262223 IBW262221:IBW262223 ILS262221:ILS262223 IVO262221:IVO262223 JFK262221:JFK262223 JPG262221:JPG262223 JZC262221:JZC262223 KIY262221:KIY262223 KSU262221:KSU262223 LCQ262221:LCQ262223 LMM262221:LMM262223 LWI262221:LWI262223 MGE262221:MGE262223 MQA262221:MQA262223 MZW262221:MZW262223 NJS262221:NJS262223 NTO262221:NTO262223 ODK262221:ODK262223 ONG262221:ONG262223 OXC262221:OXC262223 PGY262221:PGY262223 PQU262221:PQU262223 QAQ262221:QAQ262223 QKM262221:QKM262223 QUI262221:QUI262223 REE262221:REE262223 ROA262221:ROA262223 RXW262221:RXW262223 SHS262221:SHS262223 SRO262221:SRO262223 TBK262221:TBK262223 TLG262221:TLG262223 TVC262221:TVC262223 UEY262221:UEY262223 UOU262221:UOU262223 UYQ262221:UYQ262223 VIM262221:VIM262223 VSI262221:VSI262223 WCE262221:WCE262223 WMA262221:WMA262223 WVW262221:WVW262223 N327757:N327759 JK327757:JK327759 TG327757:TG327759 ADC327757:ADC327759 AMY327757:AMY327759 AWU327757:AWU327759 BGQ327757:BGQ327759 BQM327757:BQM327759 CAI327757:CAI327759 CKE327757:CKE327759 CUA327757:CUA327759 DDW327757:DDW327759 DNS327757:DNS327759 DXO327757:DXO327759 EHK327757:EHK327759 ERG327757:ERG327759 FBC327757:FBC327759 FKY327757:FKY327759 FUU327757:FUU327759 GEQ327757:GEQ327759 GOM327757:GOM327759 GYI327757:GYI327759 HIE327757:HIE327759 HSA327757:HSA327759 IBW327757:IBW327759 ILS327757:ILS327759 IVO327757:IVO327759 JFK327757:JFK327759 JPG327757:JPG327759 JZC327757:JZC327759 KIY327757:KIY327759 KSU327757:KSU327759 LCQ327757:LCQ327759 LMM327757:LMM327759 LWI327757:LWI327759 MGE327757:MGE327759 MQA327757:MQA327759 MZW327757:MZW327759 NJS327757:NJS327759 NTO327757:NTO327759 ODK327757:ODK327759 ONG327757:ONG327759 OXC327757:OXC327759 PGY327757:PGY327759 PQU327757:PQU327759 QAQ327757:QAQ327759 QKM327757:QKM327759 QUI327757:QUI327759 REE327757:REE327759 ROA327757:ROA327759 RXW327757:RXW327759 SHS327757:SHS327759 SRO327757:SRO327759 TBK327757:TBK327759 TLG327757:TLG327759 TVC327757:TVC327759 UEY327757:UEY327759 UOU327757:UOU327759 UYQ327757:UYQ327759 VIM327757:VIM327759 VSI327757:VSI327759 WCE327757:WCE327759 WMA327757:WMA327759 WVW327757:WVW327759 N393293:N393295 JK393293:JK393295 TG393293:TG393295 ADC393293:ADC393295 AMY393293:AMY393295 AWU393293:AWU393295 BGQ393293:BGQ393295 BQM393293:BQM393295 CAI393293:CAI393295 CKE393293:CKE393295 CUA393293:CUA393295 DDW393293:DDW393295 DNS393293:DNS393295 DXO393293:DXO393295 EHK393293:EHK393295 ERG393293:ERG393295 FBC393293:FBC393295 FKY393293:FKY393295 FUU393293:FUU393295 GEQ393293:GEQ393295 GOM393293:GOM393295 GYI393293:GYI393295 HIE393293:HIE393295 HSA393293:HSA393295 IBW393293:IBW393295 ILS393293:ILS393295 IVO393293:IVO393295 JFK393293:JFK393295 JPG393293:JPG393295 JZC393293:JZC393295 KIY393293:KIY393295 KSU393293:KSU393295 LCQ393293:LCQ393295 LMM393293:LMM393295 LWI393293:LWI393295 MGE393293:MGE393295 MQA393293:MQA393295 MZW393293:MZW393295 NJS393293:NJS393295 NTO393293:NTO393295 ODK393293:ODK393295 ONG393293:ONG393295 OXC393293:OXC393295 PGY393293:PGY393295 PQU393293:PQU393295 QAQ393293:QAQ393295 QKM393293:QKM393295 QUI393293:QUI393295 REE393293:REE393295 ROA393293:ROA393295 RXW393293:RXW393295 SHS393293:SHS393295 SRO393293:SRO393295 TBK393293:TBK393295 TLG393293:TLG393295 TVC393293:TVC393295 UEY393293:UEY393295 UOU393293:UOU393295 UYQ393293:UYQ393295 VIM393293:VIM393295 VSI393293:VSI393295 WCE393293:WCE393295 WMA393293:WMA393295 WVW393293:WVW393295 N458829:N458831 JK458829:JK458831 TG458829:TG458831 ADC458829:ADC458831 AMY458829:AMY458831 AWU458829:AWU458831 BGQ458829:BGQ458831 BQM458829:BQM458831 CAI458829:CAI458831 CKE458829:CKE458831 CUA458829:CUA458831 DDW458829:DDW458831 DNS458829:DNS458831 DXO458829:DXO458831 EHK458829:EHK458831 ERG458829:ERG458831 FBC458829:FBC458831 FKY458829:FKY458831 FUU458829:FUU458831 GEQ458829:GEQ458831 GOM458829:GOM458831 GYI458829:GYI458831 HIE458829:HIE458831 HSA458829:HSA458831 IBW458829:IBW458831 ILS458829:ILS458831 IVO458829:IVO458831 JFK458829:JFK458831 JPG458829:JPG458831 JZC458829:JZC458831 KIY458829:KIY458831 KSU458829:KSU458831 LCQ458829:LCQ458831 LMM458829:LMM458831 LWI458829:LWI458831 MGE458829:MGE458831 MQA458829:MQA458831 MZW458829:MZW458831 NJS458829:NJS458831 NTO458829:NTO458831 ODK458829:ODK458831 ONG458829:ONG458831 OXC458829:OXC458831 PGY458829:PGY458831 PQU458829:PQU458831 QAQ458829:QAQ458831 QKM458829:QKM458831 QUI458829:QUI458831 REE458829:REE458831 ROA458829:ROA458831 RXW458829:RXW458831 SHS458829:SHS458831 SRO458829:SRO458831 TBK458829:TBK458831 TLG458829:TLG458831 TVC458829:TVC458831 UEY458829:UEY458831 UOU458829:UOU458831 UYQ458829:UYQ458831 VIM458829:VIM458831 VSI458829:VSI458831 WCE458829:WCE458831 WMA458829:WMA458831 WVW458829:WVW458831 N524365:N524367 JK524365:JK524367 TG524365:TG524367 ADC524365:ADC524367 AMY524365:AMY524367 AWU524365:AWU524367 BGQ524365:BGQ524367 BQM524365:BQM524367 CAI524365:CAI524367 CKE524365:CKE524367 CUA524365:CUA524367 DDW524365:DDW524367 DNS524365:DNS524367 DXO524365:DXO524367 EHK524365:EHK524367 ERG524365:ERG524367 FBC524365:FBC524367 FKY524365:FKY524367 FUU524365:FUU524367 GEQ524365:GEQ524367 GOM524365:GOM524367 GYI524365:GYI524367 HIE524365:HIE524367 HSA524365:HSA524367 IBW524365:IBW524367 ILS524365:ILS524367 IVO524365:IVO524367 JFK524365:JFK524367 JPG524365:JPG524367 JZC524365:JZC524367 KIY524365:KIY524367 KSU524365:KSU524367 LCQ524365:LCQ524367 LMM524365:LMM524367 LWI524365:LWI524367 MGE524365:MGE524367 MQA524365:MQA524367 MZW524365:MZW524367 NJS524365:NJS524367 NTO524365:NTO524367 ODK524365:ODK524367 ONG524365:ONG524367 OXC524365:OXC524367 PGY524365:PGY524367 PQU524365:PQU524367 QAQ524365:QAQ524367 QKM524365:QKM524367 QUI524365:QUI524367 REE524365:REE524367 ROA524365:ROA524367 RXW524365:RXW524367 SHS524365:SHS524367 SRO524365:SRO524367 TBK524365:TBK524367 TLG524365:TLG524367 TVC524365:TVC524367 UEY524365:UEY524367 UOU524365:UOU524367 UYQ524365:UYQ524367 VIM524365:VIM524367 VSI524365:VSI524367 WCE524365:WCE524367 WMA524365:WMA524367 WVW524365:WVW524367 N589901:N589903 JK589901:JK589903 TG589901:TG589903 ADC589901:ADC589903 AMY589901:AMY589903 AWU589901:AWU589903 BGQ589901:BGQ589903 BQM589901:BQM589903 CAI589901:CAI589903 CKE589901:CKE589903 CUA589901:CUA589903 DDW589901:DDW589903 DNS589901:DNS589903 DXO589901:DXO589903 EHK589901:EHK589903 ERG589901:ERG589903 FBC589901:FBC589903 FKY589901:FKY589903 FUU589901:FUU589903 GEQ589901:GEQ589903 GOM589901:GOM589903 GYI589901:GYI589903 HIE589901:HIE589903 HSA589901:HSA589903 IBW589901:IBW589903 ILS589901:ILS589903 IVO589901:IVO589903 JFK589901:JFK589903 JPG589901:JPG589903 JZC589901:JZC589903 KIY589901:KIY589903 KSU589901:KSU589903 LCQ589901:LCQ589903 LMM589901:LMM589903 LWI589901:LWI589903 MGE589901:MGE589903 MQA589901:MQA589903 MZW589901:MZW589903 NJS589901:NJS589903 NTO589901:NTO589903 ODK589901:ODK589903 ONG589901:ONG589903 OXC589901:OXC589903 PGY589901:PGY589903 PQU589901:PQU589903 QAQ589901:QAQ589903 QKM589901:QKM589903 QUI589901:QUI589903 REE589901:REE589903 ROA589901:ROA589903 RXW589901:RXW589903 SHS589901:SHS589903 SRO589901:SRO589903 TBK589901:TBK589903 TLG589901:TLG589903 TVC589901:TVC589903 UEY589901:UEY589903 UOU589901:UOU589903 UYQ589901:UYQ589903 VIM589901:VIM589903 VSI589901:VSI589903 WCE589901:WCE589903 WMA589901:WMA589903 WVW589901:WVW589903 N655437:N655439 JK655437:JK655439 TG655437:TG655439 ADC655437:ADC655439 AMY655437:AMY655439 AWU655437:AWU655439 BGQ655437:BGQ655439 BQM655437:BQM655439 CAI655437:CAI655439 CKE655437:CKE655439 CUA655437:CUA655439 DDW655437:DDW655439 DNS655437:DNS655439 DXO655437:DXO655439 EHK655437:EHK655439 ERG655437:ERG655439 FBC655437:FBC655439 FKY655437:FKY655439 FUU655437:FUU655439 GEQ655437:GEQ655439 GOM655437:GOM655439 GYI655437:GYI655439 HIE655437:HIE655439 HSA655437:HSA655439 IBW655437:IBW655439 ILS655437:ILS655439 IVO655437:IVO655439 JFK655437:JFK655439 JPG655437:JPG655439 JZC655437:JZC655439 KIY655437:KIY655439 KSU655437:KSU655439 LCQ655437:LCQ655439 LMM655437:LMM655439 LWI655437:LWI655439 MGE655437:MGE655439 MQA655437:MQA655439 MZW655437:MZW655439 NJS655437:NJS655439 NTO655437:NTO655439 ODK655437:ODK655439 ONG655437:ONG655439 OXC655437:OXC655439 PGY655437:PGY655439 PQU655437:PQU655439 QAQ655437:QAQ655439 QKM655437:QKM655439 QUI655437:QUI655439 REE655437:REE655439 ROA655437:ROA655439 RXW655437:RXW655439 SHS655437:SHS655439 SRO655437:SRO655439 TBK655437:TBK655439 TLG655437:TLG655439 TVC655437:TVC655439 UEY655437:UEY655439 UOU655437:UOU655439 UYQ655437:UYQ655439 VIM655437:VIM655439 VSI655437:VSI655439 WCE655437:WCE655439 WMA655437:WMA655439 WVW655437:WVW655439 N720973:N720975 JK720973:JK720975 TG720973:TG720975 ADC720973:ADC720975 AMY720973:AMY720975 AWU720973:AWU720975 BGQ720973:BGQ720975 BQM720973:BQM720975 CAI720973:CAI720975 CKE720973:CKE720975 CUA720973:CUA720975 DDW720973:DDW720975 DNS720973:DNS720975 DXO720973:DXO720975 EHK720973:EHK720975 ERG720973:ERG720975 FBC720973:FBC720975 FKY720973:FKY720975 FUU720973:FUU720975 GEQ720973:GEQ720975 GOM720973:GOM720975 GYI720973:GYI720975 HIE720973:HIE720975 HSA720973:HSA720975 IBW720973:IBW720975 ILS720973:ILS720975 IVO720973:IVO720975 JFK720973:JFK720975 JPG720973:JPG720975 JZC720973:JZC720975 KIY720973:KIY720975 KSU720973:KSU720975 LCQ720973:LCQ720975 LMM720973:LMM720975 LWI720973:LWI720975 MGE720973:MGE720975 MQA720973:MQA720975 MZW720973:MZW720975 NJS720973:NJS720975 NTO720973:NTO720975 ODK720973:ODK720975 ONG720973:ONG720975 OXC720973:OXC720975 PGY720973:PGY720975 PQU720973:PQU720975 QAQ720973:QAQ720975 QKM720973:QKM720975 QUI720973:QUI720975 REE720973:REE720975 ROA720973:ROA720975 RXW720973:RXW720975 SHS720973:SHS720975 SRO720973:SRO720975 TBK720973:TBK720975 TLG720973:TLG720975 TVC720973:TVC720975 UEY720973:UEY720975 UOU720973:UOU720975 UYQ720973:UYQ720975 VIM720973:VIM720975 VSI720973:VSI720975 WCE720973:WCE720975 WMA720973:WMA720975 WVW720973:WVW720975 N786509:N786511 JK786509:JK786511 TG786509:TG786511 ADC786509:ADC786511 AMY786509:AMY786511 AWU786509:AWU786511 BGQ786509:BGQ786511 BQM786509:BQM786511 CAI786509:CAI786511 CKE786509:CKE786511 CUA786509:CUA786511 DDW786509:DDW786511 DNS786509:DNS786511 DXO786509:DXO786511 EHK786509:EHK786511 ERG786509:ERG786511 FBC786509:FBC786511 FKY786509:FKY786511 FUU786509:FUU786511 GEQ786509:GEQ786511 GOM786509:GOM786511 GYI786509:GYI786511 HIE786509:HIE786511 HSA786509:HSA786511 IBW786509:IBW786511 ILS786509:ILS786511 IVO786509:IVO786511 JFK786509:JFK786511 JPG786509:JPG786511 JZC786509:JZC786511 KIY786509:KIY786511 KSU786509:KSU786511 LCQ786509:LCQ786511 LMM786509:LMM786511 LWI786509:LWI786511 MGE786509:MGE786511 MQA786509:MQA786511 MZW786509:MZW786511 NJS786509:NJS786511 NTO786509:NTO786511 ODK786509:ODK786511 ONG786509:ONG786511 OXC786509:OXC786511 PGY786509:PGY786511 PQU786509:PQU786511 QAQ786509:QAQ786511 QKM786509:QKM786511 QUI786509:QUI786511 REE786509:REE786511 ROA786509:ROA786511 RXW786509:RXW786511 SHS786509:SHS786511 SRO786509:SRO786511 TBK786509:TBK786511 TLG786509:TLG786511 TVC786509:TVC786511 UEY786509:UEY786511 UOU786509:UOU786511 UYQ786509:UYQ786511 VIM786509:VIM786511 VSI786509:VSI786511 WCE786509:WCE786511 WMA786509:WMA786511 WVW786509:WVW786511 N852045:N852047 JK852045:JK852047 TG852045:TG852047 ADC852045:ADC852047 AMY852045:AMY852047 AWU852045:AWU852047 BGQ852045:BGQ852047 BQM852045:BQM852047 CAI852045:CAI852047 CKE852045:CKE852047 CUA852045:CUA852047 DDW852045:DDW852047 DNS852045:DNS852047 DXO852045:DXO852047 EHK852045:EHK852047 ERG852045:ERG852047 FBC852045:FBC852047 FKY852045:FKY852047 FUU852045:FUU852047 GEQ852045:GEQ852047 GOM852045:GOM852047 GYI852045:GYI852047 HIE852045:HIE852047 HSA852045:HSA852047 IBW852045:IBW852047 ILS852045:ILS852047 IVO852045:IVO852047 JFK852045:JFK852047 JPG852045:JPG852047 JZC852045:JZC852047 KIY852045:KIY852047 KSU852045:KSU852047 LCQ852045:LCQ852047 LMM852045:LMM852047 LWI852045:LWI852047 MGE852045:MGE852047 MQA852045:MQA852047 MZW852045:MZW852047 NJS852045:NJS852047 NTO852045:NTO852047 ODK852045:ODK852047 ONG852045:ONG852047 OXC852045:OXC852047 PGY852045:PGY852047 PQU852045:PQU852047 QAQ852045:QAQ852047 QKM852045:QKM852047 QUI852045:QUI852047 REE852045:REE852047 ROA852045:ROA852047 RXW852045:RXW852047 SHS852045:SHS852047 SRO852045:SRO852047 TBK852045:TBK852047 TLG852045:TLG852047 TVC852045:TVC852047 UEY852045:UEY852047 UOU852045:UOU852047 UYQ852045:UYQ852047 VIM852045:VIM852047 VSI852045:VSI852047 WCE852045:WCE852047 WMA852045:WMA852047 WVW852045:WVW852047 N917581:N917583 JK917581:JK917583 TG917581:TG917583 ADC917581:ADC917583 AMY917581:AMY917583 AWU917581:AWU917583 BGQ917581:BGQ917583 BQM917581:BQM917583 CAI917581:CAI917583 CKE917581:CKE917583 CUA917581:CUA917583 DDW917581:DDW917583 DNS917581:DNS917583 DXO917581:DXO917583 EHK917581:EHK917583 ERG917581:ERG917583 FBC917581:FBC917583 FKY917581:FKY917583 FUU917581:FUU917583 GEQ917581:GEQ917583 GOM917581:GOM917583 GYI917581:GYI917583 HIE917581:HIE917583 HSA917581:HSA917583 IBW917581:IBW917583 ILS917581:ILS917583 IVO917581:IVO917583 JFK917581:JFK917583 JPG917581:JPG917583 JZC917581:JZC917583 KIY917581:KIY917583 KSU917581:KSU917583 LCQ917581:LCQ917583 LMM917581:LMM917583 LWI917581:LWI917583 MGE917581:MGE917583 MQA917581:MQA917583 MZW917581:MZW917583 NJS917581:NJS917583 NTO917581:NTO917583 ODK917581:ODK917583 ONG917581:ONG917583 OXC917581:OXC917583 PGY917581:PGY917583 PQU917581:PQU917583 QAQ917581:QAQ917583 QKM917581:QKM917583 QUI917581:QUI917583 REE917581:REE917583 ROA917581:ROA917583 RXW917581:RXW917583 SHS917581:SHS917583 SRO917581:SRO917583 TBK917581:TBK917583 TLG917581:TLG917583 TVC917581:TVC917583 UEY917581:UEY917583 UOU917581:UOU917583 UYQ917581:UYQ917583 VIM917581:VIM917583 VSI917581:VSI917583 WCE917581:WCE917583 WMA917581:WMA917583 WVW917581:WVW917583 N983117:N983119 JK983117:JK983119 TG983117:TG983119 ADC983117:ADC983119 AMY983117:AMY983119 AWU983117:AWU983119 BGQ983117:BGQ983119 BQM983117:BQM983119 CAI983117:CAI983119 CKE983117:CKE983119 CUA983117:CUA983119 DDW983117:DDW983119 DNS983117:DNS983119 DXO983117:DXO983119 EHK983117:EHK983119 ERG983117:ERG983119 FBC983117:FBC983119 FKY983117:FKY983119 FUU983117:FUU983119 GEQ983117:GEQ983119 GOM983117:GOM983119 GYI983117:GYI983119 HIE983117:HIE983119 HSA983117:HSA983119 IBW983117:IBW983119 ILS983117:ILS983119 IVO983117:IVO983119 JFK983117:JFK983119 JPG983117:JPG983119 JZC983117:JZC983119 KIY983117:KIY983119 KSU983117:KSU983119 LCQ983117:LCQ983119 LMM983117:LMM983119 LWI983117:LWI983119 MGE983117:MGE983119 MQA983117:MQA983119 MZW983117:MZW983119 NJS983117:NJS983119 NTO983117:NTO983119 ODK983117:ODK983119 ONG983117:ONG983119 OXC983117:OXC983119 PGY983117:PGY983119 PQU983117:PQU983119 QAQ983117:QAQ983119 QKM983117:QKM983119 QUI983117:QUI983119 REE983117:REE983119 ROA983117:ROA983119 RXW983117:RXW983119 SHS983117:SHS983119 SRO983117:SRO983119 TBK983117:TBK983119 TLG983117:TLG983119 TVC983117:TVC983119 UEY983117:UEY983119 UOU983117:UOU983119 UYQ983117:UYQ983119 VIM983117:VIM983119 VSI983117:VSI983119 WCE983117:WCE983119 WMA983117:WMA983119 WVW983117:WVW983119 VSI983081:VSI983084 JK60:JK61 TG60:TG61 ADC60:ADC61 AMY60:AMY61 AWU60:AWU61 BGQ60:BGQ61 BQM60:BQM61 CAI60:CAI61 CKE60:CKE61 CUA60:CUA61 DDW60:DDW61 DNS60:DNS61 DXO60:DXO61 EHK60:EHK61 ERG60:ERG61 FBC60:FBC61 FKY60:FKY61 FUU60:FUU61 GEQ60:GEQ61 GOM60:GOM61 GYI60:GYI61 HIE60:HIE61 HSA60:HSA61 IBW60:IBW61 ILS60:ILS61 IVO60:IVO61 JFK60:JFK61 JPG60:JPG61 JZC60:JZC61 KIY60:KIY61 KSU60:KSU61 LCQ60:LCQ61 LMM60:LMM61 LWI60:LWI61 MGE60:MGE61 MQA60:MQA61 MZW60:MZW61 NJS60:NJS61 NTO60:NTO61 ODK60:ODK61 ONG60:ONG61 OXC60:OXC61 PGY60:PGY61 PQU60:PQU61 QAQ60:QAQ61 QKM60:QKM61 QUI60:QUI61 REE60:REE61 ROA60:ROA61 RXW60:RXW61 SHS60:SHS61 SRO60:SRO61 TBK60:TBK61 TLG60:TLG61 TVC60:TVC61 UEY60:UEY61 UOU60:UOU61 UYQ60:UYQ61 VIM60:VIM61 VSI60:VSI61 WCE60:WCE61 WMA60:WMA61 WVW60:WVW61 N65598:N65599 JK65598:JK65599 TG65598:TG65599 ADC65598:ADC65599 AMY65598:AMY65599 AWU65598:AWU65599 BGQ65598:BGQ65599 BQM65598:BQM65599 CAI65598:CAI65599 CKE65598:CKE65599 CUA65598:CUA65599 DDW65598:DDW65599 DNS65598:DNS65599 DXO65598:DXO65599 EHK65598:EHK65599 ERG65598:ERG65599 FBC65598:FBC65599 FKY65598:FKY65599 FUU65598:FUU65599 GEQ65598:GEQ65599 GOM65598:GOM65599 GYI65598:GYI65599 HIE65598:HIE65599 HSA65598:HSA65599 IBW65598:IBW65599 ILS65598:ILS65599 IVO65598:IVO65599 JFK65598:JFK65599 JPG65598:JPG65599 JZC65598:JZC65599 KIY65598:KIY65599 KSU65598:KSU65599 LCQ65598:LCQ65599 LMM65598:LMM65599 LWI65598:LWI65599 MGE65598:MGE65599 MQA65598:MQA65599 MZW65598:MZW65599 NJS65598:NJS65599 NTO65598:NTO65599 ODK65598:ODK65599 ONG65598:ONG65599 OXC65598:OXC65599 PGY65598:PGY65599 PQU65598:PQU65599 QAQ65598:QAQ65599 QKM65598:QKM65599 QUI65598:QUI65599 REE65598:REE65599 ROA65598:ROA65599 RXW65598:RXW65599 SHS65598:SHS65599 SRO65598:SRO65599 TBK65598:TBK65599 TLG65598:TLG65599 TVC65598:TVC65599 UEY65598:UEY65599 UOU65598:UOU65599 UYQ65598:UYQ65599 VIM65598:VIM65599 VSI65598:VSI65599 WCE65598:WCE65599 WMA65598:WMA65599 WVW65598:WVW65599 N131134:N131135 JK131134:JK131135 TG131134:TG131135 ADC131134:ADC131135 AMY131134:AMY131135 AWU131134:AWU131135 BGQ131134:BGQ131135 BQM131134:BQM131135 CAI131134:CAI131135 CKE131134:CKE131135 CUA131134:CUA131135 DDW131134:DDW131135 DNS131134:DNS131135 DXO131134:DXO131135 EHK131134:EHK131135 ERG131134:ERG131135 FBC131134:FBC131135 FKY131134:FKY131135 FUU131134:FUU131135 GEQ131134:GEQ131135 GOM131134:GOM131135 GYI131134:GYI131135 HIE131134:HIE131135 HSA131134:HSA131135 IBW131134:IBW131135 ILS131134:ILS131135 IVO131134:IVO131135 JFK131134:JFK131135 JPG131134:JPG131135 JZC131134:JZC131135 KIY131134:KIY131135 KSU131134:KSU131135 LCQ131134:LCQ131135 LMM131134:LMM131135 LWI131134:LWI131135 MGE131134:MGE131135 MQA131134:MQA131135 MZW131134:MZW131135 NJS131134:NJS131135 NTO131134:NTO131135 ODK131134:ODK131135 ONG131134:ONG131135 OXC131134:OXC131135 PGY131134:PGY131135 PQU131134:PQU131135 QAQ131134:QAQ131135 QKM131134:QKM131135 QUI131134:QUI131135 REE131134:REE131135 ROA131134:ROA131135 RXW131134:RXW131135 SHS131134:SHS131135 SRO131134:SRO131135 TBK131134:TBK131135 TLG131134:TLG131135 TVC131134:TVC131135 UEY131134:UEY131135 UOU131134:UOU131135 UYQ131134:UYQ131135 VIM131134:VIM131135 VSI131134:VSI131135 WCE131134:WCE131135 WMA131134:WMA131135 WVW131134:WVW131135 N196670:N196671 JK196670:JK196671 TG196670:TG196671 ADC196670:ADC196671 AMY196670:AMY196671 AWU196670:AWU196671 BGQ196670:BGQ196671 BQM196670:BQM196671 CAI196670:CAI196671 CKE196670:CKE196671 CUA196670:CUA196671 DDW196670:DDW196671 DNS196670:DNS196671 DXO196670:DXO196671 EHK196670:EHK196671 ERG196670:ERG196671 FBC196670:FBC196671 FKY196670:FKY196671 FUU196670:FUU196671 GEQ196670:GEQ196671 GOM196670:GOM196671 GYI196670:GYI196671 HIE196670:HIE196671 HSA196670:HSA196671 IBW196670:IBW196671 ILS196670:ILS196671 IVO196670:IVO196671 JFK196670:JFK196671 JPG196670:JPG196671 JZC196670:JZC196671 KIY196670:KIY196671 KSU196670:KSU196671 LCQ196670:LCQ196671 LMM196670:LMM196671 LWI196670:LWI196671 MGE196670:MGE196671 MQA196670:MQA196671 MZW196670:MZW196671 NJS196670:NJS196671 NTO196670:NTO196671 ODK196670:ODK196671 ONG196670:ONG196671 OXC196670:OXC196671 PGY196670:PGY196671 PQU196670:PQU196671 QAQ196670:QAQ196671 QKM196670:QKM196671 QUI196670:QUI196671 REE196670:REE196671 ROA196670:ROA196671 RXW196670:RXW196671 SHS196670:SHS196671 SRO196670:SRO196671 TBK196670:TBK196671 TLG196670:TLG196671 TVC196670:TVC196671 UEY196670:UEY196671 UOU196670:UOU196671 UYQ196670:UYQ196671 VIM196670:VIM196671 VSI196670:VSI196671 WCE196670:WCE196671 WMA196670:WMA196671 WVW196670:WVW196671 N262206:N262207 JK262206:JK262207 TG262206:TG262207 ADC262206:ADC262207 AMY262206:AMY262207 AWU262206:AWU262207 BGQ262206:BGQ262207 BQM262206:BQM262207 CAI262206:CAI262207 CKE262206:CKE262207 CUA262206:CUA262207 DDW262206:DDW262207 DNS262206:DNS262207 DXO262206:DXO262207 EHK262206:EHK262207 ERG262206:ERG262207 FBC262206:FBC262207 FKY262206:FKY262207 FUU262206:FUU262207 GEQ262206:GEQ262207 GOM262206:GOM262207 GYI262206:GYI262207 HIE262206:HIE262207 HSA262206:HSA262207 IBW262206:IBW262207 ILS262206:ILS262207 IVO262206:IVO262207 JFK262206:JFK262207 JPG262206:JPG262207 JZC262206:JZC262207 KIY262206:KIY262207 KSU262206:KSU262207 LCQ262206:LCQ262207 LMM262206:LMM262207 LWI262206:LWI262207 MGE262206:MGE262207 MQA262206:MQA262207 MZW262206:MZW262207 NJS262206:NJS262207 NTO262206:NTO262207 ODK262206:ODK262207 ONG262206:ONG262207 OXC262206:OXC262207 PGY262206:PGY262207 PQU262206:PQU262207 QAQ262206:QAQ262207 QKM262206:QKM262207 QUI262206:QUI262207 REE262206:REE262207 ROA262206:ROA262207 RXW262206:RXW262207 SHS262206:SHS262207 SRO262206:SRO262207 TBK262206:TBK262207 TLG262206:TLG262207 TVC262206:TVC262207 UEY262206:UEY262207 UOU262206:UOU262207 UYQ262206:UYQ262207 VIM262206:VIM262207 VSI262206:VSI262207 WCE262206:WCE262207 WMA262206:WMA262207 WVW262206:WVW262207 N327742:N327743 JK327742:JK327743 TG327742:TG327743 ADC327742:ADC327743 AMY327742:AMY327743 AWU327742:AWU327743 BGQ327742:BGQ327743 BQM327742:BQM327743 CAI327742:CAI327743 CKE327742:CKE327743 CUA327742:CUA327743 DDW327742:DDW327743 DNS327742:DNS327743 DXO327742:DXO327743 EHK327742:EHK327743 ERG327742:ERG327743 FBC327742:FBC327743 FKY327742:FKY327743 FUU327742:FUU327743 GEQ327742:GEQ327743 GOM327742:GOM327743 GYI327742:GYI327743 HIE327742:HIE327743 HSA327742:HSA327743 IBW327742:IBW327743 ILS327742:ILS327743 IVO327742:IVO327743 JFK327742:JFK327743 JPG327742:JPG327743 JZC327742:JZC327743 KIY327742:KIY327743 KSU327742:KSU327743 LCQ327742:LCQ327743 LMM327742:LMM327743 LWI327742:LWI327743 MGE327742:MGE327743 MQA327742:MQA327743 MZW327742:MZW327743 NJS327742:NJS327743 NTO327742:NTO327743 ODK327742:ODK327743 ONG327742:ONG327743 OXC327742:OXC327743 PGY327742:PGY327743 PQU327742:PQU327743 QAQ327742:QAQ327743 QKM327742:QKM327743 QUI327742:QUI327743 REE327742:REE327743 ROA327742:ROA327743 RXW327742:RXW327743 SHS327742:SHS327743 SRO327742:SRO327743 TBK327742:TBK327743 TLG327742:TLG327743 TVC327742:TVC327743 UEY327742:UEY327743 UOU327742:UOU327743 UYQ327742:UYQ327743 VIM327742:VIM327743 VSI327742:VSI327743 WCE327742:WCE327743 WMA327742:WMA327743 WVW327742:WVW327743 N393278:N393279 JK393278:JK393279 TG393278:TG393279 ADC393278:ADC393279 AMY393278:AMY393279 AWU393278:AWU393279 BGQ393278:BGQ393279 BQM393278:BQM393279 CAI393278:CAI393279 CKE393278:CKE393279 CUA393278:CUA393279 DDW393278:DDW393279 DNS393278:DNS393279 DXO393278:DXO393279 EHK393278:EHK393279 ERG393278:ERG393279 FBC393278:FBC393279 FKY393278:FKY393279 FUU393278:FUU393279 GEQ393278:GEQ393279 GOM393278:GOM393279 GYI393278:GYI393279 HIE393278:HIE393279 HSA393278:HSA393279 IBW393278:IBW393279 ILS393278:ILS393279 IVO393278:IVO393279 JFK393278:JFK393279 JPG393278:JPG393279 JZC393278:JZC393279 KIY393278:KIY393279 KSU393278:KSU393279 LCQ393278:LCQ393279 LMM393278:LMM393279 LWI393278:LWI393279 MGE393278:MGE393279 MQA393278:MQA393279 MZW393278:MZW393279 NJS393278:NJS393279 NTO393278:NTO393279 ODK393278:ODK393279 ONG393278:ONG393279 OXC393278:OXC393279 PGY393278:PGY393279 PQU393278:PQU393279 QAQ393278:QAQ393279 QKM393278:QKM393279 QUI393278:QUI393279 REE393278:REE393279 ROA393278:ROA393279 RXW393278:RXW393279 SHS393278:SHS393279 SRO393278:SRO393279 TBK393278:TBK393279 TLG393278:TLG393279 TVC393278:TVC393279 UEY393278:UEY393279 UOU393278:UOU393279 UYQ393278:UYQ393279 VIM393278:VIM393279 VSI393278:VSI393279 WCE393278:WCE393279 WMA393278:WMA393279 WVW393278:WVW393279 N458814:N458815 JK458814:JK458815 TG458814:TG458815 ADC458814:ADC458815 AMY458814:AMY458815 AWU458814:AWU458815 BGQ458814:BGQ458815 BQM458814:BQM458815 CAI458814:CAI458815 CKE458814:CKE458815 CUA458814:CUA458815 DDW458814:DDW458815 DNS458814:DNS458815 DXO458814:DXO458815 EHK458814:EHK458815 ERG458814:ERG458815 FBC458814:FBC458815 FKY458814:FKY458815 FUU458814:FUU458815 GEQ458814:GEQ458815 GOM458814:GOM458815 GYI458814:GYI458815 HIE458814:HIE458815 HSA458814:HSA458815 IBW458814:IBW458815 ILS458814:ILS458815 IVO458814:IVO458815 JFK458814:JFK458815 JPG458814:JPG458815 JZC458814:JZC458815 KIY458814:KIY458815 KSU458814:KSU458815 LCQ458814:LCQ458815 LMM458814:LMM458815 LWI458814:LWI458815 MGE458814:MGE458815 MQA458814:MQA458815 MZW458814:MZW458815 NJS458814:NJS458815 NTO458814:NTO458815 ODK458814:ODK458815 ONG458814:ONG458815 OXC458814:OXC458815 PGY458814:PGY458815 PQU458814:PQU458815 QAQ458814:QAQ458815 QKM458814:QKM458815 QUI458814:QUI458815 REE458814:REE458815 ROA458814:ROA458815 RXW458814:RXW458815 SHS458814:SHS458815 SRO458814:SRO458815 TBK458814:TBK458815 TLG458814:TLG458815 TVC458814:TVC458815 UEY458814:UEY458815 UOU458814:UOU458815 UYQ458814:UYQ458815 VIM458814:VIM458815 VSI458814:VSI458815 WCE458814:WCE458815 WMA458814:WMA458815 WVW458814:WVW458815 N524350:N524351 JK524350:JK524351 TG524350:TG524351 ADC524350:ADC524351 AMY524350:AMY524351 AWU524350:AWU524351 BGQ524350:BGQ524351 BQM524350:BQM524351 CAI524350:CAI524351 CKE524350:CKE524351 CUA524350:CUA524351 DDW524350:DDW524351 DNS524350:DNS524351 DXO524350:DXO524351 EHK524350:EHK524351 ERG524350:ERG524351 FBC524350:FBC524351 FKY524350:FKY524351 FUU524350:FUU524351 GEQ524350:GEQ524351 GOM524350:GOM524351 GYI524350:GYI524351 HIE524350:HIE524351 HSA524350:HSA524351 IBW524350:IBW524351 ILS524350:ILS524351 IVO524350:IVO524351 JFK524350:JFK524351 JPG524350:JPG524351 JZC524350:JZC524351 KIY524350:KIY524351 KSU524350:KSU524351 LCQ524350:LCQ524351 LMM524350:LMM524351 LWI524350:LWI524351 MGE524350:MGE524351 MQA524350:MQA524351 MZW524350:MZW524351 NJS524350:NJS524351 NTO524350:NTO524351 ODK524350:ODK524351 ONG524350:ONG524351 OXC524350:OXC524351 PGY524350:PGY524351 PQU524350:PQU524351 QAQ524350:QAQ524351 QKM524350:QKM524351 QUI524350:QUI524351 REE524350:REE524351 ROA524350:ROA524351 RXW524350:RXW524351 SHS524350:SHS524351 SRO524350:SRO524351 TBK524350:TBK524351 TLG524350:TLG524351 TVC524350:TVC524351 UEY524350:UEY524351 UOU524350:UOU524351 UYQ524350:UYQ524351 VIM524350:VIM524351 VSI524350:VSI524351 WCE524350:WCE524351 WMA524350:WMA524351 WVW524350:WVW524351 N589886:N589887 JK589886:JK589887 TG589886:TG589887 ADC589886:ADC589887 AMY589886:AMY589887 AWU589886:AWU589887 BGQ589886:BGQ589887 BQM589886:BQM589887 CAI589886:CAI589887 CKE589886:CKE589887 CUA589886:CUA589887 DDW589886:DDW589887 DNS589886:DNS589887 DXO589886:DXO589887 EHK589886:EHK589887 ERG589886:ERG589887 FBC589886:FBC589887 FKY589886:FKY589887 FUU589886:FUU589887 GEQ589886:GEQ589887 GOM589886:GOM589887 GYI589886:GYI589887 HIE589886:HIE589887 HSA589886:HSA589887 IBW589886:IBW589887 ILS589886:ILS589887 IVO589886:IVO589887 JFK589886:JFK589887 JPG589886:JPG589887 JZC589886:JZC589887 KIY589886:KIY589887 KSU589886:KSU589887 LCQ589886:LCQ589887 LMM589886:LMM589887 LWI589886:LWI589887 MGE589886:MGE589887 MQA589886:MQA589887 MZW589886:MZW589887 NJS589886:NJS589887 NTO589886:NTO589887 ODK589886:ODK589887 ONG589886:ONG589887 OXC589886:OXC589887 PGY589886:PGY589887 PQU589886:PQU589887 QAQ589886:QAQ589887 QKM589886:QKM589887 QUI589886:QUI589887 REE589886:REE589887 ROA589886:ROA589887 RXW589886:RXW589887 SHS589886:SHS589887 SRO589886:SRO589887 TBK589886:TBK589887 TLG589886:TLG589887 TVC589886:TVC589887 UEY589886:UEY589887 UOU589886:UOU589887 UYQ589886:UYQ589887 VIM589886:VIM589887 VSI589886:VSI589887 WCE589886:WCE589887 WMA589886:WMA589887 WVW589886:WVW589887 N655422:N655423 JK655422:JK655423 TG655422:TG655423 ADC655422:ADC655423 AMY655422:AMY655423 AWU655422:AWU655423 BGQ655422:BGQ655423 BQM655422:BQM655423 CAI655422:CAI655423 CKE655422:CKE655423 CUA655422:CUA655423 DDW655422:DDW655423 DNS655422:DNS655423 DXO655422:DXO655423 EHK655422:EHK655423 ERG655422:ERG655423 FBC655422:FBC655423 FKY655422:FKY655423 FUU655422:FUU655423 GEQ655422:GEQ655423 GOM655422:GOM655423 GYI655422:GYI655423 HIE655422:HIE655423 HSA655422:HSA655423 IBW655422:IBW655423 ILS655422:ILS655423 IVO655422:IVO655423 JFK655422:JFK655423 JPG655422:JPG655423 JZC655422:JZC655423 KIY655422:KIY655423 KSU655422:KSU655423 LCQ655422:LCQ655423 LMM655422:LMM655423 LWI655422:LWI655423 MGE655422:MGE655423 MQA655422:MQA655423 MZW655422:MZW655423 NJS655422:NJS655423 NTO655422:NTO655423 ODK655422:ODK655423 ONG655422:ONG655423 OXC655422:OXC655423 PGY655422:PGY655423 PQU655422:PQU655423 QAQ655422:QAQ655423 QKM655422:QKM655423 QUI655422:QUI655423 REE655422:REE655423 ROA655422:ROA655423 RXW655422:RXW655423 SHS655422:SHS655423 SRO655422:SRO655423 TBK655422:TBK655423 TLG655422:TLG655423 TVC655422:TVC655423 UEY655422:UEY655423 UOU655422:UOU655423 UYQ655422:UYQ655423 VIM655422:VIM655423 VSI655422:VSI655423 WCE655422:WCE655423 WMA655422:WMA655423 WVW655422:WVW655423 N720958:N720959 JK720958:JK720959 TG720958:TG720959 ADC720958:ADC720959 AMY720958:AMY720959 AWU720958:AWU720959 BGQ720958:BGQ720959 BQM720958:BQM720959 CAI720958:CAI720959 CKE720958:CKE720959 CUA720958:CUA720959 DDW720958:DDW720959 DNS720958:DNS720959 DXO720958:DXO720959 EHK720958:EHK720959 ERG720958:ERG720959 FBC720958:FBC720959 FKY720958:FKY720959 FUU720958:FUU720959 GEQ720958:GEQ720959 GOM720958:GOM720959 GYI720958:GYI720959 HIE720958:HIE720959 HSA720958:HSA720959 IBW720958:IBW720959 ILS720958:ILS720959 IVO720958:IVO720959 JFK720958:JFK720959 JPG720958:JPG720959 JZC720958:JZC720959 KIY720958:KIY720959 KSU720958:KSU720959 LCQ720958:LCQ720959 LMM720958:LMM720959 LWI720958:LWI720959 MGE720958:MGE720959 MQA720958:MQA720959 MZW720958:MZW720959 NJS720958:NJS720959 NTO720958:NTO720959 ODK720958:ODK720959 ONG720958:ONG720959 OXC720958:OXC720959 PGY720958:PGY720959 PQU720958:PQU720959 QAQ720958:QAQ720959 QKM720958:QKM720959 QUI720958:QUI720959 REE720958:REE720959 ROA720958:ROA720959 RXW720958:RXW720959 SHS720958:SHS720959 SRO720958:SRO720959 TBK720958:TBK720959 TLG720958:TLG720959 TVC720958:TVC720959 UEY720958:UEY720959 UOU720958:UOU720959 UYQ720958:UYQ720959 VIM720958:VIM720959 VSI720958:VSI720959 WCE720958:WCE720959 WMA720958:WMA720959 WVW720958:WVW720959 N786494:N786495 JK786494:JK786495 TG786494:TG786495 ADC786494:ADC786495 AMY786494:AMY786495 AWU786494:AWU786495 BGQ786494:BGQ786495 BQM786494:BQM786495 CAI786494:CAI786495 CKE786494:CKE786495 CUA786494:CUA786495 DDW786494:DDW786495 DNS786494:DNS786495 DXO786494:DXO786495 EHK786494:EHK786495 ERG786494:ERG786495 FBC786494:FBC786495 FKY786494:FKY786495 FUU786494:FUU786495 GEQ786494:GEQ786495 GOM786494:GOM786495 GYI786494:GYI786495 HIE786494:HIE786495 HSA786494:HSA786495 IBW786494:IBW786495 ILS786494:ILS786495 IVO786494:IVO786495 JFK786494:JFK786495 JPG786494:JPG786495 JZC786494:JZC786495 KIY786494:KIY786495 KSU786494:KSU786495 LCQ786494:LCQ786495 LMM786494:LMM786495 LWI786494:LWI786495 MGE786494:MGE786495 MQA786494:MQA786495 MZW786494:MZW786495 NJS786494:NJS786495 NTO786494:NTO786495 ODK786494:ODK786495 ONG786494:ONG786495 OXC786494:OXC786495 PGY786494:PGY786495 PQU786494:PQU786495 QAQ786494:QAQ786495 QKM786494:QKM786495 QUI786494:QUI786495 REE786494:REE786495 ROA786494:ROA786495 RXW786494:RXW786495 SHS786494:SHS786495 SRO786494:SRO786495 TBK786494:TBK786495 TLG786494:TLG786495 TVC786494:TVC786495 UEY786494:UEY786495 UOU786494:UOU786495 UYQ786494:UYQ786495 VIM786494:VIM786495 VSI786494:VSI786495 WCE786494:WCE786495 WMA786494:WMA786495 WVW786494:WVW786495 N852030:N852031 JK852030:JK852031 TG852030:TG852031 ADC852030:ADC852031 AMY852030:AMY852031 AWU852030:AWU852031 BGQ852030:BGQ852031 BQM852030:BQM852031 CAI852030:CAI852031 CKE852030:CKE852031 CUA852030:CUA852031 DDW852030:DDW852031 DNS852030:DNS852031 DXO852030:DXO852031 EHK852030:EHK852031 ERG852030:ERG852031 FBC852030:FBC852031 FKY852030:FKY852031 FUU852030:FUU852031 GEQ852030:GEQ852031 GOM852030:GOM852031 GYI852030:GYI852031 HIE852030:HIE852031 HSA852030:HSA852031 IBW852030:IBW852031 ILS852030:ILS852031 IVO852030:IVO852031 JFK852030:JFK852031 JPG852030:JPG852031 JZC852030:JZC852031 KIY852030:KIY852031 KSU852030:KSU852031 LCQ852030:LCQ852031 LMM852030:LMM852031 LWI852030:LWI852031 MGE852030:MGE852031 MQA852030:MQA852031 MZW852030:MZW852031 NJS852030:NJS852031 NTO852030:NTO852031 ODK852030:ODK852031 ONG852030:ONG852031 OXC852030:OXC852031 PGY852030:PGY852031 PQU852030:PQU852031 QAQ852030:QAQ852031 QKM852030:QKM852031 QUI852030:QUI852031 REE852030:REE852031 ROA852030:ROA852031 RXW852030:RXW852031 SHS852030:SHS852031 SRO852030:SRO852031 TBK852030:TBK852031 TLG852030:TLG852031 TVC852030:TVC852031 UEY852030:UEY852031 UOU852030:UOU852031 UYQ852030:UYQ852031 VIM852030:VIM852031 VSI852030:VSI852031 WCE852030:WCE852031 WMA852030:WMA852031 WVW852030:WVW852031 N917566:N917567 JK917566:JK917567 TG917566:TG917567 ADC917566:ADC917567 AMY917566:AMY917567 AWU917566:AWU917567 BGQ917566:BGQ917567 BQM917566:BQM917567 CAI917566:CAI917567 CKE917566:CKE917567 CUA917566:CUA917567 DDW917566:DDW917567 DNS917566:DNS917567 DXO917566:DXO917567 EHK917566:EHK917567 ERG917566:ERG917567 FBC917566:FBC917567 FKY917566:FKY917567 FUU917566:FUU917567 GEQ917566:GEQ917567 GOM917566:GOM917567 GYI917566:GYI917567 HIE917566:HIE917567 HSA917566:HSA917567 IBW917566:IBW917567 ILS917566:ILS917567 IVO917566:IVO917567 JFK917566:JFK917567 JPG917566:JPG917567 JZC917566:JZC917567 KIY917566:KIY917567 KSU917566:KSU917567 LCQ917566:LCQ917567 LMM917566:LMM917567 LWI917566:LWI917567 MGE917566:MGE917567 MQA917566:MQA917567 MZW917566:MZW917567 NJS917566:NJS917567 NTO917566:NTO917567 ODK917566:ODK917567 ONG917566:ONG917567 OXC917566:OXC917567 PGY917566:PGY917567 PQU917566:PQU917567 QAQ917566:QAQ917567 QKM917566:QKM917567 QUI917566:QUI917567 REE917566:REE917567 ROA917566:ROA917567 RXW917566:RXW917567 SHS917566:SHS917567 SRO917566:SRO917567 TBK917566:TBK917567 TLG917566:TLG917567 TVC917566:TVC917567 UEY917566:UEY917567 UOU917566:UOU917567 UYQ917566:UYQ917567 VIM917566:VIM917567 VSI917566:VSI917567 WCE917566:WCE917567 WMA917566:WMA917567 WVW917566:WVW917567 N983102:N983103 JK983102:JK983103 TG983102:TG983103 ADC983102:ADC983103 AMY983102:AMY983103 AWU983102:AWU983103 BGQ983102:BGQ983103 BQM983102:BQM983103 CAI983102:CAI983103 CKE983102:CKE983103 CUA983102:CUA983103 DDW983102:DDW983103 DNS983102:DNS983103 DXO983102:DXO983103 EHK983102:EHK983103 ERG983102:ERG983103 FBC983102:FBC983103 FKY983102:FKY983103 FUU983102:FUU983103 GEQ983102:GEQ983103 GOM983102:GOM983103 GYI983102:GYI983103 HIE983102:HIE983103 HSA983102:HSA983103 IBW983102:IBW983103 ILS983102:ILS983103 IVO983102:IVO983103 JFK983102:JFK983103 JPG983102:JPG983103 JZC983102:JZC983103 KIY983102:KIY983103 KSU983102:KSU983103 LCQ983102:LCQ983103 LMM983102:LMM983103 LWI983102:LWI983103 MGE983102:MGE983103 MQA983102:MQA983103 MZW983102:MZW983103 NJS983102:NJS983103 NTO983102:NTO983103 ODK983102:ODK983103 ONG983102:ONG983103 OXC983102:OXC983103 PGY983102:PGY983103 PQU983102:PQU983103 QAQ983102:QAQ983103 QKM983102:QKM983103 QUI983102:QUI983103 REE983102:REE983103 ROA983102:ROA983103 RXW983102:RXW983103 SHS983102:SHS983103 SRO983102:SRO983103 TBK983102:TBK983103 TLG983102:TLG983103 TVC983102:TVC983103 UEY983102:UEY983103 UOU983102:UOU983103 UYQ983102:UYQ983103 VIM983102:VIM983103 VSI983102:VSI983103 WCE983102:WCE983103 WMA983102:WMA983103 WVW983102:WVW983103 TLG983081:TLG983084 JE30:JE34 TA30:TA34 ACW30:ACW34 AMS30:AMS34 AWO30:AWO34 BGK30:BGK34 BQG30:BQG34 CAC30:CAC34 CJY30:CJY34 CTU30:CTU34 DDQ30:DDQ34 DNM30:DNM34 DXI30:DXI34 EHE30:EHE34 ERA30:ERA34 FAW30:FAW34 FKS30:FKS34 FUO30:FUO34 GEK30:GEK34 GOG30:GOG34 GYC30:GYC34 HHY30:HHY34 HRU30:HRU34 IBQ30:IBQ34 ILM30:ILM34 IVI30:IVI34 JFE30:JFE34 JPA30:JPA34 JYW30:JYW34 KIS30:KIS34 KSO30:KSO34 LCK30:LCK34 LMG30:LMG34 LWC30:LWC34 MFY30:MFY34 MPU30:MPU34 MZQ30:MZQ34 NJM30:NJM34 NTI30:NTI34 ODE30:ODE34 ONA30:ONA34 OWW30:OWW34 PGS30:PGS34 PQO30:PQO34 QAK30:QAK34 QKG30:QKG34 QUC30:QUC34 RDY30:RDY34 RNU30:RNU34 RXQ30:RXQ34 SHM30:SHM34 SRI30:SRI34 TBE30:TBE34 TLA30:TLA34 TUW30:TUW34 UES30:UES34 UOO30:UOO34 UYK30:UYK34 VIG30:VIG34 VSC30:VSC34 WBY30:WBY34 WLU30:WLU34 WVQ30:WVQ34 H65568:H65572 JE65568:JE65572 TA65568:TA65572 ACW65568:ACW65572 AMS65568:AMS65572 AWO65568:AWO65572 BGK65568:BGK65572 BQG65568:BQG65572 CAC65568:CAC65572 CJY65568:CJY65572 CTU65568:CTU65572 DDQ65568:DDQ65572 DNM65568:DNM65572 DXI65568:DXI65572 EHE65568:EHE65572 ERA65568:ERA65572 FAW65568:FAW65572 FKS65568:FKS65572 FUO65568:FUO65572 GEK65568:GEK65572 GOG65568:GOG65572 GYC65568:GYC65572 HHY65568:HHY65572 HRU65568:HRU65572 IBQ65568:IBQ65572 ILM65568:ILM65572 IVI65568:IVI65572 JFE65568:JFE65572 JPA65568:JPA65572 JYW65568:JYW65572 KIS65568:KIS65572 KSO65568:KSO65572 LCK65568:LCK65572 LMG65568:LMG65572 LWC65568:LWC65572 MFY65568:MFY65572 MPU65568:MPU65572 MZQ65568:MZQ65572 NJM65568:NJM65572 NTI65568:NTI65572 ODE65568:ODE65572 ONA65568:ONA65572 OWW65568:OWW65572 PGS65568:PGS65572 PQO65568:PQO65572 QAK65568:QAK65572 QKG65568:QKG65572 QUC65568:QUC65572 RDY65568:RDY65572 RNU65568:RNU65572 RXQ65568:RXQ65572 SHM65568:SHM65572 SRI65568:SRI65572 TBE65568:TBE65572 TLA65568:TLA65572 TUW65568:TUW65572 UES65568:UES65572 UOO65568:UOO65572 UYK65568:UYK65572 VIG65568:VIG65572 VSC65568:VSC65572 WBY65568:WBY65572 WLU65568:WLU65572 WVQ65568:WVQ65572 H131104:H131108 JE131104:JE131108 TA131104:TA131108 ACW131104:ACW131108 AMS131104:AMS131108 AWO131104:AWO131108 BGK131104:BGK131108 BQG131104:BQG131108 CAC131104:CAC131108 CJY131104:CJY131108 CTU131104:CTU131108 DDQ131104:DDQ131108 DNM131104:DNM131108 DXI131104:DXI131108 EHE131104:EHE131108 ERA131104:ERA131108 FAW131104:FAW131108 FKS131104:FKS131108 FUO131104:FUO131108 GEK131104:GEK131108 GOG131104:GOG131108 GYC131104:GYC131108 HHY131104:HHY131108 HRU131104:HRU131108 IBQ131104:IBQ131108 ILM131104:ILM131108 IVI131104:IVI131108 JFE131104:JFE131108 JPA131104:JPA131108 JYW131104:JYW131108 KIS131104:KIS131108 KSO131104:KSO131108 LCK131104:LCK131108 LMG131104:LMG131108 LWC131104:LWC131108 MFY131104:MFY131108 MPU131104:MPU131108 MZQ131104:MZQ131108 NJM131104:NJM131108 NTI131104:NTI131108 ODE131104:ODE131108 ONA131104:ONA131108 OWW131104:OWW131108 PGS131104:PGS131108 PQO131104:PQO131108 QAK131104:QAK131108 QKG131104:QKG131108 QUC131104:QUC131108 RDY131104:RDY131108 RNU131104:RNU131108 RXQ131104:RXQ131108 SHM131104:SHM131108 SRI131104:SRI131108 TBE131104:TBE131108 TLA131104:TLA131108 TUW131104:TUW131108 UES131104:UES131108 UOO131104:UOO131108 UYK131104:UYK131108 VIG131104:VIG131108 VSC131104:VSC131108 WBY131104:WBY131108 WLU131104:WLU131108 WVQ131104:WVQ131108 H196640:H196644 JE196640:JE196644 TA196640:TA196644 ACW196640:ACW196644 AMS196640:AMS196644 AWO196640:AWO196644 BGK196640:BGK196644 BQG196640:BQG196644 CAC196640:CAC196644 CJY196640:CJY196644 CTU196640:CTU196644 DDQ196640:DDQ196644 DNM196640:DNM196644 DXI196640:DXI196644 EHE196640:EHE196644 ERA196640:ERA196644 FAW196640:FAW196644 FKS196640:FKS196644 FUO196640:FUO196644 GEK196640:GEK196644 GOG196640:GOG196644 GYC196640:GYC196644 HHY196640:HHY196644 HRU196640:HRU196644 IBQ196640:IBQ196644 ILM196640:ILM196644 IVI196640:IVI196644 JFE196640:JFE196644 JPA196640:JPA196644 JYW196640:JYW196644 KIS196640:KIS196644 KSO196640:KSO196644 LCK196640:LCK196644 LMG196640:LMG196644 LWC196640:LWC196644 MFY196640:MFY196644 MPU196640:MPU196644 MZQ196640:MZQ196644 NJM196640:NJM196644 NTI196640:NTI196644 ODE196640:ODE196644 ONA196640:ONA196644 OWW196640:OWW196644 PGS196640:PGS196644 PQO196640:PQO196644 QAK196640:QAK196644 QKG196640:QKG196644 QUC196640:QUC196644 RDY196640:RDY196644 RNU196640:RNU196644 RXQ196640:RXQ196644 SHM196640:SHM196644 SRI196640:SRI196644 TBE196640:TBE196644 TLA196640:TLA196644 TUW196640:TUW196644 UES196640:UES196644 UOO196640:UOO196644 UYK196640:UYK196644 VIG196640:VIG196644 VSC196640:VSC196644 WBY196640:WBY196644 WLU196640:WLU196644 WVQ196640:WVQ196644 H262176:H262180 JE262176:JE262180 TA262176:TA262180 ACW262176:ACW262180 AMS262176:AMS262180 AWO262176:AWO262180 BGK262176:BGK262180 BQG262176:BQG262180 CAC262176:CAC262180 CJY262176:CJY262180 CTU262176:CTU262180 DDQ262176:DDQ262180 DNM262176:DNM262180 DXI262176:DXI262180 EHE262176:EHE262180 ERA262176:ERA262180 FAW262176:FAW262180 FKS262176:FKS262180 FUO262176:FUO262180 GEK262176:GEK262180 GOG262176:GOG262180 GYC262176:GYC262180 HHY262176:HHY262180 HRU262176:HRU262180 IBQ262176:IBQ262180 ILM262176:ILM262180 IVI262176:IVI262180 JFE262176:JFE262180 JPA262176:JPA262180 JYW262176:JYW262180 KIS262176:KIS262180 KSO262176:KSO262180 LCK262176:LCK262180 LMG262176:LMG262180 LWC262176:LWC262180 MFY262176:MFY262180 MPU262176:MPU262180 MZQ262176:MZQ262180 NJM262176:NJM262180 NTI262176:NTI262180 ODE262176:ODE262180 ONA262176:ONA262180 OWW262176:OWW262180 PGS262176:PGS262180 PQO262176:PQO262180 QAK262176:QAK262180 QKG262176:QKG262180 QUC262176:QUC262180 RDY262176:RDY262180 RNU262176:RNU262180 RXQ262176:RXQ262180 SHM262176:SHM262180 SRI262176:SRI262180 TBE262176:TBE262180 TLA262176:TLA262180 TUW262176:TUW262180 UES262176:UES262180 UOO262176:UOO262180 UYK262176:UYK262180 VIG262176:VIG262180 VSC262176:VSC262180 WBY262176:WBY262180 WLU262176:WLU262180 WVQ262176:WVQ262180 H327712:H327716 JE327712:JE327716 TA327712:TA327716 ACW327712:ACW327716 AMS327712:AMS327716 AWO327712:AWO327716 BGK327712:BGK327716 BQG327712:BQG327716 CAC327712:CAC327716 CJY327712:CJY327716 CTU327712:CTU327716 DDQ327712:DDQ327716 DNM327712:DNM327716 DXI327712:DXI327716 EHE327712:EHE327716 ERA327712:ERA327716 FAW327712:FAW327716 FKS327712:FKS327716 FUO327712:FUO327716 GEK327712:GEK327716 GOG327712:GOG327716 GYC327712:GYC327716 HHY327712:HHY327716 HRU327712:HRU327716 IBQ327712:IBQ327716 ILM327712:ILM327716 IVI327712:IVI327716 JFE327712:JFE327716 JPA327712:JPA327716 JYW327712:JYW327716 KIS327712:KIS327716 KSO327712:KSO327716 LCK327712:LCK327716 LMG327712:LMG327716 LWC327712:LWC327716 MFY327712:MFY327716 MPU327712:MPU327716 MZQ327712:MZQ327716 NJM327712:NJM327716 NTI327712:NTI327716 ODE327712:ODE327716 ONA327712:ONA327716 OWW327712:OWW327716 PGS327712:PGS327716 PQO327712:PQO327716 QAK327712:QAK327716 QKG327712:QKG327716 QUC327712:QUC327716 RDY327712:RDY327716 RNU327712:RNU327716 RXQ327712:RXQ327716 SHM327712:SHM327716 SRI327712:SRI327716 TBE327712:TBE327716 TLA327712:TLA327716 TUW327712:TUW327716 UES327712:UES327716 UOO327712:UOO327716 UYK327712:UYK327716 VIG327712:VIG327716 VSC327712:VSC327716 WBY327712:WBY327716 WLU327712:WLU327716 WVQ327712:WVQ327716 H393248:H393252 JE393248:JE393252 TA393248:TA393252 ACW393248:ACW393252 AMS393248:AMS393252 AWO393248:AWO393252 BGK393248:BGK393252 BQG393248:BQG393252 CAC393248:CAC393252 CJY393248:CJY393252 CTU393248:CTU393252 DDQ393248:DDQ393252 DNM393248:DNM393252 DXI393248:DXI393252 EHE393248:EHE393252 ERA393248:ERA393252 FAW393248:FAW393252 FKS393248:FKS393252 FUO393248:FUO393252 GEK393248:GEK393252 GOG393248:GOG393252 GYC393248:GYC393252 HHY393248:HHY393252 HRU393248:HRU393252 IBQ393248:IBQ393252 ILM393248:ILM393252 IVI393248:IVI393252 JFE393248:JFE393252 JPA393248:JPA393252 JYW393248:JYW393252 KIS393248:KIS393252 KSO393248:KSO393252 LCK393248:LCK393252 LMG393248:LMG393252 LWC393248:LWC393252 MFY393248:MFY393252 MPU393248:MPU393252 MZQ393248:MZQ393252 NJM393248:NJM393252 NTI393248:NTI393252 ODE393248:ODE393252 ONA393248:ONA393252 OWW393248:OWW393252 PGS393248:PGS393252 PQO393248:PQO393252 QAK393248:QAK393252 QKG393248:QKG393252 QUC393248:QUC393252 RDY393248:RDY393252 RNU393248:RNU393252 RXQ393248:RXQ393252 SHM393248:SHM393252 SRI393248:SRI393252 TBE393248:TBE393252 TLA393248:TLA393252 TUW393248:TUW393252 UES393248:UES393252 UOO393248:UOO393252 UYK393248:UYK393252 VIG393248:VIG393252 VSC393248:VSC393252 WBY393248:WBY393252 WLU393248:WLU393252 WVQ393248:WVQ393252 H458784:H458788 JE458784:JE458788 TA458784:TA458788 ACW458784:ACW458788 AMS458784:AMS458788 AWO458784:AWO458788 BGK458784:BGK458788 BQG458784:BQG458788 CAC458784:CAC458788 CJY458784:CJY458788 CTU458784:CTU458788 DDQ458784:DDQ458788 DNM458784:DNM458788 DXI458784:DXI458788 EHE458784:EHE458788 ERA458784:ERA458788 FAW458784:FAW458788 FKS458784:FKS458788 FUO458784:FUO458788 GEK458784:GEK458788 GOG458784:GOG458788 GYC458784:GYC458788 HHY458784:HHY458788 HRU458784:HRU458788 IBQ458784:IBQ458788 ILM458784:ILM458788 IVI458784:IVI458788 JFE458784:JFE458788 JPA458784:JPA458788 JYW458784:JYW458788 KIS458784:KIS458788 KSO458784:KSO458788 LCK458784:LCK458788 LMG458784:LMG458788 LWC458784:LWC458788 MFY458784:MFY458788 MPU458784:MPU458788 MZQ458784:MZQ458788 NJM458784:NJM458788 NTI458784:NTI458788 ODE458784:ODE458788 ONA458784:ONA458788 OWW458784:OWW458788 PGS458784:PGS458788 PQO458784:PQO458788 QAK458784:QAK458788 QKG458784:QKG458788 QUC458784:QUC458788 RDY458784:RDY458788 RNU458784:RNU458788 RXQ458784:RXQ458788 SHM458784:SHM458788 SRI458784:SRI458788 TBE458784:TBE458788 TLA458784:TLA458788 TUW458784:TUW458788 UES458784:UES458788 UOO458784:UOO458788 UYK458784:UYK458788 VIG458784:VIG458788 VSC458784:VSC458788 WBY458784:WBY458788 WLU458784:WLU458788 WVQ458784:WVQ458788 H524320:H524324 JE524320:JE524324 TA524320:TA524324 ACW524320:ACW524324 AMS524320:AMS524324 AWO524320:AWO524324 BGK524320:BGK524324 BQG524320:BQG524324 CAC524320:CAC524324 CJY524320:CJY524324 CTU524320:CTU524324 DDQ524320:DDQ524324 DNM524320:DNM524324 DXI524320:DXI524324 EHE524320:EHE524324 ERA524320:ERA524324 FAW524320:FAW524324 FKS524320:FKS524324 FUO524320:FUO524324 GEK524320:GEK524324 GOG524320:GOG524324 GYC524320:GYC524324 HHY524320:HHY524324 HRU524320:HRU524324 IBQ524320:IBQ524324 ILM524320:ILM524324 IVI524320:IVI524324 JFE524320:JFE524324 JPA524320:JPA524324 JYW524320:JYW524324 KIS524320:KIS524324 KSO524320:KSO524324 LCK524320:LCK524324 LMG524320:LMG524324 LWC524320:LWC524324 MFY524320:MFY524324 MPU524320:MPU524324 MZQ524320:MZQ524324 NJM524320:NJM524324 NTI524320:NTI524324 ODE524320:ODE524324 ONA524320:ONA524324 OWW524320:OWW524324 PGS524320:PGS524324 PQO524320:PQO524324 QAK524320:QAK524324 QKG524320:QKG524324 QUC524320:QUC524324 RDY524320:RDY524324 RNU524320:RNU524324 RXQ524320:RXQ524324 SHM524320:SHM524324 SRI524320:SRI524324 TBE524320:TBE524324 TLA524320:TLA524324 TUW524320:TUW524324 UES524320:UES524324 UOO524320:UOO524324 UYK524320:UYK524324 VIG524320:VIG524324 VSC524320:VSC524324 WBY524320:WBY524324 WLU524320:WLU524324 WVQ524320:WVQ524324 H589856:H589860 JE589856:JE589860 TA589856:TA589860 ACW589856:ACW589860 AMS589856:AMS589860 AWO589856:AWO589860 BGK589856:BGK589860 BQG589856:BQG589860 CAC589856:CAC589860 CJY589856:CJY589860 CTU589856:CTU589860 DDQ589856:DDQ589860 DNM589856:DNM589860 DXI589856:DXI589860 EHE589856:EHE589860 ERA589856:ERA589860 FAW589856:FAW589860 FKS589856:FKS589860 FUO589856:FUO589860 GEK589856:GEK589860 GOG589856:GOG589860 GYC589856:GYC589860 HHY589856:HHY589860 HRU589856:HRU589860 IBQ589856:IBQ589860 ILM589856:ILM589860 IVI589856:IVI589860 JFE589856:JFE589860 JPA589856:JPA589860 JYW589856:JYW589860 KIS589856:KIS589860 KSO589856:KSO589860 LCK589856:LCK589860 LMG589856:LMG589860 LWC589856:LWC589860 MFY589856:MFY589860 MPU589856:MPU589860 MZQ589856:MZQ589860 NJM589856:NJM589860 NTI589856:NTI589860 ODE589856:ODE589860 ONA589856:ONA589860 OWW589856:OWW589860 PGS589856:PGS589860 PQO589856:PQO589860 QAK589856:QAK589860 QKG589856:QKG589860 QUC589856:QUC589860 RDY589856:RDY589860 RNU589856:RNU589860 RXQ589856:RXQ589860 SHM589856:SHM589860 SRI589856:SRI589860 TBE589856:TBE589860 TLA589856:TLA589860 TUW589856:TUW589860 UES589856:UES589860 UOO589856:UOO589860 UYK589856:UYK589860 VIG589856:VIG589860 VSC589856:VSC589860 WBY589856:WBY589860 WLU589856:WLU589860 WVQ589856:WVQ589860 H655392:H655396 JE655392:JE655396 TA655392:TA655396 ACW655392:ACW655396 AMS655392:AMS655396 AWO655392:AWO655396 BGK655392:BGK655396 BQG655392:BQG655396 CAC655392:CAC655396 CJY655392:CJY655396 CTU655392:CTU655396 DDQ655392:DDQ655396 DNM655392:DNM655396 DXI655392:DXI655396 EHE655392:EHE655396 ERA655392:ERA655396 FAW655392:FAW655396 FKS655392:FKS655396 FUO655392:FUO655396 GEK655392:GEK655396 GOG655392:GOG655396 GYC655392:GYC655396 HHY655392:HHY655396 HRU655392:HRU655396 IBQ655392:IBQ655396 ILM655392:ILM655396 IVI655392:IVI655396 JFE655392:JFE655396 JPA655392:JPA655396 JYW655392:JYW655396 KIS655392:KIS655396 KSO655392:KSO655396 LCK655392:LCK655396 LMG655392:LMG655396 LWC655392:LWC655396 MFY655392:MFY655396 MPU655392:MPU655396 MZQ655392:MZQ655396 NJM655392:NJM655396 NTI655392:NTI655396 ODE655392:ODE655396 ONA655392:ONA655396 OWW655392:OWW655396 PGS655392:PGS655396 PQO655392:PQO655396 QAK655392:QAK655396 QKG655392:QKG655396 QUC655392:QUC655396 RDY655392:RDY655396 RNU655392:RNU655396 RXQ655392:RXQ655396 SHM655392:SHM655396 SRI655392:SRI655396 TBE655392:TBE655396 TLA655392:TLA655396 TUW655392:TUW655396 UES655392:UES655396 UOO655392:UOO655396 UYK655392:UYK655396 VIG655392:VIG655396 VSC655392:VSC655396 WBY655392:WBY655396 WLU655392:WLU655396 WVQ655392:WVQ655396 H720928:H720932 JE720928:JE720932 TA720928:TA720932 ACW720928:ACW720932 AMS720928:AMS720932 AWO720928:AWO720932 BGK720928:BGK720932 BQG720928:BQG720932 CAC720928:CAC720932 CJY720928:CJY720932 CTU720928:CTU720932 DDQ720928:DDQ720932 DNM720928:DNM720932 DXI720928:DXI720932 EHE720928:EHE720932 ERA720928:ERA720932 FAW720928:FAW720932 FKS720928:FKS720932 FUO720928:FUO720932 GEK720928:GEK720932 GOG720928:GOG720932 GYC720928:GYC720932 HHY720928:HHY720932 HRU720928:HRU720932 IBQ720928:IBQ720932 ILM720928:ILM720932 IVI720928:IVI720932 JFE720928:JFE720932 JPA720928:JPA720932 JYW720928:JYW720932 KIS720928:KIS720932 KSO720928:KSO720932 LCK720928:LCK720932 LMG720928:LMG720932 LWC720928:LWC720932 MFY720928:MFY720932 MPU720928:MPU720932 MZQ720928:MZQ720932 NJM720928:NJM720932 NTI720928:NTI720932 ODE720928:ODE720932 ONA720928:ONA720932 OWW720928:OWW720932 PGS720928:PGS720932 PQO720928:PQO720932 QAK720928:QAK720932 QKG720928:QKG720932 QUC720928:QUC720932 RDY720928:RDY720932 RNU720928:RNU720932 RXQ720928:RXQ720932 SHM720928:SHM720932 SRI720928:SRI720932 TBE720928:TBE720932 TLA720928:TLA720932 TUW720928:TUW720932 UES720928:UES720932 UOO720928:UOO720932 UYK720928:UYK720932 VIG720928:VIG720932 VSC720928:VSC720932 WBY720928:WBY720932 WLU720928:WLU720932 WVQ720928:WVQ720932 H786464:H786468 JE786464:JE786468 TA786464:TA786468 ACW786464:ACW786468 AMS786464:AMS786468 AWO786464:AWO786468 BGK786464:BGK786468 BQG786464:BQG786468 CAC786464:CAC786468 CJY786464:CJY786468 CTU786464:CTU786468 DDQ786464:DDQ786468 DNM786464:DNM786468 DXI786464:DXI786468 EHE786464:EHE786468 ERA786464:ERA786468 FAW786464:FAW786468 FKS786464:FKS786468 FUO786464:FUO786468 GEK786464:GEK786468 GOG786464:GOG786468 GYC786464:GYC786468 HHY786464:HHY786468 HRU786464:HRU786468 IBQ786464:IBQ786468 ILM786464:ILM786468 IVI786464:IVI786468 JFE786464:JFE786468 JPA786464:JPA786468 JYW786464:JYW786468 KIS786464:KIS786468 KSO786464:KSO786468 LCK786464:LCK786468 LMG786464:LMG786468 LWC786464:LWC786468 MFY786464:MFY786468 MPU786464:MPU786468 MZQ786464:MZQ786468 NJM786464:NJM786468 NTI786464:NTI786468 ODE786464:ODE786468 ONA786464:ONA786468 OWW786464:OWW786468 PGS786464:PGS786468 PQO786464:PQO786468 QAK786464:QAK786468 QKG786464:QKG786468 QUC786464:QUC786468 RDY786464:RDY786468 RNU786464:RNU786468 RXQ786464:RXQ786468 SHM786464:SHM786468 SRI786464:SRI786468 TBE786464:TBE786468 TLA786464:TLA786468 TUW786464:TUW786468 UES786464:UES786468 UOO786464:UOO786468 UYK786464:UYK786468 VIG786464:VIG786468 VSC786464:VSC786468 WBY786464:WBY786468 WLU786464:WLU786468 WVQ786464:WVQ786468 H852000:H852004 JE852000:JE852004 TA852000:TA852004 ACW852000:ACW852004 AMS852000:AMS852004 AWO852000:AWO852004 BGK852000:BGK852004 BQG852000:BQG852004 CAC852000:CAC852004 CJY852000:CJY852004 CTU852000:CTU852004 DDQ852000:DDQ852004 DNM852000:DNM852004 DXI852000:DXI852004 EHE852000:EHE852004 ERA852000:ERA852004 FAW852000:FAW852004 FKS852000:FKS852004 FUO852000:FUO852004 GEK852000:GEK852004 GOG852000:GOG852004 GYC852000:GYC852004 HHY852000:HHY852004 HRU852000:HRU852004 IBQ852000:IBQ852004 ILM852000:ILM852004 IVI852000:IVI852004 JFE852000:JFE852004 JPA852000:JPA852004 JYW852000:JYW852004 KIS852000:KIS852004 KSO852000:KSO852004 LCK852000:LCK852004 LMG852000:LMG852004 LWC852000:LWC852004 MFY852000:MFY852004 MPU852000:MPU852004 MZQ852000:MZQ852004 NJM852000:NJM852004 NTI852000:NTI852004 ODE852000:ODE852004 ONA852000:ONA852004 OWW852000:OWW852004 PGS852000:PGS852004 PQO852000:PQO852004 QAK852000:QAK852004 QKG852000:QKG852004 QUC852000:QUC852004 RDY852000:RDY852004 RNU852000:RNU852004 RXQ852000:RXQ852004 SHM852000:SHM852004 SRI852000:SRI852004 TBE852000:TBE852004 TLA852000:TLA852004 TUW852000:TUW852004 UES852000:UES852004 UOO852000:UOO852004 UYK852000:UYK852004 VIG852000:VIG852004 VSC852000:VSC852004 WBY852000:WBY852004 WLU852000:WLU852004 WVQ852000:WVQ852004 H917536:H917540 JE917536:JE917540 TA917536:TA917540 ACW917536:ACW917540 AMS917536:AMS917540 AWO917536:AWO917540 BGK917536:BGK917540 BQG917536:BQG917540 CAC917536:CAC917540 CJY917536:CJY917540 CTU917536:CTU917540 DDQ917536:DDQ917540 DNM917536:DNM917540 DXI917536:DXI917540 EHE917536:EHE917540 ERA917536:ERA917540 FAW917536:FAW917540 FKS917536:FKS917540 FUO917536:FUO917540 GEK917536:GEK917540 GOG917536:GOG917540 GYC917536:GYC917540 HHY917536:HHY917540 HRU917536:HRU917540 IBQ917536:IBQ917540 ILM917536:ILM917540 IVI917536:IVI917540 JFE917536:JFE917540 JPA917536:JPA917540 JYW917536:JYW917540 KIS917536:KIS917540 KSO917536:KSO917540 LCK917536:LCK917540 LMG917536:LMG917540 LWC917536:LWC917540 MFY917536:MFY917540 MPU917536:MPU917540 MZQ917536:MZQ917540 NJM917536:NJM917540 NTI917536:NTI917540 ODE917536:ODE917540 ONA917536:ONA917540 OWW917536:OWW917540 PGS917536:PGS917540 PQO917536:PQO917540 QAK917536:QAK917540 QKG917536:QKG917540 QUC917536:QUC917540 RDY917536:RDY917540 RNU917536:RNU917540 RXQ917536:RXQ917540 SHM917536:SHM917540 SRI917536:SRI917540 TBE917536:TBE917540 TLA917536:TLA917540 TUW917536:TUW917540 UES917536:UES917540 UOO917536:UOO917540 UYK917536:UYK917540 VIG917536:VIG917540 VSC917536:VSC917540 WBY917536:WBY917540 WLU917536:WLU917540 WVQ917536:WVQ917540 H983072:H983076 JE983072:JE983076 TA983072:TA983076 ACW983072:ACW983076 AMS983072:AMS983076 AWO983072:AWO983076 BGK983072:BGK983076 BQG983072:BQG983076 CAC983072:CAC983076 CJY983072:CJY983076 CTU983072:CTU983076 DDQ983072:DDQ983076 DNM983072:DNM983076 DXI983072:DXI983076 EHE983072:EHE983076 ERA983072:ERA983076 FAW983072:FAW983076 FKS983072:FKS983076 FUO983072:FUO983076 GEK983072:GEK983076 GOG983072:GOG983076 GYC983072:GYC983076 HHY983072:HHY983076 HRU983072:HRU983076 IBQ983072:IBQ983076 ILM983072:ILM983076 IVI983072:IVI983076 JFE983072:JFE983076 JPA983072:JPA983076 JYW983072:JYW983076 KIS983072:KIS983076 KSO983072:KSO983076 LCK983072:LCK983076 LMG983072:LMG983076 LWC983072:LWC983076 MFY983072:MFY983076 MPU983072:MPU983076 MZQ983072:MZQ983076 NJM983072:NJM983076 NTI983072:NTI983076 ODE983072:ODE983076 ONA983072:ONA983076 OWW983072:OWW983076 PGS983072:PGS983076 PQO983072:PQO983076 QAK983072:QAK983076 QKG983072:QKG983076 QUC983072:QUC983076 RDY983072:RDY983076 RNU983072:RNU983076 RXQ983072:RXQ983076 SHM983072:SHM983076 SRI983072:SRI983076 TBE983072:TBE983076 TLA983072:TLA983076 TUW983072:TUW983076 UES983072:UES983076 UOO983072:UOO983076 UYK983072:UYK983076 VIG983072:VIG983076 VSC983072:VSC983076 WBY983072:WBY983076 WLU983072:WLU983076 WVQ983072:WVQ983076 UOU983081:UOU983084 JK39:JK42 TG39:TG42 ADC39:ADC42 AMY39:AMY42 AWU39:AWU42 BGQ39:BGQ42 BQM39:BQM42 CAI39:CAI42 CKE39:CKE42 CUA39:CUA42 DDW39:DDW42 DNS39:DNS42 DXO39:DXO42 EHK39:EHK42 ERG39:ERG42 FBC39:FBC42 FKY39:FKY42 FUU39:FUU42 GEQ39:GEQ42 GOM39:GOM42 GYI39:GYI42 HIE39:HIE42 HSA39:HSA42 IBW39:IBW42 ILS39:ILS42 IVO39:IVO42 JFK39:JFK42 JPG39:JPG42 JZC39:JZC42 KIY39:KIY42 KSU39:KSU42 LCQ39:LCQ42 LMM39:LMM42 LWI39:LWI42 MGE39:MGE42 MQA39:MQA42 MZW39:MZW42 NJS39:NJS42 NTO39:NTO42 ODK39:ODK42 ONG39:ONG42 OXC39:OXC42 PGY39:PGY42 PQU39:PQU42 QAQ39:QAQ42 QKM39:QKM42 QUI39:QUI42 REE39:REE42 ROA39:ROA42 RXW39:RXW42 SHS39:SHS42 SRO39:SRO42 TBK39:TBK42 TLG39:TLG42 TVC39:TVC42 UEY39:UEY42 UOU39:UOU42 UYQ39:UYQ42 VIM39:VIM42 VSI39:VSI42 WCE39:WCE42 WMA39:WMA42 WVW39:WVW42 N65577:N65580 JK65577:JK65580 TG65577:TG65580 ADC65577:ADC65580 AMY65577:AMY65580 AWU65577:AWU65580 BGQ65577:BGQ65580 BQM65577:BQM65580 CAI65577:CAI65580 CKE65577:CKE65580 CUA65577:CUA65580 DDW65577:DDW65580 DNS65577:DNS65580 DXO65577:DXO65580 EHK65577:EHK65580 ERG65577:ERG65580 FBC65577:FBC65580 FKY65577:FKY65580 FUU65577:FUU65580 GEQ65577:GEQ65580 GOM65577:GOM65580 GYI65577:GYI65580 HIE65577:HIE65580 HSA65577:HSA65580 IBW65577:IBW65580 ILS65577:ILS65580 IVO65577:IVO65580 JFK65577:JFK65580 JPG65577:JPG65580 JZC65577:JZC65580 KIY65577:KIY65580 KSU65577:KSU65580 LCQ65577:LCQ65580 LMM65577:LMM65580 LWI65577:LWI65580 MGE65577:MGE65580 MQA65577:MQA65580 MZW65577:MZW65580 NJS65577:NJS65580 NTO65577:NTO65580 ODK65577:ODK65580 ONG65577:ONG65580 OXC65577:OXC65580 PGY65577:PGY65580 PQU65577:PQU65580 QAQ65577:QAQ65580 QKM65577:QKM65580 QUI65577:QUI65580 REE65577:REE65580 ROA65577:ROA65580 RXW65577:RXW65580 SHS65577:SHS65580 SRO65577:SRO65580 TBK65577:TBK65580 TLG65577:TLG65580 TVC65577:TVC65580 UEY65577:UEY65580 UOU65577:UOU65580 UYQ65577:UYQ65580 VIM65577:VIM65580 VSI65577:VSI65580 WCE65577:WCE65580 WMA65577:WMA65580 WVW65577:WVW65580 N131113:N131116 JK131113:JK131116 TG131113:TG131116 ADC131113:ADC131116 AMY131113:AMY131116 AWU131113:AWU131116 BGQ131113:BGQ131116 BQM131113:BQM131116 CAI131113:CAI131116 CKE131113:CKE131116 CUA131113:CUA131116 DDW131113:DDW131116 DNS131113:DNS131116 DXO131113:DXO131116 EHK131113:EHK131116 ERG131113:ERG131116 FBC131113:FBC131116 FKY131113:FKY131116 FUU131113:FUU131116 GEQ131113:GEQ131116 GOM131113:GOM131116 GYI131113:GYI131116 HIE131113:HIE131116 HSA131113:HSA131116 IBW131113:IBW131116 ILS131113:ILS131116 IVO131113:IVO131116 JFK131113:JFK131116 JPG131113:JPG131116 JZC131113:JZC131116 KIY131113:KIY131116 KSU131113:KSU131116 LCQ131113:LCQ131116 LMM131113:LMM131116 LWI131113:LWI131116 MGE131113:MGE131116 MQA131113:MQA131116 MZW131113:MZW131116 NJS131113:NJS131116 NTO131113:NTO131116 ODK131113:ODK131116 ONG131113:ONG131116 OXC131113:OXC131116 PGY131113:PGY131116 PQU131113:PQU131116 QAQ131113:QAQ131116 QKM131113:QKM131116 QUI131113:QUI131116 REE131113:REE131116 ROA131113:ROA131116 RXW131113:RXW131116 SHS131113:SHS131116 SRO131113:SRO131116 TBK131113:TBK131116 TLG131113:TLG131116 TVC131113:TVC131116 UEY131113:UEY131116 UOU131113:UOU131116 UYQ131113:UYQ131116 VIM131113:VIM131116 VSI131113:VSI131116 WCE131113:WCE131116 WMA131113:WMA131116 WVW131113:WVW131116 N196649:N196652 JK196649:JK196652 TG196649:TG196652 ADC196649:ADC196652 AMY196649:AMY196652 AWU196649:AWU196652 BGQ196649:BGQ196652 BQM196649:BQM196652 CAI196649:CAI196652 CKE196649:CKE196652 CUA196649:CUA196652 DDW196649:DDW196652 DNS196649:DNS196652 DXO196649:DXO196652 EHK196649:EHK196652 ERG196649:ERG196652 FBC196649:FBC196652 FKY196649:FKY196652 FUU196649:FUU196652 GEQ196649:GEQ196652 GOM196649:GOM196652 GYI196649:GYI196652 HIE196649:HIE196652 HSA196649:HSA196652 IBW196649:IBW196652 ILS196649:ILS196652 IVO196649:IVO196652 JFK196649:JFK196652 JPG196649:JPG196652 JZC196649:JZC196652 KIY196649:KIY196652 KSU196649:KSU196652 LCQ196649:LCQ196652 LMM196649:LMM196652 LWI196649:LWI196652 MGE196649:MGE196652 MQA196649:MQA196652 MZW196649:MZW196652 NJS196649:NJS196652 NTO196649:NTO196652 ODK196649:ODK196652 ONG196649:ONG196652 OXC196649:OXC196652 PGY196649:PGY196652 PQU196649:PQU196652 QAQ196649:QAQ196652 QKM196649:QKM196652 QUI196649:QUI196652 REE196649:REE196652 ROA196649:ROA196652 RXW196649:RXW196652 SHS196649:SHS196652 SRO196649:SRO196652 TBK196649:TBK196652 TLG196649:TLG196652 TVC196649:TVC196652 UEY196649:UEY196652 UOU196649:UOU196652 UYQ196649:UYQ196652 VIM196649:VIM196652 VSI196649:VSI196652 WCE196649:WCE196652 WMA196649:WMA196652 WVW196649:WVW196652 N262185:N262188 JK262185:JK262188 TG262185:TG262188 ADC262185:ADC262188 AMY262185:AMY262188 AWU262185:AWU262188 BGQ262185:BGQ262188 BQM262185:BQM262188 CAI262185:CAI262188 CKE262185:CKE262188 CUA262185:CUA262188 DDW262185:DDW262188 DNS262185:DNS262188 DXO262185:DXO262188 EHK262185:EHK262188 ERG262185:ERG262188 FBC262185:FBC262188 FKY262185:FKY262188 FUU262185:FUU262188 GEQ262185:GEQ262188 GOM262185:GOM262188 GYI262185:GYI262188 HIE262185:HIE262188 HSA262185:HSA262188 IBW262185:IBW262188 ILS262185:ILS262188 IVO262185:IVO262188 JFK262185:JFK262188 JPG262185:JPG262188 JZC262185:JZC262188 KIY262185:KIY262188 KSU262185:KSU262188 LCQ262185:LCQ262188 LMM262185:LMM262188 LWI262185:LWI262188 MGE262185:MGE262188 MQA262185:MQA262188 MZW262185:MZW262188 NJS262185:NJS262188 NTO262185:NTO262188 ODK262185:ODK262188 ONG262185:ONG262188 OXC262185:OXC262188 PGY262185:PGY262188 PQU262185:PQU262188 QAQ262185:QAQ262188 QKM262185:QKM262188 QUI262185:QUI262188 REE262185:REE262188 ROA262185:ROA262188 RXW262185:RXW262188 SHS262185:SHS262188 SRO262185:SRO262188 TBK262185:TBK262188 TLG262185:TLG262188 TVC262185:TVC262188 UEY262185:UEY262188 UOU262185:UOU262188 UYQ262185:UYQ262188 VIM262185:VIM262188 VSI262185:VSI262188 WCE262185:WCE262188 WMA262185:WMA262188 WVW262185:WVW262188 N327721:N327724 JK327721:JK327724 TG327721:TG327724 ADC327721:ADC327724 AMY327721:AMY327724 AWU327721:AWU327724 BGQ327721:BGQ327724 BQM327721:BQM327724 CAI327721:CAI327724 CKE327721:CKE327724 CUA327721:CUA327724 DDW327721:DDW327724 DNS327721:DNS327724 DXO327721:DXO327724 EHK327721:EHK327724 ERG327721:ERG327724 FBC327721:FBC327724 FKY327721:FKY327724 FUU327721:FUU327724 GEQ327721:GEQ327724 GOM327721:GOM327724 GYI327721:GYI327724 HIE327721:HIE327724 HSA327721:HSA327724 IBW327721:IBW327724 ILS327721:ILS327724 IVO327721:IVO327724 JFK327721:JFK327724 JPG327721:JPG327724 JZC327721:JZC327724 KIY327721:KIY327724 KSU327721:KSU327724 LCQ327721:LCQ327724 LMM327721:LMM327724 LWI327721:LWI327724 MGE327721:MGE327724 MQA327721:MQA327724 MZW327721:MZW327724 NJS327721:NJS327724 NTO327721:NTO327724 ODK327721:ODK327724 ONG327721:ONG327724 OXC327721:OXC327724 PGY327721:PGY327724 PQU327721:PQU327724 QAQ327721:QAQ327724 QKM327721:QKM327724 QUI327721:QUI327724 REE327721:REE327724 ROA327721:ROA327724 RXW327721:RXW327724 SHS327721:SHS327724 SRO327721:SRO327724 TBK327721:TBK327724 TLG327721:TLG327724 TVC327721:TVC327724 UEY327721:UEY327724 UOU327721:UOU327724 UYQ327721:UYQ327724 VIM327721:VIM327724 VSI327721:VSI327724 WCE327721:WCE327724 WMA327721:WMA327724 WVW327721:WVW327724 N393257:N393260 JK393257:JK393260 TG393257:TG393260 ADC393257:ADC393260 AMY393257:AMY393260 AWU393257:AWU393260 BGQ393257:BGQ393260 BQM393257:BQM393260 CAI393257:CAI393260 CKE393257:CKE393260 CUA393257:CUA393260 DDW393257:DDW393260 DNS393257:DNS393260 DXO393257:DXO393260 EHK393257:EHK393260 ERG393257:ERG393260 FBC393257:FBC393260 FKY393257:FKY393260 FUU393257:FUU393260 GEQ393257:GEQ393260 GOM393257:GOM393260 GYI393257:GYI393260 HIE393257:HIE393260 HSA393257:HSA393260 IBW393257:IBW393260 ILS393257:ILS393260 IVO393257:IVO393260 JFK393257:JFK393260 JPG393257:JPG393260 JZC393257:JZC393260 KIY393257:KIY393260 KSU393257:KSU393260 LCQ393257:LCQ393260 LMM393257:LMM393260 LWI393257:LWI393260 MGE393257:MGE393260 MQA393257:MQA393260 MZW393257:MZW393260 NJS393257:NJS393260 NTO393257:NTO393260 ODK393257:ODK393260 ONG393257:ONG393260 OXC393257:OXC393260 PGY393257:PGY393260 PQU393257:PQU393260 QAQ393257:QAQ393260 QKM393257:QKM393260 QUI393257:QUI393260 REE393257:REE393260 ROA393257:ROA393260 RXW393257:RXW393260 SHS393257:SHS393260 SRO393257:SRO393260 TBK393257:TBK393260 TLG393257:TLG393260 TVC393257:TVC393260 UEY393257:UEY393260 UOU393257:UOU393260 UYQ393257:UYQ393260 VIM393257:VIM393260 VSI393257:VSI393260 WCE393257:WCE393260 WMA393257:WMA393260 WVW393257:WVW393260 N458793:N458796 JK458793:JK458796 TG458793:TG458796 ADC458793:ADC458796 AMY458793:AMY458796 AWU458793:AWU458796 BGQ458793:BGQ458796 BQM458793:BQM458796 CAI458793:CAI458796 CKE458793:CKE458796 CUA458793:CUA458796 DDW458793:DDW458796 DNS458793:DNS458796 DXO458793:DXO458796 EHK458793:EHK458796 ERG458793:ERG458796 FBC458793:FBC458796 FKY458793:FKY458796 FUU458793:FUU458796 GEQ458793:GEQ458796 GOM458793:GOM458796 GYI458793:GYI458796 HIE458793:HIE458796 HSA458793:HSA458796 IBW458793:IBW458796 ILS458793:ILS458796 IVO458793:IVO458796 JFK458793:JFK458796 JPG458793:JPG458796 JZC458793:JZC458796 KIY458793:KIY458796 KSU458793:KSU458796 LCQ458793:LCQ458796 LMM458793:LMM458796 LWI458793:LWI458796 MGE458793:MGE458796 MQA458793:MQA458796 MZW458793:MZW458796 NJS458793:NJS458796 NTO458793:NTO458796 ODK458793:ODK458796 ONG458793:ONG458796 OXC458793:OXC458796 PGY458793:PGY458796 PQU458793:PQU458796 QAQ458793:QAQ458796 QKM458793:QKM458796 QUI458793:QUI458796 REE458793:REE458796 ROA458793:ROA458796 RXW458793:RXW458796 SHS458793:SHS458796 SRO458793:SRO458796 TBK458793:TBK458796 TLG458793:TLG458796 TVC458793:TVC458796 UEY458793:UEY458796 UOU458793:UOU458796 UYQ458793:UYQ458796 VIM458793:VIM458796 VSI458793:VSI458796 WCE458793:WCE458796 WMA458793:WMA458796 WVW458793:WVW458796 N524329:N524332 JK524329:JK524332 TG524329:TG524332 ADC524329:ADC524332 AMY524329:AMY524332 AWU524329:AWU524332 BGQ524329:BGQ524332 BQM524329:BQM524332 CAI524329:CAI524332 CKE524329:CKE524332 CUA524329:CUA524332 DDW524329:DDW524332 DNS524329:DNS524332 DXO524329:DXO524332 EHK524329:EHK524332 ERG524329:ERG524332 FBC524329:FBC524332 FKY524329:FKY524332 FUU524329:FUU524332 GEQ524329:GEQ524332 GOM524329:GOM524332 GYI524329:GYI524332 HIE524329:HIE524332 HSA524329:HSA524332 IBW524329:IBW524332 ILS524329:ILS524332 IVO524329:IVO524332 JFK524329:JFK524332 JPG524329:JPG524332 JZC524329:JZC524332 KIY524329:KIY524332 KSU524329:KSU524332 LCQ524329:LCQ524332 LMM524329:LMM524332 LWI524329:LWI524332 MGE524329:MGE524332 MQA524329:MQA524332 MZW524329:MZW524332 NJS524329:NJS524332 NTO524329:NTO524332 ODK524329:ODK524332 ONG524329:ONG524332 OXC524329:OXC524332 PGY524329:PGY524332 PQU524329:PQU524332 QAQ524329:QAQ524332 QKM524329:QKM524332 QUI524329:QUI524332 REE524329:REE524332 ROA524329:ROA524332 RXW524329:RXW524332 SHS524329:SHS524332 SRO524329:SRO524332 TBK524329:TBK524332 TLG524329:TLG524332 TVC524329:TVC524332 UEY524329:UEY524332 UOU524329:UOU524332 UYQ524329:UYQ524332 VIM524329:VIM524332 VSI524329:VSI524332 WCE524329:WCE524332 WMA524329:WMA524332 WVW524329:WVW524332 N589865:N589868 JK589865:JK589868 TG589865:TG589868 ADC589865:ADC589868 AMY589865:AMY589868 AWU589865:AWU589868 BGQ589865:BGQ589868 BQM589865:BQM589868 CAI589865:CAI589868 CKE589865:CKE589868 CUA589865:CUA589868 DDW589865:DDW589868 DNS589865:DNS589868 DXO589865:DXO589868 EHK589865:EHK589868 ERG589865:ERG589868 FBC589865:FBC589868 FKY589865:FKY589868 FUU589865:FUU589868 GEQ589865:GEQ589868 GOM589865:GOM589868 GYI589865:GYI589868 HIE589865:HIE589868 HSA589865:HSA589868 IBW589865:IBW589868 ILS589865:ILS589868 IVO589865:IVO589868 JFK589865:JFK589868 JPG589865:JPG589868 JZC589865:JZC589868 KIY589865:KIY589868 KSU589865:KSU589868 LCQ589865:LCQ589868 LMM589865:LMM589868 LWI589865:LWI589868 MGE589865:MGE589868 MQA589865:MQA589868 MZW589865:MZW589868 NJS589865:NJS589868 NTO589865:NTO589868 ODK589865:ODK589868 ONG589865:ONG589868 OXC589865:OXC589868 PGY589865:PGY589868 PQU589865:PQU589868 QAQ589865:QAQ589868 QKM589865:QKM589868 QUI589865:QUI589868 REE589865:REE589868 ROA589865:ROA589868 RXW589865:RXW589868 SHS589865:SHS589868 SRO589865:SRO589868 TBK589865:TBK589868 TLG589865:TLG589868 TVC589865:TVC589868 UEY589865:UEY589868 UOU589865:UOU589868 UYQ589865:UYQ589868 VIM589865:VIM589868 VSI589865:VSI589868 WCE589865:WCE589868 WMA589865:WMA589868 WVW589865:WVW589868 N655401:N655404 JK655401:JK655404 TG655401:TG655404 ADC655401:ADC655404 AMY655401:AMY655404 AWU655401:AWU655404 BGQ655401:BGQ655404 BQM655401:BQM655404 CAI655401:CAI655404 CKE655401:CKE655404 CUA655401:CUA655404 DDW655401:DDW655404 DNS655401:DNS655404 DXO655401:DXO655404 EHK655401:EHK655404 ERG655401:ERG655404 FBC655401:FBC655404 FKY655401:FKY655404 FUU655401:FUU655404 GEQ655401:GEQ655404 GOM655401:GOM655404 GYI655401:GYI655404 HIE655401:HIE655404 HSA655401:HSA655404 IBW655401:IBW655404 ILS655401:ILS655404 IVO655401:IVO655404 JFK655401:JFK655404 JPG655401:JPG655404 JZC655401:JZC655404 KIY655401:KIY655404 KSU655401:KSU655404 LCQ655401:LCQ655404 LMM655401:LMM655404 LWI655401:LWI655404 MGE655401:MGE655404 MQA655401:MQA655404 MZW655401:MZW655404 NJS655401:NJS655404 NTO655401:NTO655404 ODK655401:ODK655404 ONG655401:ONG655404 OXC655401:OXC655404 PGY655401:PGY655404 PQU655401:PQU655404 QAQ655401:QAQ655404 QKM655401:QKM655404 QUI655401:QUI655404 REE655401:REE655404 ROA655401:ROA655404 RXW655401:RXW655404 SHS655401:SHS655404 SRO655401:SRO655404 TBK655401:TBK655404 TLG655401:TLG655404 TVC655401:TVC655404 UEY655401:UEY655404 UOU655401:UOU655404 UYQ655401:UYQ655404 VIM655401:VIM655404 VSI655401:VSI655404 WCE655401:WCE655404 WMA655401:WMA655404 WVW655401:WVW655404 N720937:N720940 JK720937:JK720940 TG720937:TG720940 ADC720937:ADC720940 AMY720937:AMY720940 AWU720937:AWU720940 BGQ720937:BGQ720940 BQM720937:BQM720940 CAI720937:CAI720940 CKE720937:CKE720940 CUA720937:CUA720940 DDW720937:DDW720940 DNS720937:DNS720940 DXO720937:DXO720940 EHK720937:EHK720940 ERG720937:ERG720940 FBC720937:FBC720940 FKY720937:FKY720940 FUU720937:FUU720940 GEQ720937:GEQ720940 GOM720937:GOM720940 GYI720937:GYI720940 HIE720937:HIE720940 HSA720937:HSA720940 IBW720937:IBW720940 ILS720937:ILS720940 IVO720937:IVO720940 JFK720937:JFK720940 JPG720937:JPG720940 JZC720937:JZC720940 KIY720937:KIY720940 KSU720937:KSU720940 LCQ720937:LCQ720940 LMM720937:LMM720940 LWI720937:LWI720940 MGE720937:MGE720940 MQA720937:MQA720940 MZW720937:MZW720940 NJS720937:NJS720940 NTO720937:NTO720940 ODK720937:ODK720940 ONG720937:ONG720940 OXC720937:OXC720940 PGY720937:PGY720940 PQU720937:PQU720940 QAQ720937:QAQ720940 QKM720937:QKM720940 QUI720937:QUI720940 REE720937:REE720940 ROA720937:ROA720940 RXW720937:RXW720940 SHS720937:SHS720940 SRO720937:SRO720940 TBK720937:TBK720940 TLG720937:TLG720940 TVC720937:TVC720940 UEY720937:UEY720940 UOU720937:UOU720940 UYQ720937:UYQ720940 VIM720937:VIM720940 VSI720937:VSI720940 WCE720937:WCE720940 WMA720937:WMA720940 WVW720937:WVW720940 N786473:N786476 JK786473:JK786476 TG786473:TG786476 ADC786473:ADC786476 AMY786473:AMY786476 AWU786473:AWU786476 BGQ786473:BGQ786476 BQM786473:BQM786476 CAI786473:CAI786476 CKE786473:CKE786476 CUA786473:CUA786476 DDW786473:DDW786476 DNS786473:DNS786476 DXO786473:DXO786476 EHK786473:EHK786476 ERG786473:ERG786476 FBC786473:FBC786476 FKY786473:FKY786476 FUU786473:FUU786476 GEQ786473:GEQ786476 GOM786473:GOM786476 GYI786473:GYI786476 HIE786473:HIE786476 HSA786473:HSA786476 IBW786473:IBW786476 ILS786473:ILS786476 IVO786473:IVO786476 JFK786473:JFK786476 JPG786473:JPG786476 JZC786473:JZC786476 KIY786473:KIY786476 KSU786473:KSU786476 LCQ786473:LCQ786476 LMM786473:LMM786476 LWI786473:LWI786476 MGE786473:MGE786476 MQA786473:MQA786476 MZW786473:MZW786476 NJS786473:NJS786476 NTO786473:NTO786476 ODK786473:ODK786476 ONG786473:ONG786476 OXC786473:OXC786476 PGY786473:PGY786476 PQU786473:PQU786476 QAQ786473:QAQ786476 QKM786473:QKM786476 QUI786473:QUI786476 REE786473:REE786476 ROA786473:ROA786476 RXW786473:RXW786476 SHS786473:SHS786476 SRO786473:SRO786476 TBK786473:TBK786476 TLG786473:TLG786476 TVC786473:TVC786476 UEY786473:UEY786476 UOU786473:UOU786476 UYQ786473:UYQ786476 VIM786473:VIM786476 VSI786473:VSI786476 WCE786473:WCE786476 WMA786473:WMA786476 WVW786473:WVW786476 N852009:N852012 JK852009:JK852012 TG852009:TG852012 ADC852009:ADC852012 AMY852009:AMY852012 AWU852009:AWU852012 BGQ852009:BGQ852012 BQM852009:BQM852012 CAI852009:CAI852012 CKE852009:CKE852012 CUA852009:CUA852012 DDW852009:DDW852012 DNS852009:DNS852012 DXO852009:DXO852012 EHK852009:EHK852012 ERG852009:ERG852012 FBC852009:FBC852012 FKY852009:FKY852012 FUU852009:FUU852012 GEQ852009:GEQ852012 GOM852009:GOM852012 GYI852009:GYI852012 HIE852009:HIE852012 HSA852009:HSA852012 IBW852009:IBW852012 ILS852009:ILS852012 IVO852009:IVO852012 JFK852009:JFK852012 JPG852009:JPG852012 JZC852009:JZC852012 KIY852009:KIY852012 KSU852009:KSU852012 LCQ852009:LCQ852012 LMM852009:LMM852012 LWI852009:LWI852012 MGE852009:MGE852012 MQA852009:MQA852012 MZW852009:MZW852012 NJS852009:NJS852012 NTO852009:NTO852012 ODK852009:ODK852012 ONG852009:ONG852012 OXC852009:OXC852012 PGY852009:PGY852012 PQU852009:PQU852012 QAQ852009:QAQ852012 QKM852009:QKM852012 QUI852009:QUI852012 REE852009:REE852012 ROA852009:ROA852012 RXW852009:RXW852012 SHS852009:SHS852012 SRO852009:SRO852012 TBK852009:TBK852012 TLG852009:TLG852012 TVC852009:TVC852012 UEY852009:UEY852012 UOU852009:UOU852012 UYQ852009:UYQ852012 VIM852009:VIM852012 VSI852009:VSI852012 WCE852009:WCE852012 WMA852009:WMA852012 WVW852009:WVW852012 N917545:N917548 JK917545:JK917548 TG917545:TG917548 ADC917545:ADC917548 AMY917545:AMY917548 AWU917545:AWU917548 BGQ917545:BGQ917548 BQM917545:BQM917548 CAI917545:CAI917548 CKE917545:CKE917548 CUA917545:CUA917548 DDW917545:DDW917548 DNS917545:DNS917548 DXO917545:DXO917548 EHK917545:EHK917548 ERG917545:ERG917548 FBC917545:FBC917548 FKY917545:FKY917548 FUU917545:FUU917548 GEQ917545:GEQ917548 GOM917545:GOM917548 GYI917545:GYI917548 HIE917545:HIE917548 HSA917545:HSA917548 IBW917545:IBW917548 ILS917545:ILS917548 IVO917545:IVO917548 JFK917545:JFK917548 JPG917545:JPG917548 JZC917545:JZC917548 KIY917545:KIY917548 KSU917545:KSU917548 LCQ917545:LCQ917548 LMM917545:LMM917548 LWI917545:LWI917548 MGE917545:MGE917548 MQA917545:MQA917548 MZW917545:MZW917548 NJS917545:NJS917548 NTO917545:NTO917548 ODK917545:ODK917548 ONG917545:ONG917548 OXC917545:OXC917548 PGY917545:PGY917548 PQU917545:PQU917548 QAQ917545:QAQ917548 QKM917545:QKM917548 QUI917545:QUI917548 REE917545:REE917548 ROA917545:ROA917548 RXW917545:RXW917548 SHS917545:SHS917548 SRO917545:SRO917548 TBK917545:TBK917548 TLG917545:TLG917548 TVC917545:TVC917548 UEY917545:UEY917548 UOU917545:UOU917548 UYQ917545:UYQ917548 VIM917545:VIM917548 VSI917545:VSI917548 WCE917545:WCE917548 WMA917545:WMA917548 WVW917545:WVW917548 N983081:N983084 JK983081:JK983084 TG983081:TG983084 ADC983081:ADC983084 AMY983081:AMY983084 AWU983081:AWU983084 BGQ983081:BGQ983084 BQM983081:BQM983084 CAI983081:CAI983084 CKE983081:CKE983084 CUA983081:CUA983084 DDW983081:DDW983084 DNS983081:DNS983084 DXO983081:DXO983084 EHK983081:EHK983084 ERG983081:ERG983084 FBC983081:FBC983084 FKY983081:FKY983084 FUU983081:FUU983084 GEQ983081:GEQ983084 GOM983081:GOM983084 GYI983081:GYI983084 HIE983081:HIE983084 HSA983081:HSA983084 IBW983081:IBW983084 ILS983081:ILS983084 IVO983081:IVO983084 JFK983081:JFK983084 JPG983081:JPG983084 JZC983081:JZC983084 KIY983081:KIY983084 KSU983081:KSU983084 LCQ983081:LCQ983084 LMM983081:LMM983084 LWI983081:LWI983084 MGE983081:MGE983084 MQA983081:MQA983084 MZW983081:MZW983084 NJS983081:NJS983084 NTO983081:NTO983084 ODK983081:ODK983084 ONG983081:ONG983084 OXC983081:OXC983084 PGY983081:PGY983084 PQU983081:PQU983084 QAQ983081:QAQ983084 QKM983081:QKM983084 QUI983081:QUI983084 REE983081:REE983084 ROA983081:ROA983084 RXW983081:RXW983084 SHS983081:SHS983084 SRO983081:SRO983084 TBK983081:TBK983084</xm:sqref>
        </x14:dataValidation>
      </x14:dataValidations>
    </ext>
  </extLst>
</worksheet>
</file>

<file path=xl/worksheets/sheet17.xml><?xml version="1.0" encoding="utf-8"?>
<worksheet xmlns="http://schemas.openxmlformats.org/spreadsheetml/2006/main" xmlns:r="http://schemas.openxmlformats.org/officeDocument/2006/relationships">
  <sheetPr>
    <pageSetUpPr fitToPage="1"/>
  </sheetPr>
  <dimension ref="A1:WVX115"/>
  <sheetViews>
    <sheetView showGridLines="0" zoomScaleNormal="100" zoomScaleSheetLayoutView="85" workbookViewId="0">
      <selection activeCell="K12" sqref="K12:N12"/>
    </sheetView>
  </sheetViews>
  <sheetFormatPr defaultColWidth="0" defaultRowHeight="0" customHeight="1" zeroHeight="1"/>
  <cols>
    <col min="1" max="1" width="2.875" style="2451" customWidth="1"/>
    <col min="2" max="2" width="2.625" style="2451" customWidth="1"/>
    <col min="3" max="3" width="18" style="2451" customWidth="1"/>
    <col min="4" max="4" width="12.5" style="2451" customWidth="1"/>
    <col min="5" max="5" width="9.25" style="2451" customWidth="1"/>
    <col min="6" max="6" width="6.875" style="2451" customWidth="1"/>
    <col min="7" max="7" width="5.125" style="2451" customWidth="1"/>
    <col min="8" max="8" width="7.375" style="2451" customWidth="1"/>
    <col min="9" max="9" width="11" style="2451" customWidth="1"/>
    <col min="10" max="10" width="12.375" style="2451" customWidth="1"/>
    <col min="11" max="11" width="12.625" style="2451" customWidth="1"/>
    <col min="12" max="12" width="12.375" style="2451" customWidth="1"/>
    <col min="13" max="13" width="5.25" style="2451" customWidth="1"/>
    <col min="14" max="14" width="7.5" style="2451" customWidth="1"/>
    <col min="15" max="15" width="1.875" style="2451" customWidth="1"/>
    <col min="16" max="16" width="1.875" style="2451" hidden="1" customWidth="1"/>
    <col min="17" max="17" width="8.375" style="2452" hidden="1" customWidth="1"/>
    <col min="18" max="18" width="6.625" style="2452" hidden="1" customWidth="1"/>
    <col min="19" max="19" width="6.875" style="2453" hidden="1" customWidth="1"/>
    <col min="20" max="20" width="10.875" style="2453" hidden="1" customWidth="1"/>
    <col min="21" max="209" width="10.625" style="2453" hidden="1" customWidth="1"/>
    <col min="210" max="257" width="9" style="2453" hidden="1" customWidth="1"/>
    <col min="258" max="258" width="2.875" style="2453" hidden="1" customWidth="1"/>
    <col min="259" max="259" width="2.625" style="2453" hidden="1" customWidth="1"/>
    <col min="260" max="260" width="18" style="2453" hidden="1" customWidth="1"/>
    <col min="261" max="261" width="12.5" style="2453" hidden="1" customWidth="1"/>
    <col min="262" max="262" width="9.25" style="2453" hidden="1" customWidth="1"/>
    <col min="263" max="263" width="6.875" style="2453" hidden="1" customWidth="1"/>
    <col min="264" max="264" width="5.125" style="2453" hidden="1" customWidth="1"/>
    <col min="265" max="265" width="7.375" style="2453" hidden="1" customWidth="1"/>
    <col min="266" max="266" width="11" style="2453" hidden="1" customWidth="1"/>
    <col min="267" max="267" width="12.375" style="2453" hidden="1" customWidth="1"/>
    <col min="268" max="268" width="12.625" style="2453" hidden="1" customWidth="1"/>
    <col min="269" max="269" width="12.375" style="2453" hidden="1" customWidth="1"/>
    <col min="270" max="270" width="5.25" style="2453" hidden="1" customWidth="1"/>
    <col min="271" max="271" width="7.5" style="2453" hidden="1" customWidth="1"/>
    <col min="272" max="272" width="1.875" style="2453" hidden="1" customWidth="1"/>
    <col min="273" max="465" width="9" style="2453" hidden="1" customWidth="1"/>
    <col min="466" max="513" width="9" style="2453" hidden="1"/>
    <col min="514" max="514" width="2.875" style="2453" hidden="1" customWidth="1"/>
    <col min="515" max="515" width="2.625" style="2453" hidden="1" customWidth="1"/>
    <col min="516" max="516" width="18" style="2453" hidden="1" customWidth="1"/>
    <col min="517" max="517" width="12.5" style="2453" hidden="1" customWidth="1"/>
    <col min="518" max="518" width="9.25" style="2453" hidden="1" customWidth="1"/>
    <col min="519" max="519" width="6.875" style="2453" hidden="1" customWidth="1"/>
    <col min="520" max="520" width="5.125" style="2453" hidden="1" customWidth="1"/>
    <col min="521" max="521" width="7.375" style="2453" hidden="1" customWidth="1"/>
    <col min="522" max="522" width="11" style="2453" hidden="1" customWidth="1"/>
    <col min="523" max="523" width="12.375" style="2453" hidden="1" customWidth="1"/>
    <col min="524" max="524" width="12.625" style="2453" hidden="1" customWidth="1"/>
    <col min="525" max="525" width="12.375" style="2453" hidden="1" customWidth="1"/>
    <col min="526" max="526" width="5.25" style="2453" hidden="1" customWidth="1"/>
    <col min="527" max="527" width="7.5" style="2453" hidden="1" customWidth="1"/>
    <col min="528" max="528" width="1.875" style="2453" hidden="1" customWidth="1"/>
    <col min="529" max="721" width="9" style="2453" hidden="1" customWidth="1"/>
    <col min="722" max="769" width="9" style="2453" hidden="1"/>
    <col min="770" max="770" width="2.875" style="2453" hidden="1" customWidth="1"/>
    <col min="771" max="771" width="2.625" style="2453" hidden="1" customWidth="1"/>
    <col min="772" max="772" width="18" style="2453" hidden="1" customWidth="1"/>
    <col min="773" max="773" width="12.5" style="2453" hidden="1" customWidth="1"/>
    <col min="774" max="774" width="9.25" style="2453" hidden="1" customWidth="1"/>
    <col min="775" max="775" width="6.875" style="2453" hidden="1" customWidth="1"/>
    <col min="776" max="776" width="5.125" style="2453" hidden="1" customWidth="1"/>
    <col min="777" max="777" width="7.375" style="2453" hidden="1" customWidth="1"/>
    <col min="778" max="778" width="11" style="2453" hidden="1" customWidth="1"/>
    <col min="779" max="779" width="12.375" style="2453" hidden="1" customWidth="1"/>
    <col min="780" max="780" width="12.625" style="2453" hidden="1" customWidth="1"/>
    <col min="781" max="781" width="12.375" style="2453" hidden="1" customWidth="1"/>
    <col min="782" max="782" width="5.25" style="2453" hidden="1" customWidth="1"/>
    <col min="783" max="783" width="7.5" style="2453" hidden="1" customWidth="1"/>
    <col min="784" max="784" width="1.875" style="2453" hidden="1" customWidth="1"/>
    <col min="785" max="977" width="9" style="2453" hidden="1" customWidth="1"/>
    <col min="978" max="1025" width="9" style="2453" hidden="1"/>
    <col min="1026" max="1026" width="2.875" style="2453" hidden="1" customWidth="1"/>
    <col min="1027" max="1027" width="2.625" style="2453" hidden="1" customWidth="1"/>
    <col min="1028" max="1028" width="18" style="2453" hidden="1" customWidth="1"/>
    <col min="1029" max="1029" width="12.5" style="2453" hidden="1" customWidth="1"/>
    <col min="1030" max="1030" width="9.25" style="2453" hidden="1" customWidth="1"/>
    <col min="1031" max="1031" width="6.875" style="2453" hidden="1" customWidth="1"/>
    <col min="1032" max="1032" width="5.125" style="2453" hidden="1" customWidth="1"/>
    <col min="1033" max="1033" width="7.375" style="2453" hidden="1" customWidth="1"/>
    <col min="1034" max="1034" width="11" style="2453" hidden="1" customWidth="1"/>
    <col min="1035" max="1035" width="12.375" style="2453" hidden="1" customWidth="1"/>
    <col min="1036" max="1036" width="12.625" style="2453" hidden="1" customWidth="1"/>
    <col min="1037" max="1037" width="12.375" style="2453" hidden="1" customWidth="1"/>
    <col min="1038" max="1038" width="5.25" style="2453" hidden="1" customWidth="1"/>
    <col min="1039" max="1039" width="7.5" style="2453" hidden="1" customWidth="1"/>
    <col min="1040" max="1040" width="1.875" style="2453" hidden="1" customWidth="1"/>
    <col min="1041" max="1233" width="9" style="2453" hidden="1" customWidth="1"/>
    <col min="1234" max="1281" width="9" style="2453" hidden="1"/>
    <col min="1282" max="1282" width="2.875" style="2453" hidden="1" customWidth="1"/>
    <col min="1283" max="1283" width="2.625" style="2453" hidden="1" customWidth="1"/>
    <col min="1284" max="1284" width="18" style="2453" hidden="1" customWidth="1"/>
    <col min="1285" max="1285" width="12.5" style="2453" hidden="1" customWidth="1"/>
    <col min="1286" max="1286" width="9.25" style="2453" hidden="1" customWidth="1"/>
    <col min="1287" max="1287" width="6.875" style="2453" hidden="1" customWidth="1"/>
    <col min="1288" max="1288" width="5.125" style="2453" hidden="1" customWidth="1"/>
    <col min="1289" max="1289" width="7.375" style="2453" hidden="1" customWidth="1"/>
    <col min="1290" max="1290" width="11" style="2453" hidden="1" customWidth="1"/>
    <col min="1291" max="1291" width="12.375" style="2453" hidden="1" customWidth="1"/>
    <col min="1292" max="1292" width="12.625" style="2453" hidden="1" customWidth="1"/>
    <col min="1293" max="1293" width="12.375" style="2453" hidden="1" customWidth="1"/>
    <col min="1294" max="1294" width="5.25" style="2453" hidden="1" customWidth="1"/>
    <col min="1295" max="1295" width="7.5" style="2453" hidden="1" customWidth="1"/>
    <col min="1296" max="1296" width="1.875" style="2453" hidden="1" customWidth="1"/>
    <col min="1297" max="1489" width="9" style="2453" hidden="1" customWidth="1"/>
    <col min="1490" max="1537" width="9" style="2453" hidden="1"/>
    <col min="1538" max="1538" width="2.875" style="2453" hidden="1" customWidth="1"/>
    <col min="1539" max="1539" width="2.625" style="2453" hidden="1" customWidth="1"/>
    <col min="1540" max="1540" width="18" style="2453" hidden="1" customWidth="1"/>
    <col min="1541" max="1541" width="12.5" style="2453" hidden="1" customWidth="1"/>
    <col min="1542" max="1542" width="9.25" style="2453" hidden="1" customWidth="1"/>
    <col min="1543" max="1543" width="6.875" style="2453" hidden="1" customWidth="1"/>
    <col min="1544" max="1544" width="5.125" style="2453" hidden="1" customWidth="1"/>
    <col min="1545" max="1545" width="7.375" style="2453" hidden="1" customWidth="1"/>
    <col min="1546" max="1546" width="11" style="2453" hidden="1" customWidth="1"/>
    <col min="1547" max="1547" width="12.375" style="2453" hidden="1" customWidth="1"/>
    <col min="1548" max="1548" width="12.625" style="2453" hidden="1" customWidth="1"/>
    <col min="1549" max="1549" width="12.375" style="2453" hidden="1" customWidth="1"/>
    <col min="1550" max="1550" width="5.25" style="2453" hidden="1" customWidth="1"/>
    <col min="1551" max="1551" width="7.5" style="2453" hidden="1" customWidth="1"/>
    <col min="1552" max="1552" width="1.875" style="2453" hidden="1" customWidth="1"/>
    <col min="1553" max="1745" width="9" style="2453" hidden="1" customWidth="1"/>
    <col min="1746" max="1793" width="9" style="2453" hidden="1"/>
    <col min="1794" max="1794" width="2.875" style="2453" hidden="1" customWidth="1"/>
    <col min="1795" max="1795" width="2.625" style="2453" hidden="1" customWidth="1"/>
    <col min="1796" max="1796" width="18" style="2453" hidden="1" customWidth="1"/>
    <col min="1797" max="1797" width="12.5" style="2453" hidden="1" customWidth="1"/>
    <col min="1798" max="1798" width="9.25" style="2453" hidden="1" customWidth="1"/>
    <col min="1799" max="1799" width="6.875" style="2453" hidden="1" customWidth="1"/>
    <col min="1800" max="1800" width="5.125" style="2453" hidden="1" customWidth="1"/>
    <col min="1801" max="1801" width="7.375" style="2453" hidden="1" customWidth="1"/>
    <col min="1802" max="1802" width="11" style="2453" hidden="1" customWidth="1"/>
    <col min="1803" max="1803" width="12.375" style="2453" hidden="1" customWidth="1"/>
    <col min="1804" max="1804" width="12.625" style="2453" hidden="1" customWidth="1"/>
    <col min="1805" max="1805" width="12.375" style="2453" hidden="1" customWidth="1"/>
    <col min="1806" max="1806" width="5.25" style="2453" hidden="1" customWidth="1"/>
    <col min="1807" max="1807" width="7.5" style="2453" hidden="1" customWidth="1"/>
    <col min="1808" max="1808" width="1.875" style="2453" hidden="1" customWidth="1"/>
    <col min="1809" max="2001" width="9" style="2453" hidden="1" customWidth="1"/>
    <col min="2002" max="2049" width="9" style="2453" hidden="1"/>
    <col min="2050" max="2050" width="2.875" style="2453" hidden="1" customWidth="1"/>
    <col min="2051" max="2051" width="2.625" style="2453" hidden="1" customWidth="1"/>
    <col min="2052" max="2052" width="18" style="2453" hidden="1" customWidth="1"/>
    <col min="2053" max="2053" width="12.5" style="2453" hidden="1" customWidth="1"/>
    <col min="2054" max="2054" width="9.25" style="2453" hidden="1" customWidth="1"/>
    <col min="2055" max="2055" width="6.875" style="2453" hidden="1" customWidth="1"/>
    <col min="2056" max="2056" width="5.125" style="2453" hidden="1" customWidth="1"/>
    <col min="2057" max="2057" width="7.375" style="2453" hidden="1" customWidth="1"/>
    <col min="2058" max="2058" width="11" style="2453" hidden="1" customWidth="1"/>
    <col min="2059" max="2059" width="12.375" style="2453" hidden="1" customWidth="1"/>
    <col min="2060" max="2060" width="12.625" style="2453" hidden="1" customWidth="1"/>
    <col min="2061" max="2061" width="12.375" style="2453" hidden="1" customWidth="1"/>
    <col min="2062" max="2062" width="5.25" style="2453" hidden="1" customWidth="1"/>
    <col min="2063" max="2063" width="7.5" style="2453" hidden="1" customWidth="1"/>
    <col min="2064" max="2064" width="1.875" style="2453" hidden="1" customWidth="1"/>
    <col min="2065" max="2257" width="9" style="2453" hidden="1" customWidth="1"/>
    <col min="2258" max="2305" width="9" style="2453" hidden="1"/>
    <col min="2306" max="2306" width="2.875" style="2453" hidden="1" customWidth="1"/>
    <col min="2307" max="2307" width="2.625" style="2453" hidden="1" customWidth="1"/>
    <col min="2308" max="2308" width="18" style="2453" hidden="1" customWidth="1"/>
    <col min="2309" max="2309" width="12.5" style="2453" hidden="1" customWidth="1"/>
    <col min="2310" max="2310" width="9.25" style="2453" hidden="1" customWidth="1"/>
    <col min="2311" max="2311" width="6.875" style="2453" hidden="1" customWidth="1"/>
    <col min="2312" max="2312" width="5.125" style="2453" hidden="1" customWidth="1"/>
    <col min="2313" max="2313" width="7.375" style="2453" hidden="1" customWidth="1"/>
    <col min="2314" max="2314" width="11" style="2453" hidden="1" customWidth="1"/>
    <col min="2315" max="2315" width="12.375" style="2453" hidden="1" customWidth="1"/>
    <col min="2316" max="2316" width="12.625" style="2453" hidden="1" customWidth="1"/>
    <col min="2317" max="2317" width="12.375" style="2453" hidden="1" customWidth="1"/>
    <col min="2318" max="2318" width="5.25" style="2453" hidden="1" customWidth="1"/>
    <col min="2319" max="2319" width="7.5" style="2453" hidden="1" customWidth="1"/>
    <col min="2320" max="2320" width="1.875" style="2453" hidden="1" customWidth="1"/>
    <col min="2321" max="2513" width="9" style="2453" hidden="1" customWidth="1"/>
    <col min="2514" max="2561" width="9" style="2453" hidden="1"/>
    <col min="2562" max="2562" width="2.875" style="2453" hidden="1" customWidth="1"/>
    <col min="2563" max="2563" width="2.625" style="2453" hidden="1" customWidth="1"/>
    <col min="2564" max="2564" width="18" style="2453" hidden="1" customWidth="1"/>
    <col min="2565" max="2565" width="12.5" style="2453" hidden="1" customWidth="1"/>
    <col min="2566" max="2566" width="9.25" style="2453" hidden="1" customWidth="1"/>
    <col min="2567" max="2567" width="6.875" style="2453" hidden="1" customWidth="1"/>
    <col min="2568" max="2568" width="5.125" style="2453" hidden="1" customWidth="1"/>
    <col min="2569" max="2569" width="7.375" style="2453" hidden="1" customWidth="1"/>
    <col min="2570" max="2570" width="11" style="2453" hidden="1" customWidth="1"/>
    <col min="2571" max="2571" width="12.375" style="2453" hidden="1" customWidth="1"/>
    <col min="2572" max="2572" width="12.625" style="2453" hidden="1" customWidth="1"/>
    <col min="2573" max="2573" width="12.375" style="2453" hidden="1" customWidth="1"/>
    <col min="2574" max="2574" width="5.25" style="2453" hidden="1" customWidth="1"/>
    <col min="2575" max="2575" width="7.5" style="2453" hidden="1" customWidth="1"/>
    <col min="2576" max="2576" width="1.875" style="2453" hidden="1" customWidth="1"/>
    <col min="2577" max="2769" width="9" style="2453" hidden="1" customWidth="1"/>
    <col min="2770" max="2817" width="9" style="2453" hidden="1"/>
    <col min="2818" max="2818" width="2.875" style="2453" hidden="1" customWidth="1"/>
    <col min="2819" max="2819" width="2.625" style="2453" hidden="1" customWidth="1"/>
    <col min="2820" max="2820" width="18" style="2453" hidden="1" customWidth="1"/>
    <col min="2821" max="2821" width="12.5" style="2453" hidden="1" customWidth="1"/>
    <col min="2822" max="2822" width="9.25" style="2453" hidden="1" customWidth="1"/>
    <col min="2823" max="2823" width="6.875" style="2453" hidden="1" customWidth="1"/>
    <col min="2824" max="2824" width="5.125" style="2453" hidden="1" customWidth="1"/>
    <col min="2825" max="2825" width="7.375" style="2453" hidden="1" customWidth="1"/>
    <col min="2826" max="2826" width="11" style="2453" hidden="1" customWidth="1"/>
    <col min="2827" max="2827" width="12.375" style="2453" hidden="1" customWidth="1"/>
    <col min="2828" max="2828" width="12.625" style="2453" hidden="1" customWidth="1"/>
    <col min="2829" max="2829" width="12.375" style="2453" hidden="1" customWidth="1"/>
    <col min="2830" max="2830" width="5.25" style="2453" hidden="1" customWidth="1"/>
    <col min="2831" max="2831" width="7.5" style="2453" hidden="1" customWidth="1"/>
    <col min="2832" max="2832" width="1.875" style="2453" hidden="1" customWidth="1"/>
    <col min="2833" max="3025" width="9" style="2453" hidden="1" customWidth="1"/>
    <col min="3026" max="3073" width="9" style="2453" hidden="1"/>
    <col min="3074" max="3074" width="2.875" style="2453" hidden="1" customWidth="1"/>
    <col min="3075" max="3075" width="2.625" style="2453" hidden="1" customWidth="1"/>
    <col min="3076" max="3076" width="18" style="2453" hidden="1" customWidth="1"/>
    <col min="3077" max="3077" width="12.5" style="2453" hidden="1" customWidth="1"/>
    <col min="3078" max="3078" width="9.25" style="2453" hidden="1" customWidth="1"/>
    <col min="3079" max="3079" width="6.875" style="2453" hidden="1" customWidth="1"/>
    <col min="3080" max="3080" width="5.125" style="2453" hidden="1" customWidth="1"/>
    <col min="3081" max="3081" width="7.375" style="2453" hidden="1" customWidth="1"/>
    <col min="3082" max="3082" width="11" style="2453" hidden="1" customWidth="1"/>
    <col min="3083" max="3083" width="12.375" style="2453" hidden="1" customWidth="1"/>
    <col min="3084" max="3084" width="12.625" style="2453" hidden="1" customWidth="1"/>
    <col min="3085" max="3085" width="12.375" style="2453" hidden="1" customWidth="1"/>
    <col min="3086" max="3086" width="5.25" style="2453" hidden="1" customWidth="1"/>
    <col min="3087" max="3087" width="7.5" style="2453" hidden="1" customWidth="1"/>
    <col min="3088" max="3088" width="1.875" style="2453" hidden="1" customWidth="1"/>
    <col min="3089" max="3281" width="9" style="2453" hidden="1" customWidth="1"/>
    <col min="3282" max="3329" width="9" style="2453" hidden="1"/>
    <col min="3330" max="3330" width="2.875" style="2453" hidden="1" customWidth="1"/>
    <col min="3331" max="3331" width="2.625" style="2453" hidden="1" customWidth="1"/>
    <col min="3332" max="3332" width="18" style="2453" hidden="1" customWidth="1"/>
    <col min="3333" max="3333" width="12.5" style="2453" hidden="1" customWidth="1"/>
    <col min="3334" max="3334" width="9.25" style="2453" hidden="1" customWidth="1"/>
    <col min="3335" max="3335" width="6.875" style="2453" hidden="1" customWidth="1"/>
    <col min="3336" max="3336" width="5.125" style="2453" hidden="1" customWidth="1"/>
    <col min="3337" max="3337" width="7.375" style="2453" hidden="1" customWidth="1"/>
    <col min="3338" max="3338" width="11" style="2453" hidden="1" customWidth="1"/>
    <col min="3339" max="3339" width="12.375" style="2453" hidden="1" customWidth="1"/>
    <col min="3340" max="3340" width="12.625" style="2453" hidden="1" customWidth="1"/>
    <col min="3341" max="3341" width="12.375" style="2453" hidden="1" customWidth="1"/>
    <col min="3342" max="3342" width="5.25" style="2453" hidden="1" customWidth="1"/>
    <col min="3343" max="3343" width="7.5" style="2453" hidden="1" customWidth="1"/>
    <col min="3344" max="3344" width="1.875" style="2453" hidden="1" customWidth="1"/>
    <col min="3345" max="3537" width="9" style="2453" hidden="1" customWidth="1"/>
    <col min="3538" max="3585" width="9" style="2453" hidden="1"/>
    <col min="3586" max="3586" width="2.875" style="2453" hidden="1" customWidth="1"/>
    <col min="3587" max="3587" width="2.625" style="2453" hidden="1" customWidth="1"/>
    <col min="3588" max="3588" width="18" style="2453" hidden="1" customWidth="1"/>
    <col min="3589" max="3589" width="12.5" style="2453" hidden="1" customWidth="1"/>
    <col min="3590" max="3590" width="9.25" style="2453" hidden="1" customWidth="1"/>
    <col min="3591" max="3591" width="6.875" style="2453" hidden="1" customWidth="1"/>
    <col min="3592" max="3592" width="5.125" style="2453" hidden="1" customWidth="1"/>
    <col min="3593" max="3593" width="7.375" style="2453" hidden="1" customWidth="1"/>
    <col min="3594" max="3594" width="11" style="2453" hidden="1" customWidth="1"/>
    <col min="3595" max="3595" width="12.375" style="2453" hidden="1" customWidth="1"/>
    <col min="3596" max="3596" width="12.625" style="2453" hidden="1" customWidth="1"/>
    <col min="3597" max="3597" width="12.375" style="2453" hidden="1" customWidth="1"/>
    <col min="3598" max="3598" width="5.25" style="2453" hidden="1" customWidth="1"/>
    <col min="3599" max="3599" width="7.5" style="2453" hidden="1" customWidth="1"/>
    <col min="3600" max="3600" width="1.875" style="2453" hidden="1" customWidth="1"/>
    <col min="3601" max="3793" width="9" style="2453" hidden="1" customWidth="1"/>
    <col min="3794" max="3841" width="9" style="2453" hidden="1"/>
    <col min="3842" max="3842" width="2.875" style="2453" hidden="1" customWidth="1"/>
    <col min="3843" max="3843" width="2.625" style="2453" hidden="1" customWidth="1"/>
    <col min="3844" max="3844" width="18" style="2453" hidden="1" customWidth="1"/>
    <col min="3845" max="3845" width="12.5" style="2453" hidden="1" customWidth="1"/>
    <col min="3846" max="3846" width="9.25" style="2453" hidden="1" customWidth="1"/>
    <col min="3847" max="3847" width="6.875" style="2453" hidden="1" customWidth="1"/>
    <col min="3848" max="3848" width="5.125" style="2453" hidden="1" customWidth="1"/>
    <col min="3849" max="3849" width="7.375" style="2453" hidden="1" customWidth="1"/>
    <col min="3850" max="3850" width="11" style="2453" hidden="1" customWidth="1"/>
    <col min="3851" max="3851" width="12.375" style="2453" hidden="1" customWidth="1"/>
    <col min="3852" max="3852" width="12.625" style="2453" hidden="1" customWidth="1"/>
    <col min="3853" max="3853" width="12.375" style="2453" hidden="1" customWidth="1"/>
    <col min="3854" max="3854" width="5.25" style="2453" hidden="1" customWidth="1"/>
    <col min="3855" max="3855" width="7.5" style="2453" hidden="1" customWidth="1"/>
    <col min="3856" max="3856" width="1.875" style="2453" hidden="1" customWidth="1"/>
    <col min="3857" max="4049" width="9" style="2453" hidden="1" customWidth="1"/>
    <col min="4050" max="4097" width="9" style="2453" hidden="1"/>
    <col min="4098" max="4098" width="2.875" style="2453" hidden="1" customWidth="1"/>
    <col min="4099" max="4099" width="2.625" style="2453" hidden="1" customWidth="1"/>
    <col min="4100" max="4100" width="18" style="2453" hidden="1" customWidth="1"/>
    <col min="4101" max="4101" width="12.5" style="2453" hidden="1" customWidth="1"/>
    <col min="4102" max="4102" width="9.25" style="2453" hidden="1" customWidth="1"/>
    <col min="4103" max="4103" width="6.875" style="2453" hidden="1" customWidth="1"/>
    <col min="4104" max="4104" width="5.125" style="2453" hidden="1" customWidth="1"/>
    <col min="4105" max="4105" width="7.375" style="2453" hidden="1" customWidth="1"/>
    <col min="4106" max="4106" width="11" style="2453" hidden="1" customWidth="1"/>
    <col min="4107" max="4107" width="12.375" style="2453" hidden="1" customWidth="1"/>
    <col min="4108" max="4108" width="12.625" style="2453" hidden="1" customWidth="1"/>
    <col min="4109" max="4109" width="12.375" style="2453" hidden="1" customWidth="1"/>
    <col min="4110" max="4110" width="5.25" style="2453" hidden="1" customWidth="1"/>
    <col min="4111" max="4111" width="7.5" style="2453" hidden="1" customWidth="1"/>
    <col min="4112" max="4112" width="1.875" style="2453" hidden="1" customWidth="1"/>
    <col min="4113" max="4305" width="9" style="2453" hidden="1" customWidth="1"/>
    <col min="4306" max="4353" width="9" style="2453" hidden="1"/>
    <col min="4354" max="4354" width="2.875" style="2453" hidden="1" customWidth="1"/>
    <col min="4355" max="4355" width="2.625" style="2453" hidden="1" customWidth="1"/>
    <col min="4356" max="4356" width="18" style="2453" hidden="1" customWidth="1"/>
    <col min="4357" max="4357" width="12.5" style="2453" hidden="1" customWidth="1"/>
    <col min="4358" max="4358" width="9.25" style="2453" hidden="1" customWidth="1"/>
    <col min="4359" max="4359" width="6.875" style="2453" hidden="1" customWidth="1"/>
    <col min="4360" max="4360" width="5.125" style="2453" hidden="1" customWidth="1"/>
    <col min="4361" max="4361" width="7.375" style="2453" hidden="1" customWidth="1"/>
    <col min="4362" max="4362" width="11" style="2453" hidden="1" customWidth="1"/>
    <col min="4363" max="4363" width="12.375" style="2453" hidden="1" customWidth="1"/>
    <col min="4364" max="4364" width="12.625" style="2453" hidden="1" customWidth="1"/>
    <col min="4365" max="4365" width="12.375" style="2453" hidden="1" customWidth="1"/>
    <col min="4366" max="4366" width="5.25" style="2453" hidden="1" customWidth="1"/>
    <col min="4367" max="4367" width="7.5" style="2453" hidden="1" customWidth="1"/>
    <col min="4368" max="4368" width="1.875" style="2453" hidden="1" customWidth="1"/>
    <col min="4369" max="4561" width="9" style="2453" hidden="1" customWidth="1"/>
    <col min="4562" max="4609" width="9" style="2453" hidden="1"/>
    <col min="4610" max="4610" width="2.875" style="2453" hidden="1" customWidth="1"/>
    <col min="4611" max="4611" width="2.625" style="2453" hidden="1" customWidth="1"/>
    <col min="4612" max="4612" width="18" style="2453" hidden="1" customWidth="1"/>
    <col min="4613" max="4613" width="12.5" style="2453" hidden="1" customWidth="1"/>
    <col min="4614" max="4614" width="9.25" style="2453" hidden="1" customWidth="1"/>
    <col min="4615" max="4615" width="6.875" style="2453" hidden="1" customWidth="1"/>
    <col min="4616" max="4616" width="5.125" style="2453" hidden="1" customWidth="1"/>
    <col min="4617" max="4617" width="7.375" style="2453" hidden="1" customWidth="1"/>
    <col min="4618" max="4618" width="11" style="2453" hidden="1" customWidth="1"/>
    <col min="4619" max="4619" width="12.375" style="2453" hidden="1" customWidth="1"/>
    <col min="4620" max="4620" width="12.625" style="2453" hidden="1" customWidth="1"/>
    <col min="4621" max="4621" width="12.375" style="2453" hidden="1" customWidth="1"/>
    <col min="4622" max="4622" width="5.25" style="2453" hidden="1" customWidth="1"/>
    <col min="4623" max="4623" width="7.5" style="2453" hidden="1" customWidth="1"/>
    <col min="4624" max="4624" width="1.875" style="2453" hidden="1" customWidth="1"/>
    <col min="4625" max="4817" width="9" style="2453" hidden="1" customWidth="1"/>
    <col min="4818" max="4865" width="9" style="2453" hidden="1"/>
    <col min="4866" max="4866" width="2.875" style="2453" hidden="1" customWidth="1"/>
    <col min="4867" max="4867" width="2.625" style="2453" hidden="1" customWidth="1"/>
    <col min="4868" max="4868" width="18" style="2453" hidden="1" customWidth="1"/>
    <col min="4869" max="4869" width="12.5" style="2453" hidden="1" customWidth="1"/>
    <col min="4870" max="4870" width="9.25" style="2453" hidden="1" customWidth="1"/>
    <col min="4871" max="4871" width="6.875" style="2453" hidden="1" customWidth="1"/>
    <col min="4872" max="4872" width="5.125" style="2453" hidden="1" customWidth="1"/>
    <col min="4873" max="4873" width="7.375" style="2453" hidden="1" customWidth="1"/>
    <col min="4874" max="4874" width="11" style="2453" hidden="1" customWidth="1"/>
    <col min="4875" max="4875" width="12.375" style="2453" hidden="1" customWidth="1"/>
    <col min="4876" max="4876" width="12.625" style="2453" hidden="1" customWidth="1"/>
    <col min="4877" max="4877" width="12.375" style="2453" hidden="1" customWidth="1"/>
    <col min="4878" max="4878" width="5.25" style="2453" hidden="1" customWidth="1"/>
    <col min="4879" max="4879" width="7.5" style="2453" hidden="1" customWidth="1"/>
    <col min="4880" max="4880" width="1.875" style="2453" hidden="1" customWidth="1"/>
    <col min="4881" max="5073" width="9" style="2453" hidden="1" customWidth="1"/>
    <col min="5074" max="5121" width="9" style="2453" hidden="1"/>
    <col min="5122" max="5122" width="2.875" style="2453" hidden="1" customWidth="1"/>
    <col min="5123" max="5123" width="2.625" style="2453" hidden="1" customWidth="1"/>
    <col min="5124" max="5124" width="18" style="2453" hidden="1" customWidth="1"/>
    <col min="5125" max="5125" width="12.5" style="2453" hidden="1" customWidth="1"/>
    <col min="5126" max="5126" width="9.25" style="2453" hidden="1" customWidth="1"/>
    <col min="5127" max="5127" width="6.875" style="2453" hidden="1" customWidth="1"/>
    <col min="5128" max="5128" width="5.125" style="2453" hidden="1" customWidth="1"/>
    <col min="5129" max="5129" width="7.375" style="2453" hidden="1" customWidth="1"/>
    <col min="5130" max="5130" width="11" style="2453" hidden="1" customWidth="1"/>
    <col min="5131" max="5131" width="12.375" style="2453" hidden="1" customWidth="1"/>
    <col min="5132" max="5132" width="12.625" style="2453" hidden="1" customWidth="1"/>
    <col min="5133" max="5133" width="12.375" style="2453" hidden="1" customWidth="1"/>
    <col min="5134" max="5134" width="5.25" style="2453" hidden="1" customWidth="1"/>
    <col min="5135" max="5135" width="7.5" style="2453" hidden="1" customWidth="1"/>
    <col min="5136" max="5136" width="1.875" style="2453" hidden="1" customWidth="1"/>
    <col min="5137" max="5329" width="9" style="2453" hidden="1" customWidth="1"/>
    <col min="5330" max="5377" width="9" style="2453" hidden="1"/>
    <col min="5378" max="5378" width="2.875" style="2453" hidden="1" customWidth="1"/>
    <col min="5379" max="5379" width="2.625" style="2453" hidden="1" customWidth="1"/>
    <col min="5380" max="5380" width="18" style="2453" hidden="1" customWidth="1"/>
    <col min="5381" max="5381" width="12.5" style="2453" hidden="1" customWidth="1"/>
    <col min="5382" max="5382" width="9.25" style="2453" hidden="1" customWidth="1"/>
    <col min="5383" max="5383" width="6.875" style="2453" hidden="1" customWidth="1"/>
    <col min="5384" max="5384" width="5.125" style="2453" hidden="1" customWidth="1"/>
    <col min="5385" max="5385" width="7.375" style="2453" hidden="1" customWidth="1"/>
    <col min="5386" max="5386" width="11" style="2453" hidden="1" customWidth="1"/>
    <col min="5387" max="5387" width="12.375" style="2453" hidden="1" customWidth="1"/>
    <col min="5388" max="5388" width="12.625" style="2453" hidden="1" customWidth="1"/>
    <col min="5389" max="5389" width="12.375" style="2453" hidden="1" customWidth="1"/>
    <col min="5390" max="5390" width="5.25" style="2453" hidden="1" customWidth="1"/>
    <col min="5391" max="5391" width="7.5" style="2453" hidden="1" customWidth="1"/>
    <col min="5392" max="5392" width="1.875" style="2453" hidden="1" customWidth="1"/>
    <col min="5393" max="5585" width="9" style="2453" hidden="1" customWidth="1"/>
    <col min="5586" max="5633" width="9" style="2453" hidden="1"/>
    <col min="5634" max="5634" width="2.875" style="2453" hidden="1" customWidth="1"/>
    <col min="5635" max="5635" width="2.625" style="2453" hidden="1" customWidth="1"/>
    <col min="5636" max="5636" width="18" style="2453" hidden="1" customWidth="1"/>
    <col min="5637" max="5637" width="12.5" style="2453" hidden="1" customWidth="1"/>
    <col min="5638" max="5638" width="9.25" style="2453" hidden="1" customWidth="1"/>
    <col min="5639" max="5639" width="6.875" style="2453" hidden="1" customWidth="1"/>
    <col min="5640" max="5640" width="5.125" style="2453" hidden="1" customWidth="1"/>
    <col min="5641" max="5641" width="7.375" style="2453" hidden="1" customWidth="1"/>
    <col min="5642" max="5642" width="11" style="2453" hidden="1" customWidth="1"/>
    <col min="5643" max="5643" width="12.375" style="2453" hidden="1" customWidth="1"/>
    <col min="5644" max="5644" width="12.625" style="2453" hidden="1" customWidth="1"/>
    <col min="5645" max="5645" width="12.375" style="2453" hidden="1" customWidth="1"/>
    <col min="5646" max="5646" width="5.25" style="2453" hidden="1" customWidth="1"/>
    <col min="5647" max="5647" width="7.5" style="2453" hidden="1" customWidth="1"/>
    <col min="5648" max="5648" width="1.875" style="2453" hidden="1" customWidth="1"/>
    <col min="5649" max="5841" width="9" style="2453" hidden="1" customWidth="1"/>
    <col min="5842" max="5889" width="9" style="2453" hidden="1"/>
    <col min="5890" max="5890" width="2.875" style="2453" hidden="1" customWidth="1"/>
    <col min="5891" max="5891" width="2.625" style="2453" hidden="1" customWidth="1"/>
    <col min="5892" max="5892" width="18" style="2453" hidden="1" customWidth="1"/>
    <col min="5893" max="5893" width="12.5" style="2453" hidden="1" customWidth="1"/>
    <col min="5894" max="5894" width="9.25" style="2453" hidden="1" customWidth="1"/>
    <col min="5895" max="5895" width="6.875" style="2453" hidden="1" customWidth="1"/>
    <col min="5896" max="5896" width="5.125" style="2453" hidden="1" customWidth="1"/>
    <col min="5897" max="5897" width="7.375" style="2453" hidden="1" customWidth="1"/>
    <col min="5898" max="5898" width="11" style="2453" hidden="1" customWidth="1"/>
    <col min="5899" max="5899" width="12.375" style="2453" hidden="1" customWidth="1"/>
    <col min="5900" max="5900" width="12.625" style="2453" hidden="1" customWidth="1"/>
    <col min="5901" max="5901" width="12.375" style="2453" hidden="1" customWidth="1"/>
    <col min="5902" max="5902" width="5.25" style="2453" hidden="1" customWidth="1"/>
    <col min="5903" max="5903" width="7.5" style="2453" hidden="1" customWidth="1"/>
    <col min="5904" max="5904" width="1.875" style="2453" hidden="1" customWidth="1"/>
    <col min="5905" max="6097" width="9" style="2453" hidden="1" customWidth="1"/>
    <col min="6098" max="6145" width="9" style="2453" hidden="1"/>
    <col min="6146" max="6146" width="2.875" style="2453" hidden="1" customWidth="1"/>
    <col min="6147" max="6147" width="2.625" style="2453" hidden="1" customWidth="1"/>
    <col min="6148" max="6148" width="18" style="2453" hidden="1" customWidth="1"/>
    <col min="6149" max="6149" width="12.5" style="2453" hidden="1" customWidth="1"/>
    <col min="6150" max="6150" width="9.25" style="2453" hidden="1" customWidth="1"/>
    <col min="6151" max="6151" width="6.875" style="2453" hidden="1" customWidth="1"/>
    <col min="6152" max="6152" width="5.125" style="2453" hidden="1" customWidth="1"/>
    <col min="6153" max="6153" width="7.375" style="2453" hidden="1" customWidth="1"/>
    <col min="6154" max="6154" width="11" style="2453" hidden="1" customWidth="1"/>
    <col min="6155" max="6155" width="12.375" style="2453" hidden="1" customWidth="1"/>
    <col min="6156" max="6156" width="12.625" style="2453" hidden="1" customWidth="1"/>
    <col min="6157" max="6157" width="12.375" style="2453" hidden="1" customWidth="1"/>
    <col min="6158" max="6158" width="5.25" style="2453" hidden="1" customWidth="1"/>
    <col min="6159" max="6159" width="7.5" style="2453" hidden="1" customWidth="1"/>
    <col min="6160" max="6160" width="1.875" style="2453" hidden="1" customWidth="1"/>
    <col min="6161" max="6353" width="9" style="2453" hidden="1" customWidth="1"/>
    <col min="6354" max="6401" width="9" style="2453" hidden="1"/>
    <col min="6402" max="6402" width="2.875" style="2453" hidden="1" customWidth="1"/>
    <col min="6403" max="6403" width="2.625" style="2453" hidden="1" customWidth="1"/>
    <col min="6404" max="6404" width="18" style="2453" hidden="1" customWidth="1"/>
    <col min="6405" max="6405" width="12.5" style="2453" hidden="1" customWidth="1"/>
    <col min="6406" max="6406" width="9.25" style="2453" hidden="1" customWidth="1"/>
    <col min="6407" max="6407" width="6.875" style="2453" hidden="1" customWidth="1"/>
    <col min="6408" max="6408" width="5.125" style="2453" hidden="1" customWidth="1"/>
    <col min="6409" max="6409" width="7.375" style="2453" hidden="1" customWidth="1"/>
    <col min="6410" max="6410" width="11" style="2453" hidden="1" customWidth="1"/>
    <col min="6411" max="6411" width="12.375" style="2453" hidden="1" customWidth="1"/>
    <col min="6412" max="6412" width="12.625" style="2453" hidden="1" customWidth="1"/>
    <col min="6413" max="6413" width="12.375" style="2453" hidden="1" customWidth="1"/>
    <col min="6414" max="6414" width="5.25" style="2453" hidden="1" customWidth="1"/>
    <col min="6415" max="6415" width="7.5" style="2453" hidden="1" customWidth="1"/>
    <col min="6416" max="6416" width="1.875" style="2453" hidden="1" customWidth="1"/>
    <col min="6417" max="6609" width="9" style="2453" hidden="1" customWidth="1"/>
    <col min="6610" max="6657" width="9" style="2453" hidden="1"/>
    <col min="6658" max="6658" width="2.875" style="2453" hidden="1" customWidth="1"/>
    <col min="6659" max="6659" width="2.625" style="2453" hidden="1" customWidth="1"/>
    <col min="6660" max="6660" width="18" style="2453" hidden="1" customWidth="1"/>
    <col min="6661" max="6661" width="12.5" style="2453" hidden="1" customWidth="1"/>
    <col min="6662" max="6662" width="9.25" style="2453" hidden="1" customWidth="1"/>
    <col min="6663" max="6663" width="6.875" style="2453" hidden="1" customWidth="1"/>
    <col min="6664" max="6664" width="5.125" style="2453" hidden="1" customWidth="1"/>
    <col min="6665" max="6665" width="7.375" style="2453" hidden="1" customWidth="1"/>
    <col min="6666" max="6666" width="11" style="2453" hidden="1" customWidth="1"/>
    <col min="6667" max="6667" width="12.375" style="2453" hidden="1" customWidth="1"/>
    <col min="6668" max="6668" width="12.625" style="2453" hidden="1" customWidth="1"/>
    <col min="6669" max="6669" width="12.375" style="2453" hidden="1" customWidth="1"/>
    <col min="6670" max="6670" width="5.25" style="2453" hidden="1" customWidth="1"/>
    <col min="6671" max="6671" width="7.5" style="2453" hidden="1" customWidth="1"/>
    <col min="6672" max="6672" width="1.875" style="2453" hidden="1" customWidth="1"/>
    <col min="6673" max="6865" width="9" style="2453" hidden="1" customWidth="1"/>
    <col min="6866" max="6913" width="9" style="2453" hidden="1"/>
    <col min="6914" max="6914" width="2.875" style="2453" hidden="1" customWidth="1"/>
    <col min="6915" max="6915" width="2.625" style="2453" hidden="1" customWidth="1"/>
    <col min="6916" max="6916" width="18" style="2453" hidden="1" customWidth="1"/>
    <col min="6917" max="6917" width="12.5" style="2453" hidden="1" customWidth="1"/>
    <col min="6918" max="6918" width="9.25" style="2453" hidden="1" customWidth="1"/>
    <col min="6919" max="6919" width="6.875" style="2453" hidden="1" customWidth="1"/>
    <col min="6920" max="6920" width="5.125" style="2453" hidden="1" customWidth="1"/>
    <col min="6921" max="6921" width="7.375" style="2453" hidden="1" customWidth="1"/>
    <col min="6922" max="6922" width="11" style="2453" hidden="1" customWidth="1"/>
    <col min="6923" max="6923" width="12.375" style="2453" hidden="1" customWidth="1"/>
    <col min="6924" max="6924" width="12.625" style="2453" hidden="1" customWidth="1"/>
    <col min="6925" max="6925" width="12.375" style="2453" hidden="1" customWidth="1"/>
    <col min="6926" max="6926" width="5.25" style="2453" hidden="1" customWidth="1"/>
    <col min="6927" max="6927" width="7.5" style="2453" hidden="1" customWidth="1"/>
    <col min="6928" max="6928" width="1.875" style="2453" hidden="1" customWidth="1"/>
    <col min="6929" max="7121" width="9" style="2453" hidden="1" customWidth="1"/>
    <col min="7122" max="7169" width="9" style="2453" hidden="1"/>
    <col min="7170" max="7170" width="2.875" style="2453" hidden="1" customWidth="1"/>
    <col min="7171" max="7171" width="2.625" style="2453" hidden="1" customWidth="1"/>
    <col min="7172" max="7172" width="18" style="2453" hidden="1" customWidth="1"/>
    <col min="7173" max="7173" width="12.5" style="2453" hidden="1" customWidth="1"/>
    <col min="7174" max="7174" width="9.25" style="2453" hidden="1" customWidth="1"/>
    <col min="7175" max="7175" width="6.875" style="2453" hidden="1" customWidth="1"/>
    <col min="7176" max="7176" width="5.125" style="2453" hidden="1" customWidth="1"/>
    <col min="7177" max="7177" width="7.375" style="2453" hidden="1" customWidth="1"/>
    <col min="7178" max="7178" width="11" style="2453" hidden="1" customWidth="1"/>
    <col min="7179" max="7179" width="12.375" style="2453" hidden="1" customWidth="1"/>
    <col min="7180" max="7180" width="12.625" style="2453" hidden="1" customWidth="1"/>
    <col min="7181" max="7181" width="12.375" style="2453" hidden="1" customWidth="1"/>
    <col min="7182" max="7182" width="5.25" style="2453" hidden="1" customWidth="1"/>
    <col min="7183" max="7183" width="7.5" style="2453" hidden="1" customWidth="1"/>
    <col min="7184" max="7184" width="1.875" style="2453" hidden="1" customWidth="1"/>
    <col min="7185" max="7377" width="9" style="2453" hidden="1" customWidth="1"/>
    <col min="7378" max="7425" width="9" style="2453" hidden="1"/>
    <col min="7426" max="7426" width="2.875" style="2453" hidden="1" customWidth="1"/>
    <col min="7427" max="7427" width="2.625" style="2453" hidden="1" customWidth="1"/>
    <col min="7428" max="7428" width="18" style="2453" hidden="1" customWidth="1"/>
    <col min="7429" max="7429" width="12.5" style="2453" hidden="1" customWidth="1"/>
    <col min="7430" max="7430" width="9.25" style="2453" hidden="1" customWidth="1"/>
    <col min="7431" max="7431" width="6.875" style="2453" hidden="1" customWidth="1"/>
    <col min="7432" max="7432" width="5.125" style="2453" hidden="1" customWidth="1"/>
    <col min="7433" max="7433" width="7.375" style="2453" hidden="1" customWidth="1"/>
    <col min="7434" max="7434" width="11" style="2453" hidden="1" customWidth="1"/>
    <col min="7435" max="7435" width="12.375" style="2453" hidden="1" customWidth="1"/>
    <col min="7436" max="7436" width="12.625" style="2453" hidden="1" customWidth="1"/>
    <col min="7437" max="7437" width="12.375" style="2453" hidden="1" customWidth="1"/>
    <col min="7438" max="7438" width="5.25" style="2453" hidden="1" customWidth="1"/>
    <col min="7439" max="7439" width="7.5" style="2453" hidden="1" customWidth="1"/>
    <col min="7440" max="7440" width="1.875" style="2453" hidden="1" customWidth="1"/>
    <col min="7441" max="7633" width="9" style="2453" hidden="1" customWidth="1"/>
    <col min="7634" max="7681" width="9" style="2453" hidden="1"/>
    <col min="7682" max="7682" width="2.875" style="2453" hidden="1" customWidth="1"/>
    <col min="7683" max="7683" width="2.625" style="2453" hidden="1" customWidth="1"/>
    <col min="7684" max="7684" width="18" style="2453" hidden="1" customWidth="1"/>
    <col min="7685" max="7685" width="12.5" style="2453" hidden="1" customWidth="1"/>
    <col min="7686" max="7686" width="9.25" style="2453" hidden="1" customWidth="1"/>
    <col min="7687" max="7687" width="6.875" style="2453" hidden="1" customWidth="1"/>
    <col min="7688" max="7688" width="5.125" style="2453" hidden="1" customWidth="1"/>
    <col min="7689" max="7689" width="7.375" style="2453" hidden="1" customWidth="1"/>
    <col min="7690" max="7690" width="11" style="2453" hidden="1" customWidth="1"/>
    <col min="7691" max="7691" width="12.375" style="2453" hidden="1" customWidth="1"/>
    <col min="7692" max="7692" width="12.625" style="2453" hidden="1" customWidth="1"/>
    <col min="7693" max="7693" width="12.375" style="2453" hidden="1" customWidth="1"/>
    <col min="7694" max="7694" width="5.25" style="2453" hidden="1" customWidth="1"/>
    <col min="7695" max="7695" width="7.5" style="2453" hidden="1" customWidth="1"/>
    <col min="7696" max="7696" width="1.875" style="2453" hidden="1" customWidth="1"/>
    <col min="7697" max="7889" width="9" style="2453" hidden="1" customWidth="1"/>
    <col min="7890" max="7937" width="9" style="2453" hidden="1"/>
    <col min="7938" max="7938" width="2.875" style="2453" hidden="1" customWidth="1"/>
    <col min="7939" max="7939" width="2.625" style="2453" hidden="1" customWidth="1"/>
    <col min="7940" max="7940" width="18" style="2453" hidden="1" customWidth="1"/>
    <col min="7941" max="7941" width="12.5" style="2453" hidden="1" customWidth="1"/>
    <col min="7942" max="7942" width="9.25" style="2453" hidden="1" customWidth="1"/>
    <col min="7943" max="7943" width="6.875" style="2453" hidden="1" customWidth="1"/>
    <col min="7944" max="7944" width="5.125" style="2453" hidden="1" customWidth="1"/>
    <col min="7945" max="7945" width="7.375" style="2453" hidden="1" customWidth="1"/>
    <col min="7946" max="7946" width="11" style="2453" hidden="1" customWidth="1"/>
    <col min="7947" max="7947" width="12.375" style="2453" hidden="1" customWidth="1"/>
    <col min="7948" max="7948" width="12.625" style="2453" hidden="1" customWidth="1"/>
    <col min="7949" max="7949" width="12.375" style="2453" hidden="1" customWidth="1"/>
    <col min="7950" max="7950" width="5.25" style="2453" hidden="1" customWidth="1"/>
    <col min="7951" max="7951" width="7.5" style="2453" hidden="1" customWidth="1"/>
    <col min="7952" max="7952" width="1.875" style="2453" hidden="1" customWidth="1"/>
    <col min="7953" max="8145" width="9" style="2453" hidden="1" customWidth="1"/>
    <col min="8146" max="8193" width="9" style="2453" hidden="1"/>
    <col min="8194" max="8194" width="2.875" style="2453" hidden="1" customWidth="1"/>
    <col min="8195" max="8195" width="2.625" style="2453" hidden="1" customWidth="1"/>
    <col min="8196" max="8196" width="18" style="2453" hidden="1" customWidth="1"/>
    <col min="8197" max="8197" width="12.5" style="2453" hidden="1" customWidth="1"/>
    <col min="8198" max="8198" width="9.25" style="2453" hidden="1" customWidth="1"/>
    <col min="8199" max="8199" width="6.875" style="2453" hidden="1" customWidth="1"/>
    <col min="8200" max="8200" width="5.125" style="2453" hidden="1" customWidth="1"/>
    <col min="8201" max="8201" width="7.375" style="2453" hidden="1" customWidth="1"/>
    <col min="8202" max="8202" width="11" style="2453" hidden="1" customWidth="1"/>
    <col min="8203" max="8203" width="12.375" style="2453" hidden="1" customWidth="1"/>
    <col min="8204" max="8204" width="12.625" style="2453" hidden="1" customWidth="1"/>
    <col min="8205" max="8205" width="12.375" style="2453" hidden="1" customWidth="1"/>
    <col min="8206" max="8206" width="5.25" style="2453" hidden="1" customWidth="1"/>
    <col min="8207" max="8207" width="7.5" style="2453" hidden="1" customWidth="1"/>
    <col min="8208" max="8208" width="1.875" style="2453" hidden="1" customWidth="1"/>
    <col min="8209" max="8401" width="9" style="2453" hidden="1" customWidth="1"/>
    <col min="8402" max="8449" width="9" style="2453" hidden="1"/>
    <col min="8450" max="8450" width="2.875" style="2453" hidden="1" customWidth="1"/>
    <col min="8451" max="8451" width="2.625" style="2453" hidden="1" customWidth="1"/>
    <col min="8452" max="8452" width="18" style="2453" hidden="1" customWidth="1"/>
    <col min="8453" max="8453" width="12.5" style="2453" hidden="1" customWidth="1"/>
    <col min="8454" max="8454" width="9.25" style="2453" hidden="1" customWidth="1"/>
    <col min="8455" max="8455" width="6.875" style="2453" hidden="1" customWidth="1"/>
    <col min="8456" max="8456" width="5.125" style="2453" hidden="1" customWidth="1"/>
    <col min="8457" max="8457" width="7.375" style="2453" hidden="1" customWidth="1"/>
    <col min="8458" max="8458" width="11" style="2453" hidden="1" customWidth="1"/>
    <col min="8459" max="8459" width="12.375" style="2453" hidden="1" customWidth="1"/>
    <col min="8460" max="8460" width="12.625" style="2453" hidden="1" customWidth="1"/>
    <col min="8461" max="8461" width="12.375" style="2453" hidden="1" customWidth="1"/>
    <col min="8462" max="8462" width="5.25" style="2453" hidden="1" customWidth="1"/>
    <col min="8463" max="8463" width="7.5" style="2453" hidden="1" customWidth="1"/>
    <col min="8464" max="8464" width="1.875" style="2453" hidden="1" customWidth="1"/>
    <col min="8465" max="8657" width="9" style="2453" hidden="1" customWidth="1"/>
    <col min="8658" max="8705" width="9" style="2453" hidden="1"/>
    <col min="8706" max="8706" width="2.875" style="2453" hidden="1" customWidth="1"/>
    <col min="8707" max="8707" width="2.625" style="2453" hidden="1" customWidth="1"/>
    <col min="8708" max="8708" width="18" style="2453" hidden="1" customWidth="1"/>
    <col min="8709" max="8709" width="12.5" style="2453" hidden="1" customWidth="1"/>
    <col min="8710" max="8710" width="9.25" style="2453" hidden="1" customWidth="1"/>
    <col min="8711" max="8711" width="6.875" style="2453" hidden="1" customWidth="1"/>
    <col min="8712" max="8712" width="5.125" style="2453" hidden="1" customWidth="1"/>
    <col min="8713" max="8713" width="7.375" style="2453" hidden="1" customWidth="1"/>
    <col min="8714" max="8714" width="11" style="2453" hidden="1" customWidth="1"/>
    <col min="8715" max="8715" width="12.375" style="2453" hidden="1" customWidth="1"/>
    <col min="8716" max="8716" width="12.625" style="2453" hidden="1" customWidth="1"/>
    <col min="8717" max="8717" width="12.375" style="2453" hidden="1" customWidth="1"/>
    <col min="8718" max="8718" width="5.25" style="2453" hidden="1" customWidth="1"/>
    <col min="8719" max="8719" width="7.5" style="2453" hidden="1" customWidth="1"/>
    <col min="8720" max="8720" width="1.875" style="2453" hidden="1" customWidth="1"/>
    <col min="8721" max="8913" width="9" style="2453" hidden="1" customWidth="1"/>
    <col min="8914" max="8961" width="9" style="2453" hidden="1"/>
    <col min="8962" max="8962" width="2.875" style="2453" hidden="1" customWidth="1"/>
    <col min="8963" max="8963" width="2.625" style="2453" hidden="1" customWidth="1"/>
    <col min="8964" max="8964" width="18" style="2453" hidden="1" customWidth="1"/>
    <col min="8965" max="8965" width="12.5" style="2453" hidden="1" customWidth="1"/>
    <col min="8966" max="8966" width="9.25" style="2453" hidden="1" customWidth="1"/>
    <col min="8967" max="8967" width="6.875" style="2453" hidden="1" customWidth="1"/>
    <col min="8968" max="8968" width="5.125" style="2453" hidden="1" customWidth="1"/>
    <col min="8969" max="8969" width="7.375" style="2453" hidden="1" customWidth="1"/>
    <col min="8970" max="8970" width="11" style="2453" hidden="1" customWidth="1"/>
    <col min="8971" max="8971" width="12.375" style="2453" hidden="1" customWidth="1"/>
    <col min="8972" max="8972" width="12.625" style="2453" hidden="1" customWidth="1"/>
    <col min="8973" max="8973" width="12.375" style="2453" hidden="1" customWidth="1"/>
    <col min="8974" max="8974" width="5.25" style="2453" hidden="1" customWidth="1"/>
    <col min="8975" max="8975" width="7.5" style="2453" hidden="1" customWidth="1"/>
    <col min="8976" max="8976" width="1.875" style="2453" hidden="1" customWidth="1"/>
    <col min="8977" max="9169" width="9" style="2453" hidden="1" customWidth="1"/>
    <col min="9170" max="9217" width="9" style="2453" hidden="1"/>
    <col min="9218" max="9218" width="2.875" style="2453" hidden="1" customWidth="1"/>
    <col min="9219" max="9219" width="2.625" style="2453" hidden="1" customWidth="1"/>
    <col min="9220" max="9220" width="18" style="2453" hidden="1" customWidth="1"/>
    <col min="9221" max="9221" width="12.5" style="2453" hidden="1" customWidth="1"/>
    <col min="9222" max="9222" width="9.25" style="2453" hidden="1" customWidth="1"/>
    <col min="9223" max="9223" width="6.875" style="2453" hidden="1" customWidth="1"/>
    <col min="9224" max="9224" width="5.125" style="2453" hidden="1" customWidth="1"/>
    <col min="9225" max="9225" width="7.375" style="2453" hidden="1" customWidth="1"/>
    <col min="9226" max="9226" width="11" style="2453" hidden="1" customWidth="1"/>
    <col min="9227" max="9227" width="12.375" style="2453" hidden="1" customWidth="1"/>
    <col min="9228" max="9228" width="12.625" style="2453" hidden="1" customWidth="1"/>
    <col min="9229" max="9229" width="12.375" style="2453" hidden="1" customWidth="1"/>
    <col min="9230" max="9230" width="5.25" style="2453" hidden="1" customWidth="1"/>
    <col min="9231" max="9231" width="7.5" style="2453" hidden="1" customWidth="1"/>
    <col min="9232" max="9232" width="1.875" style="2453" hidden="1" customWidth="1"/>
    <col min="9233" max="9425" width="9" style="2453" hidden="1" customWidth="1"/>
    <col min="9426" max="9473" width="9" style="2453" hidden="1"/>
    <col min="9474" max="9474" width="2.875" style="2453" hidden="1" customWidth="1"/>
    <col min="9475" max="9475" width="2.625" style="2453" hidden="1" customWidth="1"/>
    <col min="9476" max="9476" width="18" style="2453" hidden="1" customWidth="1"/>
    <col min="9477" max="9477" width="12.5" style="2453" hidden="1" customWidth="1"/>
    <col min="9478" max="9478" width="9.25" style="2453" hidden="1" customWidth="1"/>
    <col min="9479" max="9479" width="6.875" style="2453" hidden="1" customWidth="1"/>
    <col min="9480" max="9480" width="5.125" style="2453" hidden="1" customWidth="1"/>
    <col min="9481" max="9481" width="7.375" style="2453" hidden="1" customWidth="1"/>
    <col min="9482" max="9482" width="11" style="2453" hidden="1" customWidth="1"/>
    <col min="9483" max="9483" width="12.375" style="2453" hidden="1" customWidth="1"/>
    <col min="9484" max="9484" width="12.625" style="2453" hidden="1" customWidth="1"/>
    <col min="9485" max="9485" width="12.375" style="2453" hidden="1" customWidth="1"/>
    <col min="9486" max="9486" width="5.25" style="2453" hidden="1" customWidth="1"/>
    <col min="9487" max="9487" width="7.5" style="2453" hidden="1" customWidth="1"/>
    <col min="9488" max="9488" width="1.875" style="2453" hidden="1" customWidth="1"/>
    <col min="9489" max="9681" width="9" style="2453" hidden="1" customWidth="1"/>
    <col min="9682" max="9729" width="9" style="2453" hidden="1"/>
    <col min="9730" max="9730" width="2.875" style="2453" hidden="1" customWidth="1"/>
    <col min="9731" max="9731" width="2.625" style="2453" hidden="1" customWidth="1"/>
    <col min="9732" max="9732" width="18" style="2453" hidden="1" customWidth="1"/>
    <col min="9733" max="9733" width="12.5" style="2453" hidden="1" customWidth="1"/>
    <col min="9734" max="9734" width="9.25" style="2453" hidden="1" customWidth="1"/>
    <col min="9735" max="9735" width="6.875" style="2453" hidden="1" customWidth="1"/>
    <col min="9736" max="9736" width="5.125" style="2453" hidden="1" customWidth="1"/>
    <col min="9737" max="9737" width="7.375" style="2453" hidden="1" customWidth="1"/>
    <col min="9738" max="9738" width="11" style="2453" hidden="1" customWidth="1"/>
    <col min="9739" max="9739" width="12.375" style="2453" hidden="1" customWidth="1"/>
    <col min="9740" max="9740" width="12.625" style="2453" hidden="1" customWidth="1"/>
    <col min="9741" max="9741" width="12.375" style="2453" hidden="1" customWidth="1"/>
    <col min="9742" max="9742" width="5.25" style="2453" hidden="1" customWidth="1"/>
    <col min="9743" max="9743" width="7.5" style="2453" hidden="1" customWidth="1"/>
    <col min="9744" max="9744" width="1.875" style="2453" hidden="1" customWidth="1"/>
    <col min="9745" max="9937" width="9" style="2453" hidden="1" customWidth="1"/>
    <col min="9938" max="9985" width="9" style="2453" hidden="1"/>
    <col min="9986" max="9986" width="2.875" style="2453" hidden="1" customWidth="1"/>
    <col min="9987" max="9987" width="2.625" style="2453" hidden="1" customWidth="1"/>
    <col min="9988" max="9988" width="18" style="2453" hidden="1" customWidth="1"/>
    <col min="9989" max="9989" width="12.5" style="2453" hidden="1" customWidth="1"/>
    <col min="9990" max="9990" width="9.25" style="2453" hidden="1" customWidth="1"/>
    <col min="9991" max="9991" width="6.875" style="2453" hidden="1" customWidth="1"/>
    <col min="9992" max="9992" width="5.125" style="2453" hidden="1" customWidth="1"/>
    <col min="9993" max="9993" width="7.375" style="2453" hidden="1" customWidth="1"/>
    <col min="9994" max="9994" width="11" style="2453" hidden="1" customWidth="1"/>
    <col min="9995" max="9995" width="12.375" style="2453" hidden="1" customWidth="1"/>
    <col min="9996" max="9996" width="12.625" style="2453" hidden="1" customWidth="1"/>
    <col min="9997" max="9997" width="12.375" style="2453" hidden="1" customWidth="1"/>
    <col min="9998" max="9998" width="5.25" style="2453" hidden="1" customWidth="1"/>
    <col min="9999" max="9999" width="7.5" style="2453" hidden="1" customWidth="1"/>
    <col min="10000" max="10000" width="1.875" style="2453" hidden="1" customWidth="1"/>
    <col min="10001" max="10193" width="9" style="2453" hidden="1" customWidth="1"/>
    <col min="10194" max="10241" width="9" style="2453" hidden="1"/>
    <col min="10242" max="10242" width="2.875" style="2453" hidden="1" customWidth="1"/>
    <col min="10243" max="10243" width="2.625" style="2453" hidden="1" customWidth="1"/>
    <col min="10244" max="10244" width="18" style="2453" hidden="1" customWidth="1"/>
    <col min="10245" max="10245" width="12.5" style="2453" hidden="1" customWidth="1"/>
    <col min="10246" max="10246" width="9.25" style="2453" hidden="1" customWidth="1"/>
    <col min="10247" max="10247" width="6.875" style="2453" hidden="1" customWidth="1"/>
    <col min="10248" max="10248" width="5.125" style="2453" hidden="1" customWidth="1"/>
    <col min="10249" max="10249" width="7.375" style="2453" hidden="1" customWidth="1"/>
    <col min="10250" max="10250" width="11" style="2453" hidden="1" customWidth="1"/>
    <col min="10251" max="10251" width="12.375" style="2453" hidden="1" customWidth="1"/>
    <col min="10252" max="10252" width="12.625" style="2453" hidden="1" customWidth="1"/>
    <col min="10253" max="10253" width="12.375" style="2453" hidden="1" customWidth="1"/>
    <col min="10254" max="10254" width="5.25" style="2453" hidden="1" customWidth="1"/>
    <col min="10255" max="10255" width="7.5" style="2453" hidden="1" customWidth="1"/>
    <col min="10256" max="10256" width="1.875" style="2453" hidden="1" customWidth="1"/>
    <col min="10257" max="10449" width="9" style="2453" hidden="1" customWidth="1"/>
    <col min="10450" max="10497" width="9" style="2453" hidden="1"/>
    <col min="10498" max="10498" width="2.875" style="2453" hidden="1" customWidth="1"/>
    <col min="10499" max="10499" width="2.625" style="2453" hidden="1" customWidth="1"/>
    <col min="10500" max="10500" width="18" style="2453" hidden="1" customWidth="1"/>
    <col min="10501" max="10501" width="12.5" style="2453" hidden="1" customWidth="1"/>
    <col min="10502" max="10502" width="9.25" style="2453" hidden="1" customWidth="1"/>
    <col min="10503" max="10503" width="6.875" style="2453" hidden="1" customWidth="1"/>
    <col min="10504" max="10504" width="5.125" style="2453" hidden="1" customWidth="1"/>
    <col min="10505" max="10505" width="7.375" style="2453" hidden="1" customWidth="1"/>
    <col min="10506" max="10506" width="11" style="2453" hidden="1" customWidth="1"/>
    <col min="10507" max="10507" width="12.375" style="2453" hidden="1" customWidth="1"/>
    <col min="10508" max="10508" width="12.625" style="2453" hidden="1" customWidth="1"/>
    <col min="10509" max="10509" width="12.375" style="2453" hidden="1" customWidth="1"/>
    <col min="10510" max="10510" width="5.25" style="2453" hidden="1" customWidth="1"/>
    <col min="10511" max="10511" width="7.5" style="2453" hidden="1" customWidth="1"/>
    <col min="10512" max="10512" width="1.875" style="2453" hidden="1" customWidth="1"/>
    <col min="10513" max="10705" width="9" style="2453" hidden="1" customWidth="1"/>
    <col min="10706" max="10753" width="9" style="2453" hidden="1"/>
    <col min="10754" max="10754" width="2.875" style="2453" hidden="1" customWidth="1"/>
    <col min="10755" max="10755" width="2.625" style="2453" hidden="1" customWidth="1"/>
    <col min="10756" max="10756" width="18" style="2453" hidden="1" customWidth="1"/>
    <col min="10757" max="10757" width="12.5" style="2453" hidden="1" customWidth="1"/>
    <col min="10758" max="10758" width="9.25" style="2453" hidden="1" customWidth="1"/>
    <col min="10759" max="10759" width="6.875" style="2453" hidden="1" customWidth="1"/>
    <col min="10760" max="10760" width="5.125" style="2453" hidden="1" customWidth="1"/>
    <col min="10761" max="10761" width="7.375" style="2453" hidden="1" customWidth="1"/>
    <col min="10762" max="10762" width="11" style="2453" hidden="1" customWidth="1"/>
    <col min="10763" max="10763" width="12.375" style="2453" hidden="1" customWidth="1"/>
    <col min="10764" max="10764" width="12.625" style="2453" hidden="1" customWidth="1"/>
    <col min="10765" max="10765" width="12.375" style="2453" hidden="1" customWidth="1"/>
    <col min="10766" max="10766" width="5.25" style="2453" hidden="1" customWidth="1"/>
    <col min="10767" max="10767" width="7.5" style="2453" hidden="1" customWidth="1"/>
    <col min="10768" max="10768" width="1.875" style="2453" hidden="1" customWidth="1"/>
    <col min="10769" max="10961" width="9" style="2453" hidden="1" customWidth="1"/>
    <col min="10962" max="11009" width="9" style="2453" hidden="1"/>
    <col min="11010" max="11010" width="2.875" style="2453" hidden="1" customWidth="1"/>
    <col min="11011" max="11011" width="2.625" style="2453" hidden="1" customWidth="1"/>
    <col min="11012" max="11012" width="18" style="2453" hidden="1" customWidth="1"/>
    <col min="11013" max="11013" width="12.5" style="2453" hidden="1" customWidth="1"/>
    <col min="11014" max="11014" width="9.25" style="2453" hidden="1" customWidth="1"/>
    <col min="11015" max="11015" width="6.875" style="2453" hidden="1" customWidth="1"/>
    <col min="11016" max="11016" width="5.125" style="2453" hidden="1" customWidth="1"/>
    <col min="11017" max="11017" width="7.375" style="2453" hidden="1" customWidth="1"/>
    <col min="11018" max="11018" width="11" style="2453" hidden="1" customWidth="1"/>
    <col min="11019" max="11019" width="12.375" style="2453" hidden="1" customWidth="1"/>
    <col min="11020" max="11020" width="12.625" style="2453" hidden="1" customWidth="1"/>
    <col min="11021" max="11021" width="12.375" style="2453" hidden="1" customWidth="1"/>
    <col min="11022" max="11022" width="5.25" style="2453" hidden="1" customWidth="1"/>
    <col min="11023" max="11023" width="7.5" style="2453" hidden="1" customWidth="1"/>
    <col min="11024" max="11024" width="1.875" style="2453" hidden="1" customWidth="1"/>
    <col min="11025" max="11217" width="9" style="2453" hidden="1" customWidth="1"/>
    <col min="11218" max="11265" width="9" style="2453" hidden="1"/>
    <col min="11266" max="11266" width="2.875" style="2453" hidden="1" customWidth="1"/>
    <col min="11267" max="11267" width="2.625" style="2453" hidden="1" customWidth="1"/>
    <col min="11268" max="11268" width="18" style="2453" hidden="1" customWidth="1"/>
    <col min="11269" max="11269" width="12.5" style="2453" hidden="1" customWidth="1"/>
    <col min="11270" max="11270" width="9.25" style="2453" hidden="1" customWidth="1"/>
    <col min="11271" max="11271" width="6.875" style="2453" hidden="1" customWidth="1"/>
    <col min="11272" max="11272" width="5.125" style="2453" hidden="1" customWidth="1"/>
    <col min="11273" max="11273" width="7.375" style="2453" hidden="1" customWidth="1"/>
    <col min="11274" max="11274" width="11" style="2453" hidden="1" customWidth="1"/>
    <col min="11275" max="11275" width="12.375" style="2453" hidden="1" customWidth="1"/>
    <col min="11276" max="11276" width="12.625" style="2453" hidden="1" customWidth="1"/>
    <col min="11277" max="11277" width="12.375" style="2453" hidden="1" customWidth="1"/>
    <col min="11278" max="11278" width="5.25" style="2453" hidden="1" customWidth="1"/>
    <col min="11279" max="11279" width="7.5" style="2453" hidden="1" customWidth="1"/>
    <col min="11280" max="11280" width="1.875" style="2453" hidden="1" customWidth="1"/>
    <col min="11281" max="11473" width="9" style="2453" hidden="1" customWidth="1"/>
    <col min="11474" max="11521" width="9" style="2453" hidden="1"/>
    <col min="11522" max="11522" width="2.875" style="2453" hidden="1" customWidth="1"/>
    <col min="11523" max="11523" width="2.625" style="2453" hidden="1" customWidth="1"/>
    <col min="11524" max="11524" width="18" style="2453" hidden="1" customWidth="1"/>
    <col min="11525" max="11525" width="12.5" style="2453" hidden="1" customWidth="1"/>
    <col min="11526" max="11526" width="9.25" style="2453" hidden="1" customWidth="1"/>
    <col min="11527" max="11527" width="6.875" style="2453" hidden="1" customWidth="1"/>
    <col min="11528" max="11528" width="5.125" style="2453" hidden="1" customWidth="1"/>
    <col min="11529" max="11529" width="7.375" style="2453" hidden="1" customWidth="1"/>
    <col min="11530" max="11530" width="11" style="2453" hidden="1" customWidth="1"/>
    <col min="11531" max="11531" width="12.375" style="2453" hidden="1" customWidth="1"/>
    <col min="11532" max="11532" width="12.625" style="2453" hidden="1" customWidth="1"/>
    <col min="11533" max="11533" width="12.375" style="2453" hidden="1" customWidth="1"/>
    <col min="11534" max="11534" width="5.25" style="2453" hidden="1" customWidth="1"/>
    <col min="11535" max="11535" width="7.5" style="2453" hidden="1" customWidth="1"/>
    <col min="11536" max="11536" width="1.875" style="2453" hidden="1" customWidth="1"/>
    <col min="11537" max="11729" width="9" style="2453" hidden="1" customWidth="1"/>
    <col min="11730" max="11777" width="9" style="2453" hidden="1"/>
    <col min="11778" max="11778" width="2.875" style="2453" hidden="1" customWidth="1"/>
    <col min="11779" max="11779" width="2.625" style="2453" hidden="1" customWidth="1"/>
    <col min="11780" max="11780" width="18" style="2453" hidden="1" customWidth="1"/>
    <col min="11781" max="11781" width="12.5" style="2453" hidden="1" customWidth="1"/>
    <col min="11782" max="11782" width="9.25" style="2453" hidden="1" customWidth="1"/>
    <col min="11783" max="11783" width="6.875" style="2453" hidden="1" customWidth="1"/>
    <col min="11784" max="11784" width="5.125" style="2453" hidden="1" customWidth="1"/>
    <col min="11785" max="11785" width="7.375" style="2453" hidden="1" customWidth="1"/>
    <col min="11786" max="11786" width="11" style="2453" hidden="1" customWidth="1"/>
    <col min="11787" max="11787" width="12.375" style="2453" hidden="1" customWidth="1"/>
    <col min="11788" max="11788" width="12.625" style="2453" hidden="1" customWidth="1"/>
    <col min="11789" max="11789" width="12.375" style="2453" hidden="1" customWidth="1"/>
    <col min="11790" max="11790" width="5.25" style="2453" hidden="1" customWidth="1"/>
    <col min="11791" max="11791" width="7.5" style="2453" hidden="1" customWidth="1"/>
    <col min="11792" max="11792" width="1.875" style="2453" hidden="1" customWidth="1"/>
    <col min="11793" max="11985" width="9" style="2453" hidden="1" customWidth="1"/>
    <col min="11986" max="12033" width="9" style="2453" hidden="1"/>
    <col min="12034" max="12034" width="2.875" style="2453" hidden="1" customWidth="1"/>
    <col min="12035" max="12035" width="2.625" style="2453" hidden="1" customWidth="1"/>
    <col min="12036" max="12036" width="18" style="2453" hidden="1" customWidth="1"/>
    <col min="12037" max="12037" width="12.5" style="2453" hidden="1" customWidth="1"/>
    <col min="12038" max="12038" width="9.25" style="2453" hidden="1" customWidth="1"/>
    <col min="12039" max="12039" width="6.875" style="2453" hidden="1" customWidth="1"/>
    <col min="12040" max="12040" width="5.125" style="2453" hidden="1" customWidth="1"/>
    <col min="12041" max="12041" width="7.375" style="2453" hidden="1" customWidth="1"/>
    <col min="12042" max="12042" width="11" style="2453" hidden="1" customWidth="1"/>
    <col min="12043" max="12043" width="12.375" style="2453" hidden="1" customWidth="1"/>
    <col min="12044" max="12044" width="12.625" style="2453" hidden="1" customWidth="1"/>
    <col min="12045" max="12045" width="12.375" style="2453" hidden="1" customWidth="1"/>
    <col min="12046" max="12046" width="5.25" style="2453" hidden="1" customWidth="1"/>
    <col min="12047" max="12047" width="7.5" style="2453" hidden="1" customWidth="1"/>
    <col min="12048" max="12048" width="1.875" style="2453" hidden="1" customWidth="1"/>
    <col min="12049" max="12241" width="9" style="2453" hidden="1" customWidth="1"/>
    <col min="12242" max="12289" width="9" style="2453" hidden="1"/>
    <col min="12290" max="12290" width="2.875" style="2453" hidden="1" customWidth="1"/>
    <col min="12291" max="12291" width="2.625" style="2453" hidden="1" customWidth="1"/>
    <col min="12292" max="12292" width="18" style="2453" hidden="1" customWidth="1"/>
    <col min="12293" max="12293" width="12.5" style="2453" hidden="1" customWidth="1"/>
    <col min="12294" max="12294" width="9.25" style="2453" hidden="1" customWidth="1"/>
    <col min="12295" max="12295" width="6.875" style="2453" hidden="1" customWidth="1"/>
    <col min="12296" max="12296" width="5.125" style="2453" hidden="1" customWidth="1"/>
    <col min="12297" max="12297" width="7.375" style="2453" hidden="1" customWidth="1"/>
    <col min="12298" max="12298" width="11" style="2453" hidden="1" customWidth="1"/>
    <col min="12299" max="12299" width="12.375" style="2453" hidden="1" customWidth="1"/>
    <col min="12300" max="12300" width="12.625" style="2453" hidden="1" customWidth="1"/>
    <col min="12301" max="12301" width="12.375" style="2453" hidden="1" customWidth="1"/>
    <col min="12302" max="12302" width="5.25" style="2453" hidden="1" customWidth="1"/>
    <col min="12303" max="12303" width="7.5" style="2453" hidden="1" customWidth="1"/>
    <col min="12304" max="12304" width="1.875" style="2453" hidden="1" customWidth="1"/>
    <col min="12305" max="12497" width="9" style="2453" hidden="1" customWidth="1"/>
    <col min="12498" max="12545" width="9" style="2453" hidden="1"/>
    <col min="12546" max="12546" width="2.875" style="2453" hidden="1" customWidth="1"/>
    <col min="12547" max="12547" width="2.625" style="2453" hidden="1" customWidth="1"/>
    <col min="12548" max="12548" width="18" style="2453" hidden="1" customWidth="1"/>
    <col min="12549" max="12549" width="12.5" style="2453" hidden="1" customWidth="1"/>
    <col min="12550" max="12550" width="9.25" style="2453" hidden="1" customWidth="1"/>
    <col min="12551" max="12551" width="6.875" style="2453" hidden="1" customWidth="1"/>
    <col min="12552" max="12552" width="5.125" style="2453" hidden="1" customWidth="1"/>
    <col min="12553" max="12553" width="7.375" style="2453" hidden="1" customWidth="1"/>
    <col min="12554" max="12554" width="11" style="2453" hidden="1" customWidth="1"/>
    <col min="12555" max="12555" width="12.375" style="2453" hidden="1" customWidth="1"/>
    <col min="12556" max="12556" width="12.625" style="2453" hidden="1" customWidth="1"/>
    <col min="12557" max="12557" width="12.375" style="2453" hidden="1" customWidth="1"/>
    <col min="12558" max="12558" width="5.25" style="2453" hidden="1" customWidth="1"/>
    <col min="12559" max="12559" width="7.5" style="2453" hidden="1" customWidth="1"/>
    <col min="12560" max="12560" width="1.875" style="2453" hidden="1" customWidth="1"/>
    <col min="12561" max="12753" width="9" style="2453" hidden="1" customWidth="1"/>
    <col min="12754" max="12801" width="9" style="2453" hidden="1"/>
    <col min="12802" max="12802" width="2.875" style="2453" hidden="1" customWidth="1"/>
    <col min="12803" max="12803" width="2.625" style="2453" hidden="1" customWidth="1"/>
    <col min="12804" max="12804" width="18" style="2453" hidden="1" customWidth="1"/>
    <col min="12805" max="12805" width="12.5" style="2453" hidden="1" customWidth="1"/>
    <col min="12806" max="12806" width="9.25" style="2453" hidden="1" customWidth="1"/>
    <col min="12807" max="12807" width="6.875" style="2453" hidden="1" customWidth="1"/>
    <col min="12808" max="12808" width="5.125" style="2453" hidden="1" customWidth="1"/>
    <col min="12809" max="12809" width="7.375" style="2453" hidden="1" customWidth="1"/>
    <col min="12810" max="12810" width="11" style="2453" hidden="1" customWidth="1"/>
    <col min="12811" max="12811" width="12.375" style="2453" hidden="1" customWidth="1"/>
    <col min="12812" max="12812" width="12.625" style="2453" hidden="1" customWidth="1"/>
    <col min="12813" max="12813" width="12.375" style="2453" hidden="1" customWidth="1"/>
    <col min="12814" max="12814" width="5.25" style="2453" hidden="1" customWidth="1"/>
    <col min="12815" max="12815" width="7.5" style="2453" hidden="1" customWidth="1"/>
    <col min="12816" max="12816" width="1.875" style="2453" hidden="1" customWidth="1"/>
    <col min="12817" max="13009" width="9" style="2453" hidden="1" customWidth="1"/>
    <col min="13010" max="13057" width="9" style="2453" hidden="1"/>
    <col min="13058" max="13058" width="2.875" style="2453" hidden="1" customWidth="1"/>
    <col min="13059" max="13059" width="2.625" style="2453" hidden="1" customWidth="1"/>
    <col min="13060" max="13060" width="18" style="2453" hidden="1" customWidth="1"/>
    <col min="13061" max="13061" width="12.5" style="2453" hidden="1" customWidth="1"/>
    <col min="13062" max="13062" width="9.25" style="2453" hidden="1" customWidth="1"/>
    <col min="13063" max="13063" width="6.875" style="2453" hidden="1" customWidth="1"/>
    <col min="13064" max="13064" width="5.125" style="2453" hidden="1" customWidth="1"/>
    <col min="13065" max="13065" width="7.375" style="2453" hidden="1" customWidth="1"/>
    <col min="13066" max="13066" width="11" style="2453" hidden="1" customWidth="1"/>
    <col min="13067" max="13067" width="12.375" style="2453" hidden="1" customWidth="1"/>
    <col min="13068" max="13068" width="12.625" style="2453" hidden="1" customWidth="1"/>
    <col min="13069" max="13069" width="12.375" style="2453" hidden="1" customWidth="1"/>
    <col min="13070" max="13070" width="5.25" style="2453" hidden="1" customWidth="1"/>
    <col min="13071" max="13071" width="7.5" style="2453" hidden="1" customWidth="1"/>
    <col min="13072" max="13072" width="1.875" style="2453" hidden="1" customWidth="1"/>
    <col min="13073" max="13265" width="9" style="2453" hidden="1" customWidth="1"/>
    <col min="13266" max="13313" width="9" style="2453" hidden="1"/>
    <col min="13314" max="13314" width="2.875" style="2453" hidden="1" customWidth="1"/>
    <col min="13315" max="13315" width="2.625" style="2453" hidden="1" customWidth="1"/>
    <col min="13316" max="13316" width="18" style="2453" hidden="1" customWidth="1"/>
    <col min="13317" max="13317" width="12.5" style="2453" hidden="1" customWidth="1"/>
    <col min="13318" max="13318" width="9.25" style="2453" hidden="1" customWidth="1"/>
    <col min="13319" max="13319" width="6.875" style="2453" hidden="1" customWidth="1"/>
    <col min="13320" max="13320" width="5.125" style="2453" hidden="1" customWidth="1"/>
    <col min="13321" max="13321" width="7.375" style="2453" hidden="1" customWidth="1"/>
    <col min="13322" max="13322" width="11" style="2453" hidden="1" customWidth="1"/>
    <col min="13323" max="13323" width="12.375" style="2453" hidden="1" customWidth="1"/>
    <col min="13324" max="13324" width="12.625" style="2453" hidden="1" customWidth="1"/>
    <col min="13325" max="13325" width="12.375" style="2453" hidden="1" customWidth="1"/>
    <col min="13326" max="13326" width="5.25" style="2453" hidden="1" customWidth="1"/>
    <col min="13327" max="13327" width="7.5" style="2453" hidden="1" customWidth="1"/>
    <col min="13328" max="13328" width="1.875" style="2453" hidden="1" customWidth="1"/>
    <col min="13329" max="13521" width="9" style="2453" hidden="1" customWidth="1"/>
    <col min="13522" max="13569" width="9" style="2453" hidden="1"/>
    <col min="13570" max="13570" width="2.875" style="2453" hidden="1" customWidth="1"/>
    <col min="13571" max="13571" width="2.625" style="2453" hidden="1" customWidth="1"/>
    <col min="13572" max="13572" width="18" style="2453" hidden="1" customWidth="1"/>
    <col min="13573" max="13573" width="12.5" style="2453" hidden="1" customWidth="1"/>
    <col min="13574" max="13574" width="9.25" style="2453" hidden="1" customWidth="1"/>
    <col min="13575" max="13575" width="6.875" style="2453" hidden="1" customWidth="1"/>
    <col min="13576" max="13576" width="5.125" style="2453" hidden="1" customWidth="1"/>
    <col min="13577" max="13577" width="7.375" style="2453" hidden="1" customWidth="1"/>
    <col min="13578" max="13578" width="11" style="2453" hidden="1" customWidth="1"/>
    <col min="13579" max="13579" width="12.375" style="2453" hidden="1" customWidth="1"/>
    <col min="13580" max="13580" width="12.625" style="2453" hidden="1" customWidth="1"/>
    <col min="13581" max="13581" width="12.375" style="2453" hidden="1" customWidth="1"/>
    <col min="13582" max="13582" width="5.25" style="2453" hidden="1" customWidth="1"/>
    <col min="13583" max="13583" width="7.5" style="2453" hidden="1" customWidth="1"/>
    <col min="13584" max="13584" width="1.875" style="2453" hidden="1" customWidth="1"/>
    <col min="13585" max="13777" width="9" style="2453" hidden="1" customWidth="1"/>
    <col min="13778" max="13825" width="9" style="2453" hidden="1"/>
    <col min="13826" max="13826" width="2.875" style="2453" hidden="1" customWidth="1"/>
    <col min="13827" max="13827" width="2.625" style="2453" hidden="1" customWidth="1"/>
    <col min="13828" max="13828" width="18" style="2453" hidden="1" customWidth="1"/>
    <col min="13829" max="13829" width="12.5" style="2453" hidden="1" customWidth="1"/>
    <col min="13830" max="13830" width="9.25" style="2453" hidden="1" customWidth="1"/>
    <col min="13831" max="13831" width="6.875" style="2453" hidden="1" customWidth="1"/>
    <col min="13832" max="13832" width="5.125" style="2453" hidden="1" customWidth="1"/>
    <col min="13833" max="13833" width="7.375" style="2453" hidden="1" customWidth="1"/>
    <col min="13834" max="13834" width="11" style="2453" hidden="1" customWidth="1"/>
    <col min="13835" max="13835" width="12.375" style="2453" hidden="1" customWidth="1"/>
    <col min="13836" max="13836" width="12.625" style="2453" hidden="1" customWidth="1"/>
    <col min="13837" max="13837" width="12.375" style="2453" hidden="1" customWidth="1"/>
    <col min="13838" max="13838" width="5.25" style="2453" hidden="1" customWidth="1"/>
    <col min="13839" max="13839" width="7.5" style="2453" hidden="1" customWidth="1"/>
    <col min="13840" max="13840" width="1.875" style="2453" hidden="1" customWidth="1"/>
    <col min="13841" max="14033" width="9" style="2453" hidden="1" customWidth="1"/>
    <col min="14034" max="14081" width="9" style="2453" hidden="1"/>
    <col min="14082" max="14082" width="2.875" style="2453" hidden="1" customWidth="1"/>
    <col min="14083" max="14083" width="2.625" style="2453" hidden="1" customWidth="1"/>
    <col min="14084" max="14084" width="18" style="2453" hidden="1" customWidth="1"/>
    <col min="14085" max="14085" width="12.5" style="2453" hidden="1" customWidth="1"/>
    <col min="14086" max="14086" width="9.25" style="2453" hidden="1" customWidth="1"/>
    <col min="14087" max="14087" width="6.875" style="2453" hidden="1" customWidth="1"/>
    <col min="14088" max="14088" width="5.125" style="2453" hidden="1" customWidth="1"/>
    <col min="14089" max="14089" width="7.375" style="2453" hidden="1" customWidth="1"/>
    <col min="14090" max="14090" width="11" style="2453" hidden="1" customWidth="1"/>
    <col min="14091" max="14091" width="12.375" style="2453" hidden="1" customWidth="1"/>
    <col min="14092" max="14092" width="12.625" style="2453" hidden="1" customWidth="1"/>
    <col min="14093" max="14093" width="12.375" style="2453" hidden="1" customWidth="1"/>
    <col min="14094" max="14094" width="5.25" style="2453" hidden="1" customWidth="1"/>
    <col min="14095" max="14095" width="7.5" style="2453" hidden="1" customWidth="1"/>
    <col min="14096" max="14096" width="1.875" style="2453" hidden="1" customWidth="1"/>
    <col min="14097" max="14289" width="9" style="2453" hidden="1" customWidth="1"/>
    <col min="14290" max="14337" width="9" style="2453" hidden="1"/>
    <col min="14338" max="14338" width="2.875" style="2453" hidden="1" customWidth="1"/>
    <col min="14339" max="14339" width="2.625" style="2453" hidden="1" customWidth="1"/>
    <col min="14340" max="14340" width="18" style="2453" hidden="1" customWidth="1"/>
    <col min="14341" max="14341" width="12.5" style="2453" hidden="1" customWidth="1"/>
    <col min="14342" max="14342" width="9.25" style="2453" hidden="1" customWidth="1"/>
    <col min="14343" max="14343" width="6.875" style="2453" hidden="1" customWidth="1"/>
    <col min="14344" max="14344" width="5.125" style="2453" hidden="1" customWidth="1"/>
    <col min="14345" max="14345" width="7.375" style="2453" hidden="1" customWidth="1"/>
    <col min="14346" max="14346" width="11" style="2453" hidden="1" customWidth="1"/>
    <col min="14347" max="14347" width="12.375" style="2453" hidden="1" customWidth="1"/>
    <col min="14348" max="14348" width="12.625" style="2453" hidden="1" customWidth="1"/>
    <col min="14349" max="14349" width="12.375" style="2453" hidden="1" customWidth="1"/>
    <col min="14350" max="14350" width="5.25" style="2453" hidden="1" customWidth="1"/>
    <col min="14351" max="14351" width="7.5" style="2453" hidden="1" customWidth="1"/>
    <col min="14352" max="14352" width="1.875" style="2453" hidden="1" customWidth="1"/>
    <col min="14353" max="14545" width="9" style="2453" hidden="1" customWidth="1"/>
    <col min="14546" max="14593" width="9" style="2453" hidden="1"/>
    <col min="14594" max="14594" width="2.875" style="2453" hidden="1" customWidth="1"/>
    <col min="14595" max="14595" width="2.625" style="2453" hidden="1" customWidth="1"/>
    <col min="14596" max="14596" width="18" style="2453" hidden="1" customWidth="1"/>
    <col min="14597" max="14597" width="12.5" style="2453" hidden="1" customWidth="1"/>
    <col min="14598" max="14598" width="9.25" style="2453" hidden="1" customWidth="1"/>
    <col min="14599" max="14599" width="6.875" style="2453" hidden="1" customWidth="1"/>
    <col min="14600" max="14600" width="5.125" style="2453" hidden="1" customWidth="1"/>
    <col min="14601" max="14601" width="7.375" style="2453" hidden="1" customWidth="1"/>
    <col min="14602" max="14602" width="11" style="2453" hidden="1" customWidth="1"/>
    <col min="14603" max="14603" width="12.375" style="2453" hidden="1" customWidth="1"/>
    <col min="14604" max="14604" width="12.625" style="2453" hidden="1" customWidth="1"/>
    <col min="14605" max="14605" width="12.375" style="2453" hidden="1" customWidth="1"/>
    <col min="14606" max="14606" width="5.25" style="2453" hidden="1" customWidth="1"/>
    <col min="14607" max="14607" width="7.5" style="2453" hidden="1" customWidth="1"/>
    <col min="14608" max="14608" width="1.875" style="2453" hidden="1" customWidth="1"/>
    <col min="14609" max="14801" width="9" style="2453" hidden="1" customWidth="1"/>
    <col min="14802" max="14849" width="9" style="2453" hidden="1"/>
    <col min="14850" max="14850" width="2.875" style="2453" hidden="1" customWidth="1"/>
    <col min="14851" max="14851" width="2.625" style="2453" hidden="1" customWidth="1"/>
    <col min="14852" max="14852" width="18" style="2453" hidden="1" customWidth="1"/>
    <col min="14853" max="14853" width="12.5" style="2453" hidden="1" customWidth="1"/>
    <col min="14854" max="14854" width="9.25" style="2453" hidden="1" customWidth="1"/>
    <col min="14855" max="14855" width="6.875" style="2453" hidden="1" customWidth="1"/>
    <col min="14856" max="14856" width="5.125" style="2453" hidden="1" customWidth="1"/>
    <col min="14857" max="14857" width="7.375" style="2453" hidden="1" customWidth="1"/>
    <col min="14858" max="14858" width="11" style="2453" hidden="1" customWidth="1"/>
    <col min="14859" max="14859" width="12.375" style="2453" hidden="1" customWidth="1"/>
    <col min="14860" max="14860" width="12.625" style="2453" hidden="1" customWidth="1"/>
    <col min="14861" max="14861" width="12.375" style="2453" hidden="1" customWidth="1"/>
    <col min="14862" max="14862" width="5.25" style="2453" hidden="1" customWidth="1"/>
    <col min="14863" max="14863" width="7.5" style="2453" hidden="1" customWidth="1"/>
    <col min="14864" max="14864" width="1.875" style="2453" hidden="1" customWidth="1"/>
    <col min="14865" max="15057" width="9" style="2453" hidden="1" customWidth="1"/>
    <col min="15058" max="15105" width="9" style="2453" hidden="1"/>
    <col min="15106" max="15106" width="2.875" style="2453" hidden="1" customWidth="1"/>
    <col min="15107" max="15107" width="2.625" style="2453" hidden="1" customWidth="1"/>
    <col min="15108" max="15108" width="18" style="2453" hidden="1" customWidth="1"/>
    <col min="15109" max="15109" width="12.5" style="2453" hidden="1" customWidth="1"/>
    <col min="15110" max="15110" width="9.25" style="2453" hidden="1" customWidth="1"/>
    <col min="15111" max="15111" width="6.875" style="2453" hidden="1" customWidth="1"/>
    <col min="15112" max="15112" width="5.125" style="2453" hidden="1" customWidth="1"/>
    <col min="15113" max="15113" width="7.375" style="2453" hidden="1" customWidth="1"/>
    <col min="15114" max="15114" width="11" style="2453" hidden="1" customWidth="1"/>
    <col min="15115" max="15115" width="12.375" style="2453" hidden="1" customWidth="1"/>
    <col min="15116" max="15116" width="12.625" style="2453" hidden="1" customWidth="1"/>
    <col min="15117" max="15117" width="12.375" style="2453" hidden="1" customWidth="1"/>
    <col min="15118" max="15118" width="5.25" style="2453" hidden="1" customWidth="1"/>
    <col min="15119" max="15119" width="7.5" style="2453" hidden="1" customWidth="1"/>
    <col min="15120" max="15120" width="1.875" style="2453" hidden="1" customWidth="1"/>
    <col min="15121" max="15313" width="9" style="2453" hidden="1" customWidth="1"/>
    <col min="15314" max="15361" width="9" style="2453" hidden="1"/>
    <col min="15362" max="15362" width="2.875" style="2453" hidden="1" customWidth="1"/>
    <col min="15363" max="15363" width="2.625" style="2453" hidden="1" customWidth="1"/>
    <col min="15364" max="15364" width="18" style="2453" hidden="1" customWidth="1"/>
    <col min="15365" max="15365" width="12.5" style="2453" hidden="1" customWidth="1"/>
    <col min="15366" max="15366" width="9.25" style="2453" hidden="1" customWidth="1"/>
    <col min="15367" max="15367" width="6.875" style="2453" hidden="1" customWidth="1"/>
    <col min="15368" max="15368" width="5.125" style="2453" hidden="1" customWidth="1"/>
    <col min="15369" max="15369" width="7.375" style="2453" hidden="1" customWidth="1"/>
    <col min="15370" max="15370" width="11" style="2453" hidden="1" customWidth="1"/>
    <col min="15371" max="15371" width="12.375" style="2453" hidden="1" customWidth="1"/>
    <col min="15372" max="15372" width="12.625" style="2453" hidden="1" customWidth="1"/>
    <col min="15373" max="15373" width="12.375" style="2453" hidden="1" customWidth="1"/>
    <col min="15374" max="15374" width="5.25" style="2453" hidden="1" customWidth="1"/>
    <col min="15375" max="15375" width="7.5" style="2453" hidden="1" customWidth="1"/>
    <col min="15376" max="15376" width="1.875" style="2453" hidden="1" customWidth="1"/>
    <col min="15377" max="15569" width="9" style="2453" hidden="1" customWidth="1"/>
    <col min="15570" max="15617" width="9" style="2453" hidden="1"/>
    <col min="15618" max="15618" width="2.875" style="2453" hidden="1" customWidth="1"/>
    <col min="15619" max="15619" width="2.625" style="2453" hidden="1" customWidth="1"/>
    <col min="15620" max="15620" width="18" style="2453" hidden="1" customWidth="1"/>
    <col min="15621" max="15621" width="12.5" style="2453" hidden="1" customWidth="1"/>
    <col min="15622" max="15622" width="9.25" style="2453" hidden="1" customWidth="1"/>
    <col min="15623" max="15623" width="6.875" style="2453" hidden="1" customWidth="1"/>
    <col min="15624" max="15624" width="5.125" style="2453" hidden="1" customWidth="1"/>
    <col min="15625" max="15625" width="7.375" style="2453" hidden="1" customWidth="1"/>
    <col min="15626" max="15626" width="11" style="2453" hidden="1" customWidth="1"/>
    <col min="15627" max="15627" width="12.375" style="2453" hidden="1" customWidth="1"/>
    <col min="15628" max="15628" width="12.625" style="2453" hidden="1" customWidth="1"/>
    <col min="15629" max="15629" width="12.375" style="2453" hidden="1" customWidth="1"/>
    <col min="15630" max="15630" width="5.25" style="2453" hidden="1" customWidth="1"/>
    <col min="15631" max="15631" width="7.5" style="2453" hidden="1" customWidth="1"/>
    <col min="15632" max="15632" width="1.875" style="2453" hidden="1" customWidth="1"/>
    <col min="15633" max="15825" width="9" style="2453" hidden="1" customWidth="1"/>
    <col min="15826" max="15873" width="9" style="2453" hidden="1"/>
    <col min="15874" max="15874" width="2.875" style="2453" hidden="1" customWidth="1"/>
    <col min="15875" max="15875" width="2.625" style="2453" hidden="1" customWidth="1"/>
    <col min="15876" max="15876" width="18" style="2453" hidden="1" customWidth="1"/>
    <col min="15877" max="15877" width="12.5" style="2453" hidden="1" customWidth="1"/>
    <col min="15878" max="15878" width="9.25" style="2453" hidden="1" customWidth="1"/>
    <col min="15879" max="15879" width="6.875" style="2453" hidden="1" customWidth="1"/>
    <col min="15880" max="15880" width="5.125" style="2453" hidden="1" customWidth="1"/>
    <col min="15881" max="15881" width="7.375" style="2453" hidden="1" customWidth="1"/>
    <col min="15882" max="15882" width="11" style="2453" hidden="1" customWidth="1"/>
    <col min="15883" max="15883" width="12.375" style="2453" hidden="1" customWidth="1"/>
    <col min="15884" max="15884" width="12.625" style="2453" hidden="1" customWidth="1"/>
    <col min="15885" max="15885" width="12.375" style="2453" hidden="1" customWidth="1"/>
    <col min="15886" max="15886" width="5.25" style="2453" hidden="1" customWidth="1"/>
    <col min="15887" max="15887" width="7.5" style="2453" hidden="1" customWidth="1"/>
    <col min="15888" max="15888" width="1.875" style="2453" hidden="1" customWidth="1"/>
    <col min="15889" max="16081" width="9" style="2453" hidden="1" customWidth="1"/>
    <col min="16082" max="16129" width="9" style="2453" hidden="1"/>
    <col min="16130" max="16130" width="2.875" style="2453" hidden="1" customWidth="1"/>
    <col min="16131" max="16131" width="2.625" style="2453" hidden="1" customWidth="1"/>
    <col min="16132" max="16132" width="18" style="2453" hidden="1" customWidth="1"/>
    <col min="16133" max="16133" width="12.5" style="2453" hidden="1" customWidth="1"/>
    <col min="16134" max="16134" width="9.25" style="2453" hidden="1" customWidth="1"/>
    <col min="16135" max="16135" width="6.875" style="2453" hidden="1" customWidth="1"/>
    <col min="16136" max="16136" width="5.125" style="2453" hidden="1" customWidth="1"/>
    <col min="16137" max="16137" width="7.375" style="2453" hidden="1" customWidth="1"/>
    <col min="16138" max="16138" width="11" style="2453" hidden="1" customWidth="1"/>
    <col min="16139" max="16139" width="12.375" style="2453" hidden="1" customWidth="1"/>
    <col min="16140" max="16140" width="12.625" style="2453" hidden="1" customWidth="1"/>
    <col min="16141" max="16141" width="12.375" style="2453" hidden="1" customWidth="1"/>
    <col min="16142" max="16142" width="5.25" style="2453" hidden="1" customWidth="1"/>
    <col min="16143" max="16143" width="7.5" style="2453" hidden="1" customWidth="1"/>
    <col min="16144" max="16144" width="1.875" style="2453" hidden="1" customWidth="1"/>
    <col min="16145" max="16337" width="9" style="2453" hidden="1" customWidth="1"/>
    <col min="16338" max="16384" width="9" style="2453" hidden="1"/>
  </cols>
  <sheetData>
    <row r="1" spans="1:20" ht="12" customHeight="1"/>
    <row r="2" spans="1:20" ht="12" customHeight="1">
      <c r="A2" s="2454"/>
      <c r="B2" s="2454"/>
      <c r="C2" s="2454"/>
      <c r="D2" s="2454"/>
      <c r="E2" s="2454"/>
      <c r="F2" s="2454"/>
      <c r="G2" s="2454"/>
      <c r="H2" s="2454"/>
      <c r="I2" s="2454"/>
      <c r="J2" s="2454"/>
      <c r="K2" s="2454"/>
      <c r="L2" s="2454"/>
      <c r="M2" s="2455"/>
      <c r="N2" s="2456"/>
      <c r="O2" s="2457"/>
      <c r="P2" s="2457"/>
      <c r="Q2" s="2458"/>
    </row>
    <row r="3" spans="1:20" ht="12" customHeight="1">
      <c r="A3" s="2454"/>
      <c r="B3" s="2459"/>
      <c r="C3" s="2459"/>
      <c r="D3" s="2459"/>
      <c r="E3" s="2459"/>
      <c r="F3" s="2459"/>
      <c r="G3" s="2459"/>
      <c r="H3" s="2460"/>
      <c r="I3" s="2460"/>
      <c r="J3" s="2461"/>
      <c r="K3" s="2461"/>
      <c r="L3" s="2459"/>
      <c r="M3" s="2462"/>
      <c r="N3" s="2463"/>
      <c r="O3" s="2457"/>
      <c r="P3" s="2457"/>
      <c r="Q3" s="2458"/>
    </row>
    <row r="4" spans="1:20" ht="12" customHeight="1">
      <c r="A4" s="2454"/>
      <c r="B4" s="2459"/>
      <c r="C4" s="2459"/>
      <c r="D4" s="2459"/>
      <c r="E4" s="2459"/>
      <c r="F4" s="2459"/>
      <c r="G4" s="2459"/>
      <c r="H4" s="2460"/>
      <c r="I4" s="2460"/>
      <c r="J4" s="2461"/>
      <c r="K4" s="2461"/>
      <c r="L4" s="2459"/>
      <c r="M4" s="2462"/>
      <c r="N4" s="2463"/>
      <c r="O4" s="2457"/>
      <c r="P4" s="2457"/>
      <c r="Q4" s="2458"/>
    </row>
    <row r="5" spans="1:20" ht="16.5" customHeight="1">
      <c r="A5" s="2454"/>
      <c r="B5" s="2459"/>
      <c r="C5" s="2459"/>
      <c r="D5" s="2459"/>
      <c r="E5" s="2459"/>
      <c r="F5" s="2459"/>
      <c r="G5" s="2459"/>
      <c r="H5" s="2460"/>
      <c r="I5" s="2460"/>
      <c r="J5" s="2464" t="s">
        <v>1979</v>
      </c>
      <c r="K5" s="2461"/>
      <c r="L5" s="2459"/>
      <c r="M5" s="2462"/>
      <c r="N5" s="2463"/>
      <c r="O5" s="2457"/>
      <c r="P5" s="2457"/>
      <c r="Q5" s="2458"/>
      <c r="R5" s="2465" t="s">
        <v>1980</v>
      </c>
      <c r="S5" s="2466" t="s">
        <v>1005</v>
      </c>
      <c r="T5" s="2466" t="s">
        <v>1861</v>
      </c>
    </row>
    <row r="6" spans="1:20" ht="7.5" customHeight="1">
      <c r="A6" s="2454"/>
      <c r="B6" s="2459"/>
      <c r="C6" s="2467"/>
      <c r="D6" s="2467"/>
      <c r="E6" s="2468"/>
      <c r="F6" s="2459"/>
      <c r="G6" s="2459"/>
      <c r="N6" s="2469"/>
      <c r="O6" s="2457"/>
      <c r="P6" s="2457"/>
      <c r="Q6" s="2458"/>
      <c r="R6" s="2465" t="s">
        <v>1008</v>
      </c>
      <c r="S6" s="2466" t="s">
        <v>1008</v>
      </c>
      <c r="T6" s="2466" t="s">
        <v>1863</v>
      </c>
    </row>
    <row r="7" spans="1:20" ht="12" customHeight="1" thickBot="1">
      <c r="A7" s="2454"/>
      <c r="B7" s="2459"/>
      <c r="C7" s="2467"/>
      <c r="D7" s="3042"/>
      <c r="E7" s="3042"/>
      <c r="F7" s="3042"/>
      <c r="G7" s="3042"/>
      <c r="I7" s="2470"/>
      <c r="J7" s="3043"/>
      <c r="K7" s="3043"/>
      <c r="L7" s="3043"/>
      <c r="O7" s="2457"/>
      <c r="P7" s="2457"/>
      <c r="Q7" s="2458"/>
      <c r="R7" s="2465" t="s">
        <v>1006</v>
      </c>
      <c r="S7" s="2466" t="s">
        <v>1006</v>
      </c>
      <c r="T7" s="2466" t="s">
        <v>1865</v>
      </c>
    </row>
    <row r="8" spans="1:20" ht="15" customHeight="1" thickBot="1">
      <c r="A8" s="2454"/>
      <c r="B8" s="2471" t="s">
        <v>1866</v>
      </c>
      <c r="C8" s="2472"/>
      <c r="D8" s="2473"/>
      <c r="E8" s="828"/>
      <c r="F8" s="828"/>
      <c r="G8" s="828"/>
      <c r="H8" s="828"/>
      <c r="I8" s="828"/>
      <c r="J8" s="2472"/>
      <c r="K8" s="2472"/>
      <c r="L8" s="2472"/>
      <c r="M8" s="2472"/>
      <c r="N8" s="2474"/>
      <c r="O8" s="2457"/>
      <c r="P8" s="2457"/>
      <c r="Q8" s="2458"/>
      <c r="R8" s="2465" t="s">
        <v>1005</v>
      </c>
      <c r="S8" s="2466" t="s">
        <v>1980</v>
      </c>
      <c r="T8" s="2466" t="s">
        <v>1867</v>
      </c>
    </row>
    <row r="9" spans="1:20" ht="18" customHeight="1">
      <c r="A9" s="2475"/>
      <c r="B9" s="2476"/>
      <c r="C9" s="2477" t="s">
        <v>1868</v>
      </c>
      <c r="D9" s="3044">
        <f>メイン!H11</f>
        <v>0</v>
      </c>
      <c r="E9" s="3044"/>
      <c r="F9" s="3044"/>
      <c r="G9" s="3044"/>
      <c r="H9" s="3044"/>
      <c r="I9" s="3045" t="s">
        <v>963</v>
      </c>
      <c r="J9" s="3047" t="e">
        <f>'結果(改修後)'!S13</f>
        <v>#DIV/0!</v>
      </c>
      <c r="K9" s="3047" t="e">
        <f>CHOOSE('結果(改修後)'!S15*5,"C","B-","B+","A","S")</f>
        <v>#DIV/0!</v>
      </c>
      <c r="L9" s="3049" t="e">
        <f>VLOOKUP(K9,S5:T9,2)</f>
        <v>#DIV/0!</v>
      </c>
      <c r="M9" s="3049"/>
      <c r="N9" s="3050"/>
      <c r="O9" s="2457"/>
      <c r="P9" s="2457"/>
      <c r="Q9" s="2458"/>
      <c r="R9" s="2465" t="s">
        <v>1004</v>
      </c>
      <c r="S9" s="2466" t="s">
        <v>1004</v>
      </c>
      <c r="T9" s="2466" t="s">
        <v>1870</v>
      </c>
    </row>
    <row r="10" spans="1:20" ht="18" customHeight="1" thickBot="1">
      <c r="A10" s="2475"/>
      <c r="B10" s="2478"/>
      <c r="C10" s="2479" t="s">
        <v>1871</v>
      </c>
      <c r="D10" s="2828">
        <f>メイン!H19</f>
        <v>0</v>
      </c>
      <c r="E10" s="2480" t="s">
        <v>476</v>
      </c>
      <c r="G10" s="2480"/>
      <c r="I10" s="3046"/>
      <c r="J10" s="3048"/>
      <c r="K10" s="3048"/>
      <c r="L10" s="3049"/>
      <c r="M10" s="3049"/>
      <c r="N10" s="3050"/>
      <c r="O10" s="2457"/>
      <c r="P10" s="2457"/>
      <c r="Q10" s="2458"/>
      <c r="T10" s="2481"/>
    </row>
    <row r="11" spans="1:20" ht="18" customHeight="1">
      <c r="A11" s="2475"/>
      <c r="B11" s="2478"/>
      <c r="C11" s="2479" t="s">
        <v>1872</v>
      </c>
      <c r="D11" s="3051" t="str">
        <f>メイン!H20</f>
        <v>○○</v>
      </c>
      <c r="E11" s="3051"/>
      <c r="F11" s="3051"/>
      <c r="G11" s="3051"/>
      <c r="H11" s="3051"/>
      <c r="I11" s="2482" t="s">
        <v>1873</v>
      </c>
      <c r="K11" s="3052" t="str">
        <f>メイン!C6</f>
        <v>CASBEE京都-改修（2015年版）</v>
      </c>
      <c r="L11" s="3053"/>
      <c r="M11" s="3053"/>
      <c r="N11" s="3054"/>
      <c r="O11" s="2457"/>
      <c r="P11" s="2457"/>
      <c r="Q11" s="2458"/>
      <c r="T11" s="2481"/>
    </row>
    <row r="12" spans="1:20" ht="18" customHeight="1" thickBot="1">
      <c r="A12" s="2475"/>
      <c r="B12" s="2483"/>
      <c r="C12" s="2484"/>
      <c r="D12" s="3055" t="str">
        <f>メイン!H21</f>
        <v/>
      </c>
      <c r="E12" s="3055"/>
      <c r="F12" s="3055"/>
      <c r="G12" s="3055"/>
      <c r="H12" s="3055"/>
      <c r="I12" s="2485" t="s">
        <v>1981</v>
      </c>
      <c r="J12" s="2486"/>
      <c r="K12" s="3056" t="str">
        <f>メイン!C5</f>
        <v>CASBEE京都-改修2015（v.1.0）</v>
      </c>
      <c r="L12" s="3057"/>
      <c r="M12" s="3057"/>
      <c r="N12" s="3058"/>
      <c r="O12" s="2457"/>
      <c r="P12" s="2457"/>
      <c r="Q12" s="2458"/>
      <c r="T12" s="2481"/>
    </row>
    <row r="13" spans="1:20" ht="6" customHeight="1" thickBot="1">
      <c r="A13" s="2454"/>
      <c r="B13" s="2454"/>
      <c r="C13" s="2454"/>
      <c r="D13" s="2454"/>
      <c r="E13" s="2454"/>
      <c r="F13" s="2454"/>
      <c r="G13" s="2454"/>
      <c r="H13" s="2454"/>
      <c r="I13" s="2454"/>
      <c r="J13" s="2454"/>
      <c r="K13" s="2454"/>
      <c r="L13" s="2454"/>
      <c r="M13" s="2455"/>
      <c r="N13" s="2456"/>
      <c r="O13" s="2457"/>
      <c r="P13" s="2457"/>
      <c r="Q13" s="2458"/>
    </row>
    <row r="14" spans="1:20" ht="15" customHeight="1" thickBot="1">
      <c r="A14" s="2454"/>
      <c r="B14" s="2487" t="s">
        <v>1875</v>
      </c>
      <c r="C14" s="2488"/>
      <c r="D14" s="2488"/>
      <c r="E14" s="2489"/>
      <c r="F14" s="2490"/>
      <c r="G14" s="2491"/>
      <c r="H14" s="2491"/>
      <c r="I14" s="2491"/>
      <c r="J14" s="2491"/>
      <c r="K14" s="2491"/>
      <c r="L14" s="2491"/>
      <c r="M14" s="2492"/>
      <c r="N14" s="2493"/>
      <c r="O14" s="2457"/>
      <c r="P14" s="2457"/>
      <c r="Q14" s="2458"/>
    </row>
    <row r="15" spans="1:20" ht="15" customHeight="1" thickBot="1">
      <c r="A15" s="2454"/>
      <c r="B15" s="2494" t="s">
        <v>1982</v>
      </c>
      <c r="C15" s="2495"/>
      <c r="D15" s="2495"/>
      <c r="E15" s="2496"/>
      <c r="F15" s="3059"/>
      <c r="G15" s="3059"/>
      <c r="H15" s="3060"/>
      <c r="I15" s="2497" t="s">
        <v>1877</v>
      </c>
      <c r="J15" s="2495"/>
      <c r="K15" s="2495"/>
      <c r="L15" s="2495"/>
      <c r="M15" s="2495"/>
      <c r="N15" s="2498"/>
      <c r="O15" s="2457"/>
      <c r="P15" s="2457"/>
      <c r="Q15" s="2458"/>
    </row>
    <row r="16" spans="1:20" ht="13.5" customHeight="1" thickBot="1">
      <c r="A16" s="2454"/>
      <c r="B16" s="2499"/>
      <c r="C16" s="3040"/>
      <c r="D16" s="3040"/>
      <c r="E16" s="3040"/>
      <c r="F16" s="3041"/>
      <c r="G16" s="3041"/>
      <c r="H16" s="2500"/>
      <c r="I16" s="2501"/>
      <c r="J16" s="2501"/>
      <c r="K16" s="2501"/>
      <c r="L16" s="2501"/>
      <c r="M16" s="2502"/>
      <c r="N16" s="2503"/>
      <c r="O16" s="2504"/>
      <c r="P16" s="2504"/>
      <c r="Q16" s="2505" t="e">
        <f>ROUND(M27,1)</f>
        <v>#DIV/0!</v>
      </c>
    </row>
    <row r="17" spans="1:17" ht="29.25" customHeight="1" thickBot="1">
      <c r="A17" s="2454"/>
      <c r="B17" s="2506"/>
      <c r="C17" s="3061" t="s">
        <v>1983</v>
      </c>
      <c r="D17" s="3061"/>
      <c r="E17" s="3061"/>
      <c r="F17" s="3062"/>
      <c r="G17" s="3062"/>
      <c r="H17" s="2507"/>
      <c r="I17" s="2508"/>
      <c r="J17" s="2508"/>
      <c r="K17" s="2508"/>
      <c r="L17" s="2508"/>
      <c r="M17" s="2509"/>
      <c r="N17" s="2510"/>
      <c r="O17" s="2511"/>
      <c r="P17" s="2511"/>
      <c r="Q17" s="2512" t="e">
        <f>IF(Q16&gt;N27*0.85,5,IF(Q16&gt;N27*0.7,4,IF(Q16&gt;N27*0.55,3,IF(Q16&gt;N27*0.4,2,1))))</f>
        <v>#DIV/0!</v>
      </c>
    </row>
    <row r="18" spans="1:17" ht="13.5" customHeight="1" thickBot="1">
      <c r="A18" s="2454"/>
      <c r="B18" s="2513"/>
      <c r="C18" s="3063"/>
      <c r="D18" s="3063"/>
      <c r="E18" s="3063"/>
      <c r="F18" s="3064"/>
      <c r="G18" s="3064"/>
      <c r="H18" s="2514"/>
      <c r="I18" s="2515"/>
      <c r="J18" s="2515"/>
      <c r="K18" s="2515"/>
      <c r="L18" s="2515"/>
      <c r="M18" s="2516"/>
      <c r="N18" s="2517"/>
      <c r="O18" s="2511"/>
      <c r="P18" s="2511"/>
      <c r="Q18" s="2518"/>
    </row>
    <row r="19" spans="1:17" ht="13.5" customHeight="1" thickBot="1">
      <c r="A19" s="2454"/>
      <c r="B19" s="2519"/>
      <c r="C19" s="3065"/>
      <c r="D19" s="3065"/>
      <c r="E19" s="3065"/>
      <c r="F19" s="3066"/>
      <c r="G19" s="3066"/>
      <c r="H19" s="2520"/>
      <c r="I19" s="2501"/>
      <c r="J19" s="2501"/>
      <c r="K19" s="2501"/>
      <c r="L19" s="2501"/>
      <c r="M19" s="2502"/>
      <c r="N19" s="2503"/>
      <c r="O19" s="2511"/>
      <c r="P19" s="2511"/>
      <c r="Q19" s="2521" t="e">
        <f>ROUND($M$50,1)</f>
        <v>#DIV/0!</v>
      </c>
    </row>
    <row r="20" spans="1:17" ht="29.25" customHeight="1" thickBot="1">
      <c r="A20" s="2454"/>
      <c r="B20" s="2522"/>
      <c r="C20" s="3067" t="s">
        <v>1984</v>
      </c>
      <c r="D20" s="3067"/>
      <c r="E20" s="3067"/>
      <c r="F20" s="3068"/>
      <c r="G20" s="3068"/>
      <c r="H20" s="2523"/>
      <c r="I20" s="2508"/>
      <c r="J20" s="2508"/>
      <c r="K20" s="2508"/>
      <c r="L20" s="2508"/>
      <c r="M20" s="2509"/>
      <c r="N20" s="2510"/>
      <c r="O20" s="2511"/>
      <c r="P20" s="2511"/>
      <c r="Q20" s="2524" t="e">
        <f>IF(Q19&gt;N50*0.85,5,IF(Q19&gt;N50*0.7,4,IF(Q19&gt;N50*0.55,3,IF(Q19&gt;N50*0.4,2,1))))</f>
        <v>#DIV/0!</v>
      </c>
    </row>
    <row r="21" spans="1:17" ht="13.5" customHeight="1" thickBot="1">
      <c r="A21" s="2454"/>
      <c r="B21" s="2525"/>
      <c r="C21" s="3069"/>
      <c r="D21" s="3069"/>
      <c r="E21" s="3069"/>
      <c r="F21" s="3070"/>
      <c r="G21" s="3070"/>
      <c r="H21" s="2526"/>
      <c r="I21" s="2515"/>
      <c r="J21" s="2515"/>
      <c r="K21" s="2515"/>
      <c r="L21" s="2515"/>
      <c r="M21" s="2516"/>
      <c r="N21" s="2517"/>
      <c r="O21" s="2511"/>
      <c r="P21" s="2511"/>
      <c r="Q21" s="2518"/>
    </row>
    <row r="22" spans="1:17" ht="13.5" customHeight="1" thickBot="1">
      <c r="A22" s="2454"/>
      <c r="B22" s="2527"/>
      <c r="C22" s="3071"/>
      <c r="D22" s="3071"/>
      <c r="E22" s="3071"/>
      <c r="F22" s="3072"/>
      <c r="G22" s="3072"/>
      <c r="H22" s="2528"/>
      <c r="I22" s="2501"/>
      <c r="J22" s="2501"/>
      <c r="K22" s="2501"/>
      <c r="L22" s="2501"/>
      <c r="M22" s="2502"/>
      <c r="N22" s="2503"/>
      <c r="O22" s="2511"/>
      <c r="P22" s="2511"/>
      <c r="Q22" s="2529" t="e">
        <f>ROUND($M$67,1)</f>
        <v>#DIV/0!</v>
      </c>
    </row>
    <row r="23" spans="1:17" ht="29.25" customHeight="1" thickBot="1">
      <c r="A23" s="2454"/>
      <c r="B23" s="2530"/>
      <c r="C23" s="3073" t="s">
        <v>1880</v>
      </c>
      <c r="D23" s="3073"/>
      <c r="E23" s="3073"/>
      <c r="F23" s="3073"/>
      <c r="G23" s="3073"/>
      <c r="H23" s="2528"/>
      <c r="I23" s="2508"/>
      <c r="J23" s="2508"/>
      <c r="K23" s="2508"/>
      <c r="L23" s="2508"/>
      <c r="M23" s="2509"/>
      <c r="N23" s="2510"/>
      <c r="O23" s="2511"/>
      <c r="P23" s="2511"/>
      <c r="Q23" s="2531" t="e">
        <f>IF(Q22&gt;N67*0.85,5,IF(Q22&gt;N67*0.7,4,IF(Q22&gt;N67*0.55,3,IF(Q22&gt;N67*0.4,2,1))))</f>
        <v>#DIV/0!</v>
      </c>
    </row>
    <row r="24" spans="1:17" ht="13.5" customHeight="1" thickBot="1">
      <c r="A24" s="2454"/>
      <c r="B24" s="2532"/>
      <c r="C24" s="3074"/>
      <c r="D24" s="3074"/>
      <c r="E24" s="3074"/>
      <c r="F24" s="3075"/>
      <c r="G24" s="3075"/>
      <c r="H24" s="2533"/>
      <c r="I24" s="2534"/>
      <c r="J24" s="2534"/>
      <c r="K24" s="2534"/>
      <c r="L24" s="2534"/>
      <c r="M24" s="2535"/>
      <c r="N24" s="2536"/>
      <c r="O24" s="2511"/>
      <c r="P24" s="2511"/>
      <c r="Q24" s="2537"/>
    </row>
    <row r="25" spans="1:17" ht="6" customHeight="1" thickBot="1">
      <c r="A25" s="2454"/>
      <c r="B25" s="2459"/>
      <c r="C25" s="2459"/>
      <c r="D25" s="2459"/>
      <c r="E25" s="2459"/>
      <c r="F25" s="2459"/>
      <c r="G25" s="2459"/>
      <c r="H25" s="2459"/>
      <c r="I25" s="2459"/>
      <c r="J25" s="2459"/>
      <c r="K25" s="2459"/>
      <c r="L25" s="2459"/>
      <c r="M25" s="2538"/>
      <c r="N25" s="2509"/>
      <c r="O25" s="2457"/>
      <c r="P25" s="2457"/>
      <c r="Q25" s="2458"/>
    </row>
    <row r="26" spans="1:17" ht="15" customHeight="1">
      <c r="A26" s="2454"/>
      <c r="B26" s="2539" t="s">
        <v>1881</v>
      </c>
      <c r="C26" s="2540"/>
      <c r="D26" s="2540"/>
      <c r="E26" s="2541"/>
      <c r="F26" s="2542"/>
      <c r="G26" s="2541"/>
      <c r="H26" s="2543"/>
      <c r="I26" s="2544"/>
      <c r="J26" s="2541"/>
      <c r="K26" s="2541"/>
      <c r="L26" s="2541"/>
      <c r="M26" s="2541"/>
      <c r="N26" s="2545"/>
      <c r="O26" s="2457"/>
      <c r="P26" s="2457"/>
      <c r="Q26" s="2458"/>
    </row>
    <row r="27" spans="1:17" ht="15" customHeight="1">
      <c r="A27" s="2454"/>
      <c r="B27" s="2546">
        <v>1</v>
      </c>
      <c r="C27" s="2547" t="s">
        <v>1882</v>
      </c>
      <c r="D27" s="2547"/>
      <c r="E27" s="2548"/>
      <c r="F27" s="2548"/>
      <c r="G27" s="2548"/>
      <c r="H27" s="2548"/>
      <c r="I27" s="2548"/>
      <c r="J27" s="2548"/>
      <c r="K27" s="2548"/>
      <c r="L27" s="2549" t="s">
        <v>1883</v>
      </c>
      <c r="M27" s="2550" t="e">
        <f>SUM(M28,M38,M45)</f>
        <v>#DIV/0!</v>
      </c>
      <c r="N27" s="2696" t="e">
        <f>SUM(N28,N38,N45)</f>
        <v>#DIV/0!</v>
      </c>
      <c r="O27" s="2457"/>
      <c r="P27" s="2457"/>
      <c r="Q27" s="2458"/>
    </row>
    <row r="28" spans="1:17" ht="15" customHeight="1" thickBot="1">
      <c r="A28" s="2454"/>
      <c r="B28" s="2551"/>
      <c r="C28" s="2552" t="s">
        <v>1884</v>
      </c>
      <c r="D28" s="2553"/>
      <c r="E28" s="2554"/>
      <c r="F28" s="2554"/>
      <c r="G28" s="2554"/>
      <c r="H28" s="2554"/>
      <c r="I28" s="2554"/>
      <c r="J28" s="2554"/>
      <c r="K28" s="2554"/>
      <c r="L28" s="2555" t="s">
        <v>1885</v>
      </c>
      <c r="M28" s="2556" t="e">
        <f>SUM(Q29,N34:N35,N30)</f>
        <v>#DIV/0!</v>
      </c>
      <c r="N28" s="2697" t="e">
        <f>20-SUM(Q30:Q35)</f>
        <v>#DIV/0!</v>
      </c>
      <c r="O28" s="2457"/>
      <c r="P28" s="2457"/>
      <c r="Q28" s="2563" t="s">
        <v>1888</v>
      </c>
    </row>
    <row r="29" spans="1:17" ht="12" customHeight="1" thickBot="1">
      <c r="A29" s="2454"/>
      <c r="B29" s="2557"/>
      <c r="C29" s="2558" t="s">
        <v>1886</v>
      </c>
      <c r="D29" s="2558"/>
      <c r="E29" s="2559"/>
      <c r="F29" s="2559"/>
      <c r="G29" s="2559"/>
      <c r="H29" s="2560"/>
      <c r="I29" s="2561" t="s">
        <v>1887</v>
      </c>
      <c r="J29" s="2559"/>
      <c r="K29" s="2559"/>
      <c r="L29" s="2559"/>
      <c r="M29" s="2559"/>
      <c r="N29" s="2562"/>
      <c r="O29" s="2457"/>
      <c r="P29" s="2457"/>
      <c r="Q29" s="2566" t="e">
        <f>AVERAGE(H30:H34)</f>
        <v>#DIV/0!</v>
      </c>
    </row>
    <row r="30" spans="1:17" ht="12" customHeight="1" thickBot="1">
      <c r="A30" s="2454"/>
      <c r="B30" s="2557"/>
      <c r="C30" s="2559" t="s">
        <v>1889</v>
      </c>
      <c r="D30" s="2559"/>
      <c r="E30" s="2564"/>
      <c r="F30" s="2559"/>
      <c r="G30" s="700" t="s">
        <v>1985</v>
      </c>
      <c r="H30" s="2829" t="e">
        <f>IF(スコア表示!M103=0,"対象外",スコア表示!M103)</f>
        <v>#DIV/0!</v>
      </c>
      <c r="I30" s="2559" t="s">
        <v>1891</v>
      </c>
      <c r="J30" s="2565"/>
      <c r="K30" s="2565"/>
      <c r="L30" s="2559"/>
      <c r="M30" s="700" t="s">
        <v>1985</v>
      </c>
      <c r="N30" s="2830" t="e">
        <f>IF(スコア表示!M80=0,"対象外",スコア表示!M80)</f>
        <v>#DIV/0!</v>
      </c>
      <c r="O30" s="2457"/>
      <c r="P30" s="2457"/>
      <c r="Q30" s="2695" t="e">
        <f>IF(H30="対象外",5,0)</f>
        <v>#DIV/0!</v>
      </c>
    </row>
    <row r="31" spans="1:17" ht="12" customHeight="1" thickBot="1">
      <c r="A31" s="2454"/>
      <c r="B31" s="2557"/>
      <c r="C31" s="2559" t="s">
        <v>1892</v>
      </c>
      <c r="D31" s="2559"/>
      <c r="E31" s="2564"/>
      <c r="F31" s="2559"/>
      <c r="G31" s="700" t="s">
        <v>1985</v>
      </c>
      <c r="H31" s="2831" t="e">
        <f>IF(スコア表示!M104=0,"対象外",スコア表示!M104)</f>
        <v>#DIV/0!</v>
      </c>
      <c r="I31" s="3076" t="s">
        <v>1986</v>
      </c>
      <c r="J31" s="3077"/>
      <c r="K31" s="3077"/>
      <c r="L31" s="3077"/>
      <c r="M31" s="3077"/>
      <c r="N31" s="3078"/>
      <c r="O31" s="2457"/>
      <c r="P31" s="2457"/>
      <c r="Q31" s="2695"/>
    </row>
    <row r="32" spans="1:17" ht="12" customHeight="1" thickBot="1">
      <c r="A32" s="2454"/>
      <c r="B32" s="2557"/>
      <c r="C32" s="2559" t="s">
        <v>1894</v>
      </c>
      <c r="D32" s="2559"/>
      <c r="E32" s="2564"/>
      <c r="F32" s="2559"/>
      <c r="G32" s="700" t="s">
        <v>1985</v>
      </c>
      <c r="H32" s="2831" t="e">
        <f>IF(スコア表示!M105=0,"対象外",スコア表示!M105)</f>
        <v>#DIV/0!</v>
      </c>
      <c r="I32" s="3079"/>
      <c r="J32" s="3080"/>
      <c r="K32" s="3080"/>
      <c r="L32" s="3080"/>
      <c r="M32" s="3080"/>
      <c r="N32" s="3081"/>
      <c r="O32" s="2457"/>
      <c r="P32" s="2457"/>
      <c r="Q32" s="2695" t="e">
        <f>IF(N30="対象外",5,0)</f>
        <v>#DIV/0!</v>
      </c>
    </row>
    <row r="33" spans="1:20" ht="12" customHeight="1" thickBot="1">
      <c r="A33" s="2454"/>
      <c r="B33" s="2557"/>
      <c r="C33" s="2559" t="s">
        <v>1895</v>
      </c>
      <c r="D33" s="2559"/>
      <c r="E33" s="2564"/>
      <c r="F33" s="2559"/>
      <c r="G33" s="700" t="s">
        <v>1985</v>
      </c>
      <c r="H33" s="2829" t="e">
        <f>IF(スコア表示!M106=0,"対象外",スコア表示!M106)</f>
        <v>#DIV/0!</v>
      </c>
      <c r="I33" s="2558" t="s">
        <v>1896</v>
      </c>
      <c r="J33" s="2565"/>
      <c r="K33" s="2565"/>
      <c r="L33" s="2559"/>
      <c r="M33" s="700"/>
      <c r="N33" s="2567"/>
      <c r="O33" s="2457"/>
      <c r="P33" s="2457"/>
      <c r="Q33" s="2698"/>
    </row>
    <row r="34" spans="1:20" ht="12" customHeight="1" thickBot="1">
      <c r="A34" s="2454"/>
      <c r="B34" s="2557"/>
      <c r="C34" s="2568" t="s">
        <v>1897</v>
      </c>
      <c r="D34" s="2559"/>
      <c r="E34" s="2564"/>
      <c r="F34" s="2559"/>
      <c r="G34" s="700" t="s">
        <v>1985</v>
      </c>
      <c r="H34" s="2829" t="e">
        <f>IF(スコア表示!M107=0,"対象外",スコア表示!M107)</f>
        <v>#DIV/0!</v>
      </c>
      <c r="I34" s="2559" t="s">
        <v>1898</v>
      </c>
      <c r="J34" s="2565"/>
      <c r="K34" s="2565"/>
      <c r="L34" s="2559"/>
      <c r="M34" s="700" t="s">
        <v>1985</v>
      </c>
      <c r="N34" s="2829" t="e">
        <f>IF(スコア表示!M66=0,"対象外",スコア表示!M66)</f>
        <v>#DIV/0!</v>
      </c>
      <c r="O34" s="2457"/>
      <c r="P34" s="2457"/>
      <c r="Q34" s="2695" t="e">
        <f>IF(N34="対象外",5,0)</f>
        <v>#DIV/0!</v>
      </c>
    </row>
    <row r="35" spans="1:20" ht="12" customHeight="1" thickBot="1">
      <c r="A35" s="2454"/>
      <c r="B35" s="2557"/>
      <c r="C35" s="2568"/>
      <c r="D35" s="2559" t="s">
        <v>1987</v>
      </c>
      <c r="E35" s="2564"/>
      <c r="F35" s="2559"/>
      <c r="G35" s="700"/>
      <c r="H35" s="2569"/>
      <c r="I35" s="2559" t="s">
        <v>1900</v>
      </c>
      <c r="J35" s="2565"/>
      <c r="K35" s="2565"/>
      <c r="L35" s="2559"/>
      <c r="M35" s="700" t="s">
        <v>1985</v>
      </c>
      <c r="N35" s="2830" t="e">
        <f>IF(重み_後!$D$7=重み_後!$E$7,IF(スコア表示!M100&gt;=スコア表示!Q100,IF(スコア表示!M100=0,"対象外",スコア表示!M100),IF(スコア表示!Q100=0,"対象外",スコア表示!Q100)),IF(重み_後!$D$7&gt;重み_後!$E$7,IF(スコア表示!M100=0,"対象外",スコア表示!M100),IF(スコア表示!Q100=0,"対象外",スコア表示!Q100)))</f>
        <v>#DIV/0!</v>
      </c>
      <c r="O35" s="2457"/>
      <c r="P35" s="2457"/>
      <c r="Q35" s="2695" t="e">
        <f>IF(N35="対象外",5,0)</f>
        <v>#DIV/0!</v>
      </c>
    </row>
    <row r="36" spans="1:20" ht="12" customHeight="1">
      <c r="A36" s="2454"/>
      <c r="B36" s="2570"/>
      <c r="C36" s="3082" t="s">
        <v>1901</v>
      </c>
      <c r="D36" s="3082"/>
      <c r="E36" s="3082"/>
      <c r="F36" s="3082"/>
      <c r="G36" s="3082"/>
      <c r="H36" s="3082"/>
      <c r="I36" s="3082" t="s">
        <v>1986</v>
      </c>
      <c r="J36" s="3082"/>
      <c r="K36" s="3082"/>
      <c r="L36" s="3082"/>
      <c r="M36" s="3082"/>
      <c r="N36" s="3082"/>
      <c r="O36" s="2457"/>
      <c r="P36" s="2457"/>
      <c r="Q36" s="2458"/>
    </row>
    <row r="37" spans="1:20" ht="12" customHeight="1" thickBot="1">
      <c r="A37" s="2454"/>
      <c r="B37" s="2570"/>
      <c r="C37" s="3083"/>
      <c r="D37" s="3083"/>
      <c r="E37" s="3083"/>
      <c r="F37" s="3083"/>
      <c r="G37" s="3083"/>
      <c r="H37" s="3083"/>
      <c r="I37" s="3083"/>
      <c r="J37" s="3083"/>
      <c r="K37" s="3083"/>
      <c r="L37" s="3083"/>
      <c r="M37" s="3083"/>
      <c r="N37" s="3083"/>
      <c r="O37" s="2457"/>
      <c r="P37" s="2457"/>
      <c r="Q37" s="2458"/>
    </row>
    <row r="38" spans="1:20" ht="15" customHeight="1" thickBot="1">
      <c r="A38" s="2454"/>
      <c r="B38" s="2551"/>
      <c r="C38" s="2571" t="s">
        <v>1902</v>
      </c>
      <c r="D38" s="2572"/>
      <c r="E38" s="2573"/>
      <c r="F38" s="2573"/>
      <c r="G38" s="2573"/>
      <c r="H38" s="2573"/>
      <c r="I38" s="2573"/>
      <c r="J38" s="2573"/>
      <c r="K38" s="2573"/>
      <c r="L38" s="2574" t="s">
        <v>1885</v>
      </c>
      <c r="M38" s="2575" t="e">
        <f>SUM(N39:N42)</f>
        <v>#DIV/0!</v>
      </c>
      <c r="N38" s="2699" t="e">
        <f>20-SUM(Q39:Q42)</f>
        <v>#DIV/0!</v>
      </c>
      <c r="O38" s="2457"/>
      <c r="P38" s="2457"/>
      <c r="Q38" s="2458"/>
    </row>
    <row r="39" spans="1:20" ht="12" customHeight="1" thickBot="1">
      <c r="A39" s="2454"/>
      <c r="B39" s="2557"/>
      <c r="C39" s="2559" t="s">
        <v>1903</v>
      </c>
      <c r="D39" s="2559"/>
      <c r="E39" s="2564"/>
      <c r="F39" s="2559"/>
      <c r="I39" s="2559"/>
      <c r="J39" s="2565"/>
      <c r="K39" s="2565"/>
      <c r="L39" s="2559"/>
      <c r="M39" s="2576" t="s">
        <v>1904</v>
      </c>
      <c r="N39" s="2829" t="e">
        <f>IF(スコア表示!M147=0,"対象外",スコア表示!M147)</f>
        <v>#DIV/0!</v>
      </c>
      <c r="O39" s="2457"/>
      <c r="P39" s="2457"/>
      <c r="Q39" s="2695" t="e">
        <f>IF(N39="対象外",5,0)</f>
        <v>#DIV/0!</v>
      </c>
    </row>
    <row r="40" spans="1:20" ht="12" customHeight="1" thickBot="1">
      <c r="A40" s="2454"/>
      <c r="B40" s="2557"/>
      <c r="C40" s="2559" t="s">
        <v>1905</v>
      </c>
      <c r="D40" s="2559"/>
      <c r="E40" s="2564"/>
      <c r="F40" s="2559"/>
      <c r="I40" s="2559"/>
      <c r="J40" s="2565"/>
      <c r="K40" s="2565"/>
      <c r="L40" s="2559"/>
      <c r="M40" s="2576" t="s">
        <v>1904</v>
      </c>
      <c r="N40" s="2829" t="e">
        <f>IF(スコア表示!M149=0,"対象外",スコア表示!M149)</f>
        <v>#DIV/0!</v>
      </c>
      <c r="O40" s="2457"/>
      <c r="P40" s="2457"/>
      <c r="Q40" s="2695" t="e">
        <f>IF(N40="対象外",5,0)</f>
        <v>#DIV/0!</v>
      </c>
    </row>
    <row r="41" spans="1:20" ht="12" customHeight="1" thickBot="1">
      <c r="A41" s="2454"/>
      <c r="B41" s="2557"/>
      <c r="C41" s="2559" t="s">
        <v>1972</v>
      </c>
      <c r="D41" s="2559"/>
      <c r="E41" s="2564"/>
      <c r="F41" s="2559"/>
      <c r="I41" s="2559"/>
      <c r="J41" s="2565"/>
      <c r="K41" s="2565"/>
      <c r="L41" s="2559"/>
      <c r="M41" s="2576" t="s">
        <v>1904</v>
      </c>
      <c r="N41" s="2829" t="e">
        <f>IF(スコア表示!M150=0,"対象外",スコア表示!M150)</f>
        <v>#DIV/0!</v>
      </c>
      <c r="O41" s="2457"/>
      <c r="P41" s="2457"/>
      <c r="Q41" s="2695" t="e">
        <f>IF(N41="対象外",5,0)</f>
        <v>#DIV/0!</v>
      </c>
      <c r="R41" s="2577"/>
      <c r="S41" s="2578"/>
      <c r="T41" s="2578"/>
    </row>
    <row r="42" spans="1:20" ht="12" customHeight="1" thickBot="1">
      <c r="A42" s="2454"/>
      <c r="B42" s="2557"/>
      <c r="C42" s="2568" t="s">
        <v>1906</v>
      </c>
      <c r="D42" s="2559"/>
      <c r="E42" s="2564"/>
      <c r="F42" s="2559"/>
      <c r="G42" s="2579"/>
      <c r="H42" s="2579"/>
      <c r="I42" s="2559"/>
      <c r="J42" s="2565"/>
      <c r="K42" s="2565"/>
      <c r="L42" s="2559"/>
      <c r="M42" s="2580" t="s">
        <v>1988</v>
      </c>
      <c r="N42" s="2830" t="e">
        <f>IF(スコア表示!M152=0,"対象外",スコア表示!M152)</f>
        <v>#DIV/0!</v>
      </c>
      <c r="O42" s="2457"/>
      <c r="P42" s="2457"/>
      <c r="Q42" s="2695" t="e">
        <f>IF(N42="対象外",5,0)</f>
        <v>#DIV/0!</v>
      </c>
      <c r="R42" s="2577"/>
      <c r="S42" s="2578"/>
      <c r="T42" s="2578"/>
    </row>
    <row r="43" spans="1:20" ht="12" customHeight="1">
      <c r="A43" s="2454"/>
      <c r="B43" s="2570" t="s">
        <v>1989</v>
      </c>
      <c r="C43" s="3076" t="s">
        <v>1909</v>
      </c>
      <c r="D43" s="3077"/>
      <c r="E43" s="3077"/>
      <c r="F43" s="3077"/>
      <c r="G43" s="3077"/>
      <c r="H43" s="3077"/>
      <c r="I43" s="3077"/>
      <c r="J43" s="3077"/>
      <c r="K43" s="3077"/>
      <c r="L43" s="3077"/>
      <c r="M43" s="3077"/>
      <c r="N43" s="3078"/>
      <c r="O43" s="2457"/>
      <c r="P43" s="2457"/>
      <c r="Q43" s="2458"/>
      <c r="R43" s="2577"/>
      <c r="S43" s="2578"/>
      <c r="T43" s="2578"/>
    </row>
    <row r="44" spans="1:20" ht="12" customHeight="1" thickBot="1">
      <c r="A44" s="2454"/>
      <c r="B44" s="2570"/>
      <c r="C44" s="3079"/>
      <c r="D44" s="3080"/>
      <c r="E44" s="3080"/>
      <c r="F44" s="3080"/>
      <c r="G44" s="3080"/>
      <c r="H44" s="3080"/>
      <c r="I44" s="3080"/>
      <c r="J44" s="3080"/>
      <c r="K44" s="3080"/>
      <c r="L44" s="3080"/>
      <c r="M44" s="3080"/>
      <c r="N44" s="3081"/>
      <c r="O44" s="2457"/>
      <c r="P44" s="2457"/>
      <c r="Q44" s="2458"/>
    </row>
    <row r="45" spans="1:20" ht="15" customHeight="1" thickBot="1">
      <c r="A45" s="2454"/>
      <c r="B45" s="2581"/>
      <c r="C45" s="2582" t="s">
        <v>1910</v>
      </c>
      <c r="D45" s="2582"/>
      <c r="E45" s="2583"/>
      <c r="F45" s="2583"/>
      <c r="G45" s="2583"/>
      <c r="H45" s="2583"/>
      <c r="I45" s="2583"/>
      <c r="J45" s="2583"/>
      <c r="K45" s="2583"/>
      <c r="L45" s="2574" t="s">
        <v>1885</v>
      </c>
      <c r="M45" s="2584">
        <f>COUNTIF(N46:N48,"○")</f>
        <v>0</v>
      </c>
      <c r="N45" s="2700">
        <f>3-SUM(Q46:Q48)</f>
        <v>3</v>
      </c>
      <c r="O45" s="2585"/>
      <c r="P45" s="2615"/>
      <c r="Q45" s="2586"/>
    </row>
    <row r="46" spans="1:20" ht="12" customHeight="1" thickBot="1">
      <c r="A46" s="2454"/>
      <c r="B46" s="2581"/>
      <c r="C46" s="3088" t="s">
        <v>1911</v>
      </c>
      <c r="D46" s="3088"/>
      <c r="E46" s="3088"/>
      <c r="F46" s="3089" t="s">
        <v>2067</v>
      </c>
      <c r="G46" s="3090"/>
      <c r="H46" s="3090"/>
      <c r="I46" s="3090"/>
      <c r="J46" s="3090"/>
      <c r="K46" s="3090"/>
      <c r="L46" s="3090"/>
      <c r="M46" s="3091"/>
      <c r="N46" s="2832" t="s">
        <v>1914</v>
      </c>
      <c r="O46" s="2457"/>
      <c r="P46" s="2457"/>
      <c r="Q46" s="2695">
        <f>IF(N46="対象外",1,0)</f>
        <v>0</v>
      </c>
    </row>
    <row r="47" spans="1:20" ht="12" customHeight="1" thickBot="1">
      <c r="A47" s="2454"/>
      <c r="B47" s="2581"/>
      <c r="C47" s="3088" t="s">
        <v>1913</v>
      </c>
      <c r="D47" s="3088"/>
      <c r="E47" s="3088"/>
      <c r="F47" s="3092" t="s">
        <v>2070</v>
      </c>
      <c r="G47" s="3093"/>
      <c r="H47" s="3093"/>
      <c r="I47" s="3093"/>
      <c r="J47" s="3093"/>
      <c r="K47" s="3093"/>
      <c r="L47" s="3093"/>
      <c r="M47" s="3093"/>
      <c r="N47" s="2832" t="s">
        <v>1914</v>
      </c>
      <c r="O47" s="2457"/>
      <c r="P47" s="2457"/>
      <c r="Q47" s="2695">
        <f>IF(N47="対象外",1,0)</f>
        <v>0</v>
      </c>
    </row>
    <row r="48" spans="1:20" ht="12" customHeight="1" thickBot="1">
      <c r="A48" s="2454"/>
      <c r="B48" s="2581"/>
      <c r="C48" s="3088" t="s">
        <v>2009</v>
      </c>
      <c r="D48" s="3088"/>
      <c r="E48" s="3088"/>
      <c r="F48" s="3092" t="s">
        <v>1916</v>
      </c>
      <c r="G48" s="3093"/>
      <c r="H48" s="3093"/>
      <c r="I48" s="3093"/>
      <c r="J48" s="3093"/>
      <c r="K48" s="3093"/>
      <c r="L48" s="3093"/>
      <c r="M48" s="2813"/>
      <c r="N48" s="2832" t="s">
        <v>1914</v>
      </c>
      <c r="O48" s="2457"/>
      <c r="P48" s="2457"/>
      <c r="Q48" s="2695">
        <f>IF(N48="対象外",1,0)</f>
        <v>0</v>
      </c>
    </row>
    <row r="49" spans="1:17" ht="12" customHeight="1">
      <c r="A49" s="2454"/>
      <c r="B49" s="2587"/>
      <c r="C49" s="3094"/>
      <c r="D49" s="3093"/>
      <c r="E49" s="2814"/>
      <c r="F49" s="2814"/>
      <c r="G49" s="2823"/>
      <c r="H49" s="2814"/>
      <c r="I49" s="2814"/>
      <c r="J49" s="2814"/>
      <c r="K49" s="2814"/>
      <c r="L49" s="2814"/>
      <c r="M49" s="2814"/>
      <c r="N49" s="2588"/>
      <c r="O49" s="2457"/>
      <c r="P49" s="2457"/>
      <c r="Q49" s="2586"/>
    </row>
    <row r="50" spans="1:17" ht="15" customHeight="1">
      <c r="A50" s="2454"/>
      <c r="B50" s="2589">
        <v>2</v>
      </c>
      <c r="C50" s="2590" t="s">
        <v>1917</v>
      </c>
      <c r="D50" s="2590"/>
      <c r="E50" s="2591"/>
      <c r="F50" s="2591"/>
      <c r="G50" s="2591"/>
      <c r="H50" s="2591"/>
      <c r="I50" s="2591"/>
      <c r="J50" s="2591"/>
      <c r="K50" s="2591"/>
      <c r="L50" s="2592" t="s">
        <v>1883</v>
      </c>
      <c r="M50" s="2592" t="e">
        <f>SUM(G51,M51,M58,M64)</f>
        <v>#DIV/0!</v>
      </c>
      <c r="N50" s="2702" t="e">
        <f>SUM(H51,N51,N58,N64)</f>
        <v>#DIV/0!</v>
      </c>
      <c r="O50" s="2457"/>
      <c r="P50" s="2457"/>
      <c r="Q50" s="2458"/>
    </row>
    <row r="51" spans="1:17" ht="15" customHeight="1">
      <c r="A51" s="2454"/>
      <c r="B51" s="2593"/>
      <c r="C51" s="2594" t="s">
        <v>1918</v>
      </c>
      <c r="D51" s="2594"/>
      <c r="E51" s="2595"/>
      <c r="F51" s="2555" t="s">
        <v>1990</v>
      </c>
      <c r="G51" s="2555" t="e">
        <f>SUM(H53:H55)</f>
        <v>#DIV/0!</v>
      </c>
      <c r="H51" s="2701" t="e">
        <f>15-SUM(Q51:Q53)</f>
        <v>#DIV/0!</v>
      </c>
      <c r="I51" s="2553" t="s">
        <v>1920</v>
      </c>
      <c r="J51" s="2554"/>
      <c r="K51" s="2554"/>
      <c r="L51" s="2555" t="s">
        <v>1990</v>
      </c>
      <c r="M51" s="2555" t="e">
        <f>SUM(N53:N55)</f>
        <v>#DIV/0!</v>
      </c>
      <c r="N51" s="2703" t="e">
        <f>15-SUM(Q54:Q56)</f>
        <v>#DIV/0!</v>
      </c>
      <c r="O51" s="2457"/>
      <c r="P51" s="2457"/>
      <c r="Q51" s="2695" t="e">
        <f>IF(H53="対象外",5,0)</f>
        <v>#DIV/0!</v>
      </c>
    </row>
    <row r="52" spans="1:17" ht="12" customHeight="1" thickBot="1">
      <c r="A52" s="2454"/>
      <c r="B52" s="2596"/>
      <c r="C52" s="2597" t="s">
        <v>1921</v>
      </c>
      <c r="D52" s="2597"/>
      <c r="E52" s="2598"/>
      <c r="F52" s="2598"/>
      <c r="G52" s="2598"/>
      <c r="H52" s="2560"/>
      <c r="I52" s="2558" t="s">
        <v>1922</v>
      </c>
      <c r="J52" s="2559"/>
      <c r="K52" s="2559"/>
      <c r="L52" s="2559"/>
      <c r="M52" s="2559"/>
      <c r="N52" s="2562"/>
      <c r="O52" s="2457"/>
      <c r="P52" s="2457"/>
      <c r="Q52" s="2695" t="e">
        <f>IF(H54="対象外",5,0)</f>
        <v>#DIV/0!</v>
      </c>
    </row>
    <row r="53" spans="1:17" ht="12" customHeight="1" thickBot="1">
      <c r="A53" s="2454"/>
      <c r="B53" s="2596"/>
      <c r="C53" s="2559" t="s">
        <v>1923</v>
      </c>
      <c r="D53" s="2559"/>
      <c r="E53" s="2564"/>
      <c r="F53" s="2559"/>
      <c r="G53" s="2576" t="s">
        <v>1904</v>
      </c>
      <c r="H53" s="2829" t="e">
        <f>IF(重み_後!$D$7=重み_後!$E$7,IF(スコア表示!M68&gt;=スコア表示!Q68,IF(スコア表示!M68=0,"対象外",スコア表示!M68),IF(スコア表示!Q68=0,"対象外",スコア表示!Q68)),IF(重み_後!$D$7&gt;重み_後!$E$7,IF(スコア表示!M68=0,"対象外",スコア表示!M68),IF(スコア表示!Q68=0,"対象外",スコア表示!Q68)))</f>
        <v>#DIV/0!</v>
      </c>
      <c r="I53" s="2559" t="s">
        <v>1924</v>
      </c>
      <c r="J53" s="2559"/>
      <c r="K53" s="2559"/>
      <c r="L53" s="2559"/>
      <c r="M53" s="700" t="s">
        <v>1988</v>
      </c>
      <c r="N53" s="2829" t="e">
        <f>IF(スコア表示!M113=0,"対象外",スコア表示!M113)</f>
        <v>#DIV/0!</v>
      </c>
      <c r="O53" s="2457"/>
      <c r="P53" s="2457"/>
      <c r="Q53" s="2695" t="e">
        <f>IF(H55="対象外",5,0)</f>
        <v>#DIV/0!</v>
      </c>
    </row>
    <row r="54" spans="1:17" ht="12" customHeight="1" thickBot="1">
      <c r="A54" s="2454"/>
      <c r="B54" s="2596"/>
      <c r="C54" s="2559" t="s">
        <v>1925</v>
      </c>
      <c r="D54" s="2559"/>
      <c r="E54" s="2564"/>
      <c r="F54" s="2559"/>
      <c r="G54" s="2576" t="s">
        <v>1904</v>
      </c>
      <c r="H54" s="2829" t="e">
        <f>IF(スコア表示!M110=0,"対象外",スコア表示!M110)</f>
        <v>#DIV/0!</v>
      </c>
      <c r="I54" s="2559" t="s">
        <v>1926</v>
      </c>
      <c r="J54" s="2559"/>
      <c r="K54" s="2559"/>
      <c r="L54" s="2559"/>
      <c r="M54" s="700" t="s">
        <v>1988</v>
      </c>
      <c r="N54" s="2829" t="e">
        <f>IF(スコア表示!M163=0,"対象外",スコア表示!M163)</f>
        <v>#DIV/0!</v>
      </c>
      <c r="O54" s="2457"/>
      <c r="P54" s="2457"/>
      <c r="Q54" s="2695" t="e">
        <f>IF(N53="対象外",5,0)</f>
        <v>#DIV/0!</v>
      </c>
    </row>
    <row r="55" spans="1:17" ht="12" customHeight="1" thickBot="1">
      <c r="A55" s="2454"/>
      <c r="B55" s="2596"/>
      <c r="C55" s="2568" t="s">
        <v>1927</v>
      </c>
      <c r="D55" s="2559"/>
      <c r="E55" s="2564"/>
      <c r="F55" s="2559"/>
      <c r="G55" s="2599" t="s">
        <v>1904</v>
      </c>
      <c r="H55" s="2830" t="e">
        <f>IF(スコア表示!M114=0,"対象外",スコア表示!M114)</f>
        <v>#DIV/0!</v>
      </c>
      <c r="I55" s="3095" t="s">
        <v>1928</v>
      </c>
      <c r="J55" s="3095"/>
      <c r="K55" s="3095"/>
      <c r="L55" s="3095"/>
      <c r="M55" s="700" t="s">
        <v>1988</v>
      </c>
      <c r="N55" s="2830" t="e">
        <f>IF(スコア表示!M180=0,"対象外",スコア表示!M180)</f>
        <v>#DIV/0!</v>
      </c>
      <c r="O55" s="2457"/>
      <c r="P55" s="2457"/>
      <c r="Q55" s="2695" t="e">
        <f>IF(N54="対象外",5,0)</f>
        <v>#DIV/0!</v>
      </c>
    </row>
    <row r="56" spans="1:17" ht="12" customHeight="1">
      <c r="A56" s="2454"/>
      <c r="B56" s="2600"/>
      <c r="C56" s="3082" t="s">
        <v>1909</v>
      </c>
      <c r="D56" s="3082"/>
      <c r="E56" s="3082"/>
      <c r="F56" s="3082"/>
      <c r="G56" s="3082"/>
      <c r="H56" s="3082"/>
      <c r="I56" s="3082" t="s">
        <v>1909</v>
      </c>
      <c r="J56" s="3082"/>
      <c r="K56" s="3082"/>
      <c r="L56" s="3082"/>
      <c r="M56" s="3082"/>
      <c r="N56" s="3082"/>
      <c r="O56" s="2457"/>
      <c r="P56" s="2457"/>
      <c r="Q56" s="2695" t="e">
        <f>IF(N55="対象外",5,0)</f>
        <v>#DIV/0!</v>
      </c>
    </row>
    <row r="57" spans="1:17" ht="12" customHeight="1" thickBot="1">
      <c r="A57" s="2454"/>
      <c r="B57" s="2600"/>
      <c r="C57" s="3083"/>
      <c r="D57" s="3083"/>
      <c r="E57" s="3083"/>
      <c r="F57" s="3083"/>
      <c r="G57" s="3083"/>
      <c r="H57" s="3083"/>
      <c r="I57" s="3083"/>
      <c r="J57" s="3083"/>
      <c r="K57" s="3083"/>
      <c r="L57" s="3083"/>
      <c r="M57" s="3083"/>
      <c r="N57" s="3083"/>
      <c r="O57" s="2457"/>
      <c r="P57" s="2457"/>
      <c r="Q57" s="2695"/>
    </row>
    <row r="58" spans="1:17" ht="15" customHeight="1">
      <c r="A58" s="2454"/>
      <c r="B58" s="2593"/>
      <c r="C58" s="2594" t="s">
        <v>1929</v>
      </c>
      <c r="D58" s="2594"/>
      <c r="E58" s="2595"/>
      <c r="F58" s="2595"/>
      <c r="G58" s="2595"/>
      <c r="H58" s="2595"/>
      <c r="I58" s="2595"/>
      <c r="J58" s="2595"/>
      <c r="K58" s="2595"/>
      <c r="L58" s="2574" t="s">
        <v>1990</v>
      </c>
      <c r="M58" s="2574" t="e">
        <f>SUM(N60:N61)</f>
        <v>#DIV/0!</v>
      </c>
      <c r="N58" s="2704" t="e">
        <f>10-SUM(Q60:Q61)</f>
        <v>#DIV/0!</v>
      </c>
      <c r="O58" s="2457"/>
      <c r="P58" s="2457"/>
      <c r="Q58" s="2698"/>
    </row>
    <row r="59" spans="1:17" ht="12" customHeight="1" thickBot="1">
      <c r="A59" s="2454"/>
      <c r="B59" s="2596"/>
      <c r="C59" s="2597" t="s">
        <v>1930</v>
      </c>
      <c r="D59" s="2597"/>
      <c r="E59" s="2598"/>
      <c r="F59" s="2598"/>
      <c r="G59" s="2598"/>
      <c r="H59" s="2598"/>
      <c r="I59" s="2597"/>
      <c r="J59" s="2598"/>
      <c r="K59" s="2598"/>
      <c r="L59" s="2598"/>
      <c r="M59" s="2598"/>
      <c r="N59" s="2562"/>
      <c r="O59" s="2585"/>
      <c r="P59" s="2615"/>
      <c r="Q59" s="2705"/>
    </row>
    <row r="60" spans="1:17" ht="12" customHeight="1" thickBot="1">
      <c r="A60" s="2454"/>
      <c r="B60" s="2596"/>
      <c r="C60" s="2559" t="s">
        <v>1931</v>
      </c>
      <c r="D60" s="2559"/>
      <c r="E60" s="2564"/>
      <c r="F60" s="2559"/>
      <c r="I60" s="2559"/>
      <c r="J60" s="2565"/>
      <c r="K60" s="2565"/>
      <c r="L60" s="2559"/>
      <c r="M60" s="2576" t="s">
        <v>1904</v>
      </c>
      <c r="N60" s="2829" t="e">
        <f>IF(重み_後!$D$7=重み_後!$E$7,IF(スコア表示!M70&gt;=スコア表示!Q70,IF(スコア表示!M70=0,"対象外",スコア表示!M70),IF(スコア表示!Q70=0,"対象外",スコア表示!Q70)),IF(重み_後!$D$7&gt;重み_後!$E$7,IF(スコア表示!M70=0,"対象外",スコア表示!M70),IF(スコア表示!Q70=0,"対象外",スコア表示!Q70)))</f>
        <v>#DIV/0!</v>
      </c>
      <c r="O60" s="2457"/>
      <c r="P60" s="2457"/>
      <c r="Q60" s="2695" t="e">
        <f>IF(N60="対象外",5,0)</f>
        <v>#DIV/0!</v>
      </c>
    </row>
    <row r="61" spans="1:17" ht="12" customHeight="1" thickBot="1">
      <c r="A61" s="2454"/>
      <c r="B61" s="2596"/>
      <c r="C61" s="2559" t="s">
        <v>1924</v>
      </c>
      <c r="D61" s="2559"/>
      <c r="E61" s="2564"/>
      <c r="F61" s="2559"/>
      <c r="I61" s="2559"/>
      <c r="J61" s="2565"/>
      <c r="K61" s="2565"/>
      <c r="L61" s="2559"/>
      <c r="M61" s="2576" t="s">
        <v>1904</v>
      </c>
      <c r="N61" s="2830" t="e">
        <f>IF(スコア表示!M113=0,"対象外",スコア表示!M113)</f>
        <v>#DIV/0!</v>
      </c>
      <c r="O61" s="2457"/>
      <c r="P61" s="2457"/>
      <c r="Q61" s="2695" t="e">
        <f>IF(N61="対象外",5,0)</f>
        <v>#DIV/0!</v>
      </c>
    </row>
    <row r="62" spans="1:17" ht="12" customHeight="1">
      <c r="A62" s="2454"/>
      <c r="B62" s="2600"/>
      <c r="C62" s="3076" t="s">
        <v>1909</v>
      </c>
      <c r="D62" s="3077"/>
      <c r="E62" s="3077"/>
      <c r="F62" s="3077"/>
      <c r="G62" s="3077"/>
      <c r="H62" s="3077"/>
      <c r="I62" s="3077"/>
      <c r="J62" s="3077"/>
      <c r="K62" s="3077"/>
      <c r="L62" s="3077"/>
      <c r="M62" s="3077"/>
      <c r="N62" s="3078"/>
      <c r="O62" s="2457"/>
      <c r="P62" s="2457"/>
      <c r="Q62" s="2695"/>
    </row>
    <row r="63" spans="1:17" ht="12" customHeight="1" thickBot="1">
      <c r="A63" s="2454"/>
      <c r="B63" s="2600"/>
      <c r="C63" s="3079"/>
      <c r="D63" s="3080"/>
      <c r="E63" s="3080"/>
      <c r="F63" s="3080"/>
      <c r="G63" s="3080"/>
      <c r="H63" s="3080"/>
      <c r="I63" s="3080"/>
      <c r="J63" s="3080"/>
      <c r="K63" s="3080"/>
      <c r="L63" s="3080"/>
      <c r="M63" s="3080"/>
      <c r="N63" s="3081"/>
      <c r="O63" s="2457"/>
      <c r="P63" s="2457"/>
      <c r="Q63" s="2698"/>
    </row>
    <row r="64" spans="1:17" ht="15" customHeight="1" thickBot="1">
      <c r="A64" s="2454"/>
      <c r="B64" s="2601"/>
      <c r="C64" s="2582" t="s">
        <v>1932</v>
      </c>
      <c r="D64" s="2582"/>
      <c r="E64" s="2583"/>
      <c r="F64" s="2583"/>
      <c r="G64" s="2583"/>
      <c r="H64" s="2583"/>
      <c r="I64" s="2583"/>
      <c r="J64" s="2583"/>
      <c r="K64" s="2583"/>
      <c r="L64" s="2574" t="s">
        <v>1885</v>
      </c>
      <c r="M64" s="2584">
        <f>COUNTIF(N65:N66,"○")</f>
        <v>0</v>
      </c>
      <c r="N64" s="2700">
        <f>2-SUM(Q65:Q67)</f>
        <v>2</v>
      </c>
      <c r="O64" s="2457"/>
      <c r="P64" s="2457"/>
      <c r="Q64" s="2698"/>
    </row>
    <row r="65" spans="1:20" ht="13.5" thickBot="1">
      <c r="A65" s="2454"/>
      <c r="B65" s="2601"/>
      <c r="C65" s="3084" t="s">
        <v>1933</v>
      </c>
      <c r="D65" s="3085"/>
      <c r="E65" s="3085"/>
      <c r="F65" s="3085"/>
      <c r="G65" s="3086" t="s">
        <v>1934</v>
      </c>
      <c r="H65" s="3086"/>
      <c r="I65" s="3086"/>
      <c r="J65" s="3086"/>
      <c r="K65" s="3086"/>
      <c r="L65" s="3086"/>
      <c r="M65" s="3087"/>
      <c r="N65" s="2832" t="s">
        <v>1914</v>
      </c>
      <c r="O65" s="2457"/>
      <c r="P65" s="2457"/>
      <c r="Q65" s="2695">
        <f>IF(N65="対象外",1,0)</f>
        <v>0</v>
      </c>
    </row>
    <row r="66" spans="1:20" ht="26.25" customHeight="1" thickBot="1">
      <c r="A66" s="2454"/>
      <c r="B66" s="2602"/>
      <c r="C66" s="3096" t="s">
        <v>1991</v>
      </c>
      <c r="D66" s="3096"/>
      <c r="E66" s="3096"/>
      <c r="F66" s="3096"/>
      <c r="G66" s="3097" t="s">
        <v>1936</v>
      </c>
      <c r="H66" s="3097"/>
      <c r="I66" s="3097"/>
      <c r="J66" s="3097"/>
      <c r="K66" s="3097"/>
      <c r="L66" s="3097"/>
      <c r="M66" s="3097"/>
      <c r="N66" s="2832" t="s">
        <v>1914</v>
      </c>
      <c r="O66" s="2457"/>
      <c r="P66" s="2457"/>
      <c r="Q66" s="2695">
        <f>IF(N66="対象外",1,0)</f>
        <v>0</v>
      </c>
    </row>
    <row r="67" spans="1:20" ht="15" customHeight="1">
      <c r="A67" s="2454"/>
      <c r="B67" s="2603">
        <v>3</v>
      </c>
      <c r="C67" s="2604" t="s">
        <v>1937</v>
      </c>
      <c r="D67" s="2604"/>
      <c r="E67" s="2605"/>
      <c r="F67" s="2605"/>
      <c r="G67" s="2605"/>
      <c r="H67" s="2605"/>
      <c r="I67" s="2605"/>
      <c r="J67" s="2605"/>
      <c r="K67" s="2605"/>
      <c r="L67" s="2606" t="s">
        <v>1938</v>
      </c>
      <c r="M67" s="2606" t="e">
        <f>SUM(M74,M68,M81)</f>
        <v>#DIV/0!</v>
      </c>
      <c r="N67" s="2706" t="e">
        <f>SUM(N68,N74,N81)</f>
        <v>#DIV/0!</v>
      </c>
      <c r="O67" s="2457"/>
      <c r="P67" s="2457"/>
      <c r="Q67" s="2458"/>
    </row>
    <row r="68" spans="1:20" ht="15" customHeight="1" thickBot="1">
      <c r="A68" s="2454"/>
      <c r="B68" s="2603"/>
      <c r="C68" s="2552" t="s">
        <v>1939</v>
      </c>
      <c r="D68" s="2553"/>
      <c r="E68" s="2554"/>
      <c r="F68" s="2554"/>
      <c r="G68" s="2555"/>
      <c r="H68" s="2554"/>
      <c r="I68" s="2554"/>
      <c r="J68" s="2555"/>
      <c r="K68" s="2555"/>
      <c r="L68" s="2555" t="s">
        <v>1938</v>
      </c>
      <c r="M68" s="2555" t="e">
        <f>SUM(N69:N71)</f>
        <v>#DIV/0!</v>
      </c>
      <c r="N68" s="2699" t="e">
        <f>15-SUM(Q69:Q71)</f>
        <v>#DIV/0!</v>
      </c>
      <c r="O68" s="2457"/>
      <c r="P68" s="2457"/>
      <c r="Q68" s="2458"/>
    </row>
    <row r="69" spans="1:20" ht="12" customHeight="1" thickBot="1">
      <c r="A69" s="2454"/>
      <c r="B69" s="2607"/>
      <c r="C69" s="2559" t="s">
        <v>1931</v>
      </c>
      <c r="D69" s="2559"/>
      <c r="E69" s="2608"/>
      <c r="F69" s="2608"/>
      <c r="G69" s="2608"/>
      <c r="H69" s="2609"/>
      <c r="I69" s="2608"/>
      <c r="J69" s="2608"/>
      <c r="K69" s="2608"/>
      <c r="L69" s="2608"/>
      <c r="M69" s="2576" t="s">
        <v>1904</v>
      </c>
      <c r="N69" s="2829" t="e">
        <f>IF(重み_後!$D$7=重み_後!$E$7,IF(スコア表示!M70&gt;=スコア表示!Q70,IF(スコア表示!M70=0,"対象外",スコア表示!M70),IF(スコア表示!Q70=0,"対象外",スコア表示!Q70)),IF(重み_後!$D$7&gt;重み_後!$E$7,IF(スコア表示!M70=0,"対象外",スコア表示!M70),IF(スコア表示!Q70=0,"対象外",スコア表示!Q70)))</f>
        <v>#DIV/0!</v>
      </c>
      <c r="O69" s="2457"/>
      <c r="P69" s="2457"/>
      <c r="Q69" s="2695" t="e">
        <f>IF(N69="対象外",5,0)</f>
        <v>#DIV/0!</v>
      </c>
    </row>
    <row r="70" spans="1:20" ht="12" customHeight="1" thickBot="1">
      <c r="A70" s="2454"/>
      <c r="B70" s="2607"/>
      <c r="C70" s="2559" t="s">
        <v>1924</v>
      </c>
      <c r="D70" s="2559"/>
      <c r="E70" s="2609"/>
      <c r="F70" s="2609"/>
      <c r="G70" s="2609"/>
      <c r="H70" s="2609"/>
      <c r="I70" s="2609"/>
      <c r="J70" s="2609"/>
      <c r="K70" s="2609"/>
      <c r="L70" s="2609"/>
      <c r="M70" s="2576" t="s">
        <v>1904</v>
      </c>
      <c r="N70" s="2829" t="e">
        <f>IF(スコア表示!M113=0,"対象外",スコア表示!M113)</f>
        <v>#DIV/0!</v>
      </c>
      <c r="O70" s="2457"/>
      <c r="P70" s="2457"/>
      <c r="Q70" s="2695" t="e">
        <f>IF(N70="対象外",5,0)</f>
        <v>#DIV/0!</v>
      </c>
    </row>
    <row r="71" spans="1:20" ht="12" customHeight="1" thickBot="1">
      <c r="A71" s="2454"/>
      <c r="B71" s="2607"/>
      <c r="C71" s="2559" t="s">
        <v>1940</v>
      </c>
      <c r="D71" s="2559"/>
      <c r="E71" s="2609"/>
      <c r="F71" s="2609"/>
      <c r="G71" s="2609"/>
      <c r="H71" s="2609"/>
      <c r="I71" s="2609"/>
      <c r="J71" s="2609"/>
      <c r="K71" s="2609"/>
      <c r="L71" s="2609"/>
      <c r="M71" s="2576" t="s">
        <v>1904</v>
      </c>
      <c r="N71" s="2830" t="e">
        <f>IF(スコア表示!M151=0,"対象外",スコア表示!M151)</f>
        <v>#DIV/0!</v>
      </c>
      <c r="O71" s="2457"/>
      <c r="P71" s="2457"/>
      <c r="Q71" s="2695" t="e">
        <f>IF(N71="対象外",5,0)</f>
        <v>#DIV/0!</v>
      </c>
    </row>
    <row r="72" spans="1:20" ht="12" customHeight="1">
      <c r="A72" s="2454"/>
      <c r="B72" s="2603"/>
      <c r="C72" s="3076" t="s">
        <v>1909</v>
      </c>
      <c r="D72" s="3077"/>
      <c r="E72" s="3077"/>
      <c r="F72" s="3077"/>
      <c r="G72" s="3077"/>
      <c r="H72" s="3077"/>
      <c r="I72" s="3077"/>
      <c r="J72" s="3077"/>
      <c r="K72" s="3077"/>
      <c r="L72" s="3077"/>
      <c r="M72" s="3077"/>
      <c r="N72" s="3078"/>
      <c r="O72" s="2457"/>
      <c r="P72" s="2457"/>
      <c r="Q72" s="2698"/>
    </row>
    <row r="73" spans="1:20" ht="12" customHeight="1" thickBot="1">
      <c r="A73" s="2454"/>
      <c r="B73" s="2603"/>
      <c r="C73" s="3079"/>
      <c r="D73" s="3080"/>
      <c r="E73" s="3080"/>
      <c r="F73" s="3080"/>
      <c r="G73" s="3080"/>
      <c r="H73" s="3080"/>
      <c r="I73" s="3080"/>
      <c r="J73" s="3080"/>
      <c r="K73" s="3080"/>
      <c r="L73" s="3080"/>
      <c r="M73" s="3080"/>
      <c r="N73" s="3081"/>
      <c r="O73" s="2610"/>
      <c r="P73" s="2615"/>
      <c r="Q73" s="2705"/>
    </row>
    <row r="74" spans="1:20" ht="15" customHeight="1" thickBot="1">
      <c r="A74" s="2454"/>
      <c r="B74" s="2611"/>
      <c r="C74" s="2612" t="s">
        <v>1992</v>
      </c>
      <c r="D74" s="2613"/>
      <c r="E74" s="2573"/>
      <c r="F74" s="2573"/>
      <c r="G74" s="2574"/>
      <c r="H74" s="2614"/>
      <c r="I74" s="2573"/>
      <c r="J74" s="2574"/>
      <c r="K74" s="2574"/>
      <c r="L74" s="2574" t="s">
        <v>1938</v>
      </c>
      <c r="M74" s="2574" t="e">
        <f>SUM(H75:H78,N75:N76)</f>
        <v>#DIV/0!</v>
      </c>
      <c r="N74" s="2707" t="e">
        <f>30-SUM(Q74:Q79)</f>
        <v>#DIV/0!</v>
      </c>
      <c r="O74" s="2615"/>
      <c r="P74" s="2615"/>
      <c r="Q74" s="2695" t="e">
        <f>IF(H75="対象外",5,0)</f>
        <v>#DIV/0!</v>
      </c>
    </row>
    <row r="75" spans="1:20" ht="12" customHeight="1" thickBot="1">
      <c r="A75" s="2454"/>
      <c r="B75" s="2616"/>
      <c r="C75" s="2559" t="s">
        <v>1942</v>
      </c>
      <c r="D75" s="2559"/>
      <c r="E75" s="2559"/>
      <c r="F75" s="2559"/>
      <c r="G75" s="700" t="s">
        <v>1904</v>
      </c>
      <c r="H75" s="2829" t="e">
        <f>IF(重み_後!$D$7=重み_後!$E$7,IF(スコア表示!M36&gt;=スコア表示!Q36,IF(スコア表示!M36=0,"対象外",スコア表示!M36),IF(スコア表示!Q36=0,"対象外",スコア表示!Q36)),IF(重み_後!$D$7&gt;重み_後!$E$7,IF(スコア表示!M36=0,"対象外",スコア表示!M36),IF(スコア表示!Q36=0,"対象外",スコア表示!Q36)))</f>
        <v>#DIV/0!</v>
      </c>
      <c r="I75" s="2559" t="s">
        <v>1974</v>
      </c>
      <c r="J75" s="2559"/>
      <c r="K75" s="2559"/>
      <c r="L75" s="2559"/>
      <c r="M75" s="700" t="s">
        <v>1904</v>
      </c>
      <c r="N75" s="2829" t="e">
        <f>IF(スコア表示!M119=0,"対象外",スコア表示!M119)</f>
        <v>#DIV/0!</v>
      </c>
      <c r="O75" s="2457"/>
      <c r="P75" s="2457"/>
      <c r="Q75" s="2695" t="e">
        <f>IF(H76="対象外",5,0)</f>
        <v>#DIV/0!</v>
      </c>
      <c r="S75" s="2618"/>
      <c r="T75" s="2618"/>
    </row>
    <row r="76" spans="1:20" s="2578" customFormat="1" ht="12" customHeight="1" thickBot="1">
      <c r="A76" s="2619"/>
      <c r="B76" s="2616"/>
      <c r="C76" s="2559" t="s">
        <v>1944</v>
      </c>
      <c r="D76" s="2559"/>
      <c r="E76" s="2559"/>
      <c r="F76" s="2559"/>
      <c r="G76" s="700" t="s">
        <v>1904</v>
      </c>
      <c r="H76" s="2829" t="e">
        <f>IF(重み_後!$D$7=重み_後!$E$7,IF(スコア表示!M38&gt;=スコア表示!Q38,IF(スコア表示!M38=0,"対象外",スコア表示!M38),IF(スコア表示!Q38=0,"対象外",スコア表示!Q38)),IF(重み_後!$D$7&gt;重み_後!$E$7,IF(スコア表示!M38=0,"対象外",スコア表示!M38),IF(スコア表示!Q38=0,"対象外",スコア表示!Q38)))</f>
        <v>#DIV/0!</v>
      </c>
      <c r="I76" s="2559" t="s">
        <v>1946</v>
      </c>
      <c r="J76" s="2559"/>
      <c r="K76" s="2559"/>
      <c r="L76" s="2559"/>
      <c r="M76" s="700" t="s">
        <v>1904</v>
      </c>
      <c r="N76" s="2833" t="e">
        <f>IF(スコア表示!M144=0,"対象外",スコア表示!M144)</f>
        <v>#DIV/0!</v>
      </c>
      <c r="O76" s="2457"/>
      <c r="P76" s="2457"/>
      <c r="Q76" s="2695" t="e">
        <f>IF(H77="対象外",5,0)</f>
        <v>#DIV/0!</v>
      </c>
      <c r="S76" s="2621"/>
      <c r="T76" s="2618"/>
    </row>
    <row r="77" spans="1:20" ht="12" customHeight="1" thickBot="1">
      <c r="A77" s="2454"/>
      <c r="B77" s="2616"/>
      <c r="C77" s="2559" t="s">
        <v>2010</v>
      </c>
      <c r="D77" s="2559"/>
      <c r="E77" s="2559"/>
      <c r="F77" s="2559"/>
      <c r="G77" s="700" t="s">
        <v>1904</v>
      </c>
      <c r="H77" s="2829" t="e">
        <f>IF(重み_後!$D$7=重み_後!$E$7,IF(スコア表示!M41&gt;=スコア表示!Q41,IF(スコア表示!M41=0,"対象外",スコア表示!M41),IF(スコア表示!Q41=0,"対象外",スコア表示!Q41)),IF(重み_後!$D$7&gt;重み_後!$E$7,IF(スコア表示!M41=0,"対象外",スコア表示!M41),IF(スコア表示!Q41=0,"対象外",スコア表示!Q41)))</f>
        <v>#DIV/0!</v>
      </c>
      <c r="I77" s="2559"/>
      <c r="J77" s="2559"/>
      <c r="K77" s="2559"/>
      <c r="L77" s="2559"/>
      <c r="M77" s="700"/>
      <c r="N77" s="2834"/>
      <c r="O77" s="2457"/>
      <c r="P77" s="2457"/>
      <c r="Q77" s="2695" t="e">
        <f>IF(H78="対象外",5,0)</f>
        <v>#DIV/0!</v>
      </c>
      <c r="S77" s="2618"/>
      <c r="T77" s="2618"/>
    </row>
    <row r="78" spans="1:20" s="2578" customFormat="1" ht="12" customHeight="1" thickBot="1">
      <c r="A78" s="2565"/>
      <c r="B78" s="2616"/>
      <c r="C78" s="2568" t="s">
        <v>1948</v>
      </c>
      <c r="D78" s="2559"/>
      <c r="E78" s="2559"/>
      <c r="F78" s="2559"/>
      <c r="G78" s="700" t="s">
        <v>1904</v>
      </c>
      <c r="H78" s="2830" t="e">
        <f>IF(重み_後!$D$7=重み_後!$E$7,IF(スコア表示!M55&gt;=スコア表示!Q55,IF(スコア表示!M55=0,"対象外",スコア表示!M55),IF(スコア表示!Q55=0,"対象外",スコア表示!Q55)),IF(重み_後!$D$7&gt;重み_後!$E$7,IF(スコア表示!M55=0,"対象外",スコア表示!M55),IF(スコア表示!Q55=0,"対象外",スコア表示!Q55)))</f>
        <v>#DIV/0!</v>
      </c>
      <c r="I78" s="2559"/>
      <c r="J78" s="2559"/>
      <c r="K78" s="2559"/>
      <c r="L78" s="2559"/>
      <c r="M78" s="700"/>
      <c r="N78" s="2622"/>
      <c r="O78" s="2457"/>
      <c r="P78" s="2457"/>
      <c r="Q78" s="2695" t="e">
        <f>IF(N75="対象外",5,0)</f>
        <v>#DIV/0!</v>
      </c>
      <c r="S78" s="2621"/>
      <c r="T78" s="2618"/>
    </row>
    <row r="79" spans="1:20" s="2578" customFormat="1" ht="12" customHeight="1">
      <c r="A79" s="2623"/>
      <c r="B79" s="2624"/>
      <c r="C79" s="3076" t="s">
        <v>1909</v>
      </c>
      <c r="D79" s="3077"/>
      <c r="E79" s="3077"/>
      <c r="F79" s="3077"/>
      <c r="G79" s="3077"/>
      <c r="H79" s="3077"/>
      <c r="I79" s="3077"/>
      <c r="J79" s="3077"/>
      <c r="K79" s="3077"/>
      <c r="L79" s="3077"/>
      <c r="M79" s="3077"/>
      <c r="N79" s="3078"/>
      <c r="O79" s="2457"/>
      <c r="P79" s="2457"/>
      <c r="Q79" s="2695" t="e">
        <f>IF(N76="対象外",5,0)</f>
        <v>#DIV/0!</v>
      </c>
      <c r="S79" s="2621"/>
      <c r="T79" s="2618"/>
    </row>
    <row r="80" spans="1:20" s="2578" customFormat="1" ht="12" customHeight="1" thickBot="1">
      <c r="A80" s="2623"/>
      <c r="B80" s="2625"/>
      <c r="C80" s="3079"/>
      <c r="D80" s="3080"/>
      <c r="E80" s="3080"/>
      <c r="F80" s="3080"/>
      <c r="G80" s="3080"/>
      <c r="H80" s="3080"/>
      <c r="I80" s="3080"/>
      <c r="J80" s="3080"/>
      <c r="K80" s="3080"/>
      <c r="L80" s="3080"/>
      <c r="M80" s="3080"/>
      <c r="N80" s="3081"/>
      <c r="O80" s="2457"/>
      <c r="P80" s="2457"/>
      <c r="Q80" s="2695"/>
      <c r="S80" s="2621"/>
      <c r="T80" s="2618"/>
    </row>
    <row r="81" spans="1:21" ht="15" customHeight="1" thickBot="1">
      <c r="A81" s="2475"/>
      <c r="B81" s="2626"/>
      <c r="C81" s="2627" t="s">
        <v>1932</v>
      </c>
      <c r="D81" s="2582"/>
      <c r="E81" s="2583"/>
      <c r="F81" s="2583"/>
      <c r="G81" s="2583"/>
      <c r="H81" s="2583"/>
      <c r="I81" s="2583"/>
      <c r="J81" s="2583"/>
      <c r="K81" s="2583"/>
      <c r="L81" s="2628" t="s">
        <v>1938</v>
      </c>
      <c r="M81" s="2584">
        <f>COUNTIF(N82:N86,"○")+3</f>
        <v>3</v>
      </c>
      <c r="N81" s="2700">
        <f>8-SUM(Q82:Q86)</f>
        <v>8</v>
      </c>
      <c r="O81" s="2457"/>
      <c r="P81" s="2457"/>
      <c r="Q81" s="2698"/>
    </row>
    <row r="82" spans="1:21" ht="12" customHeight="1" thickBot="1">
      <c r="A82" s="2454"/>
      <c r="B82" s="2626"/>
      <c r="C82" s="3098" t="s">
        <v>1952</v>
      </c>
      <c r="D82" s="3099"/>
      <c r="E82" s="2816"/>
      <c r="F82" s="3099" t="s">
        <v>1912</v>
      </c>
      <c r="G82" s="3100"/>
      <c r="H82" s="3100"/>
      <c r="I82" s="3100"/>
      <c r="J82" s="3100"/>
      <c r="K82" s="3100"/>
      <c r="L82" s="3100"/>
      <c r="M82" s="3101"/>
      <c r="N82" s="2832" t="s">
        <v>1914</v>
      </c>
      <c r="O82" s="2457"/>
      <c r="P82" s="2457"/>
      <c r="Q82" s="2695">
        <f>IF(N82="対象外",1,0)</f>
        <v>0</v>
      </c>
    </row>
    <row r="83" spans="1:21" ht="12" customHeight="1" thickBot="1">
      <c r="A83" s="2454"/>
      <c r="B83" s="2626"/>
      <c r="C83" s="3088" t="s">
        <v>1999</v>
      </c>
      <c r="D83" s="3088"/>
      <c r="E83" s="2816"/>
      <c r="F83" s="3114" t="s">
        <v>2000</v>
      </c>
      <c r="G83" s="3115"/>
      <c r="H83" s="3115"/>
      <c r="I83" s="3115"/>
      <c r="J83" s="3115"/>
      <c r="K83" s="3115"/>
      <c r="L83" s="3115"/>
      <c r="M83" s="3116"/>
      <c r="N83" s="2832" t="s">
        <v>1914</v>
      </c>
      <c r="O83" s="2457"/>
      <c r="P83" s="2457"/>
      <c r="Q83" s="2695">
        <f>IF(N83="対象外",1,0)</f>
        <v>0</v>
      </c>
    </row>
    <row r="84" spans="1:21" ht="12" customHeight="1" thickBot="1">
      <c r="A84" s="2454"/>
      <c r="B84" s="2626"/>
      <c r="C84" s="3094" t="s">
        <v>2011</v>
      </c>
      <c r="D84" s="3117"/>
      <c r="E84" s="2819"/>
      <c r="F84" s="3118" t="s">
        <v>2000</v>
      </c>
      <c r="G84" s="3119"/>
      <c r="H84" s="3119"/>
      <c r="I84" s="3119"/>
      <c r="J84" s="3119"/>
      <c r="K84" s="3119"/>
      <c r="L84" s="3119"/>
      <c r="M84" s="3116"/>
      <c r="N84" s="2832" t="s">
        <v>1914</v>
      </c>
      <c r="O84" s="2457"/>
      <c r="P84" s="2457"/>
      <c r="Q84" s="2695">
        <f t="shared" ref="Q84" si="0">IF(N84="対象外",1,0)</f>
        <v>0</v>
      </c>
    </row>
    <row r="85" spans="1:21" ht="12" customHeight="1" thickBot="1">
      <c r="A85" s="2454"/>
      <c r="B85" s="2626"/>
      <c r="C85" s="3129" t="s">
        <v>1975</v>
      </c>
      <c r="D85" s="3130"/>
      <c r="E85" s="3130"/>
      <c r="F85" s="3118" t="s">
        <v>1976</v>
      </c>
      <c r="G85" s="3119"/>
      <c r="H85" s="3119"/>
      <c r="I85" s="3119"/>
      <c r="J85" s="3119"/>
      <c r="K85" s="3119"/>
      <c r="L85" s="3119"/>
      <c r="M85" s="3133"/>
      <c r="N85" s="2832" t="s">
        <v>1914</v>
      </c>
      <c r="O85" s="2457"/>
      <c r="P85" s="2457"/>
      <c r="Q85" s="2695">
        <f>IF(N85="対象外",4,0)</f>
        <v>0</v>
      </c>
      <c r="R85" s="2695"/>
      <c r="S85" s="2695"/>
      <c r="T85" s="2451"/>
      <c r="U85" s="2451"/>
    </row>
    <row r="86" spans="1:21" ht="12" customHeight="1" thickBot="1">
      <c r="A86" s="2454"/>
      <c r="B86" s="2629"/>
      <c r="C86" s="3131"/>
      <c r="D86" s="3132"/>
      <c r="E86" s="3132"/>
      <c r="F86" s="3134" t="s">
        <v>1977</v>
      </c>
      <c r="G86" s="3135"/>
      <c r="H86" s="3135"/>
      <c r="I86" s="3135"/>
      <c r="J86" s="3135"/>
      <c r="K86" s="3135"/>
      <c r="L86" s="3135"/>
      <c r="M86" s="3136"/>
      <c r="N86" s="2832" t="s">
        <v>1914</v>
      </c>
      <c r="O86" s="2457"/>
      <c r="P86" s="2457"/>
      <c r="Q86" s="2695">
        <f>IF(N86="対象外",1,0)</f>
        <v>0</v>
      </c>
      <c r="R86" s="2695"/>
      <c r="S86" s="2695"/>
      <c r="T86" s="2451"/>
      <c r="U86" s="2451"/>
    </row>
    <row r="87" spans="1:21" ht="6" customHeight="1" thickBot="1">
      <c r="A87" s="2454"/>
      <c r="B87" s="2630"/>
      <c r="C87" s="2813"/>
      <c r="D87" s="2813"/>
      <c r="E87" s="2813"/>
      <c r="F87" s="2813"/>
      <c r="G87" s="2813"/>
      <c r="H87" s="2813"/>
      <c r="I87" s="2813"/>
      <c r="J87" s="2813"/>
      <c r="K87" s="2813"/>
      <c r="L87" s="2813"/>
      <c r="M87" s="2813"/>
      <c r="N87" s="2631"/>
      <c r="O87" s="2457"/>
      <c r="P87" s="2457"/>
      <c r="Q87" s="2458"/>
    </row>
    <row r="88" spans="1:21" ht="15" customHeight="1" thickBot="1">
      <c r="A88" s="2454"/>
      <c r="B88" s="2487" t="s">
        <v>1955</v>
      </c>
      <c r="C88" s="2488"/>
      <c r="D88" s="2632"/>
      <c r="E88" s="2632"/>
      <c r="F88" s="2633"/>
      <c r="G88" s="2632"/>
      <c r="H88" s="866"/>
      <c r="I88" s="2634"/>
      <c r="J88" s="2635"/>
      <c r="K88" s="2632"/>
      <c r="L88" s="2632"/>
      <c r="M88" s="2632"/>
      <c r="N88" s="2636"/>
      <c r="O88" s="2457"/>
      <c r="P88" s="2457"/>
      <c r="Q88" s="2809" t="b">
        <v>0</v>
      </c>
      <c r="R88" s="2617" t="s">
        <v>1993</v>
      </c>
    </row>
    <row r="89" spans="1:21" ht="12" customHeight="1">
      <c r="A89" s="2454"/>
      <c r="B89" s="2637"/>
      <c r="C89" s="3120"/>
      <c r="D89" s="3121"/>
      <c r="E89" s="3121"/>
      <c r="F89" s="3121"/>
      <c r="G89" s="3121"/>
      <c r="H89" s="3121"/>
      <c r="I89" s="3121"/>
      <c r="J89" s="3121"/>
      <c r="K89" s="3122"/>
      <c r="L89" s="2638" t="s">
        <v>2001</v>
      </c>
      <c r="M89" s="3125">
        <f>COUNTIF(Q88:Q93,"TRUE")</f>
        <v>0</v>
      </c>
      <c r="N89" s="3126"/>
      <c r="O89" s="2457"/>
      <c r="P89" s="2457"/>
      <c r="Q89" s="2809" t="b">
        <v>0</v>
      </c>
      <c r="R89" s="2620" t="s">
        <v>1994</v>
      </c>
    </row>
    <row r="90" spans="1:21" ht="12" customHeight="1">
      <c r="A90" s="2454"/>
      <c r="B90" s="2637"/>
      <c r="C90" s="3121"/>
      <c r="D90" s="3121"/>
      <c r="E90" s="3121"/>
      <c r="F90" s="3121"/>
      <c r="G90" s="3121"/>
      <c r="H90" s="3121"/>
      <c r="I90" s="3121"/>
      <c r="J90" s="3121"/>
      <c r="K90" s="3122"/>
      <c r="L90" s="3108" t="s">
        <v>1957</v>
      </c>
      <c r="M90" s="3127"/>
      <c r="N90" s="3128"/>
      <c r="O90" s="2457"/>
      <c r="P90" s="2457"/>
      <c r="Q90" s="2620" t="b">
        <v>0</v>
      </c>
      <c r="R90" s="2617" t="s">
        <v>1995</v>
      </c>
    </row>
    <row r="91" spans="1:21" ht="12" customHeight="1" thickBot="1">
      <c r="A91" s="2454"/>
      <c r="B91" s="2639"/>
      <c r="C91" s="3123"/>
      <c r="D91" s="3123"/>
      <c r="E91" s="3123"/>
      <c r="F91" s="3123"/>
      <c r="G91" s="3123"/>
      <c r="H91" s="3123"/>
      <c r="I91" s="3123"/>
      <c r="J91" s="3123"/>
      <c r="K91" s="3124"/>
      <c r="L91" s="3109"/>
      <c r="M91" s="3127"/>
      <c r="N91" s="3128"/>
      <c r="O91" s="2457"/>
      <c r="P91" s="2457"/>
      <c r="Q91" s="2620" t="b">
        <v>0</v>
      </c>
      <c r="R91" s="2617" t="s">
        <v>1996</v>
      </c>
    </row>
    <row r="92" spans="1:21" ht="6" customHeight="1" thickBot="1">
      <c r="A92" s="2454"/>
      <c r="B92" s="2454"/>
      <c r="C92" s="2454"/>
      <c r="D92" s="2454"/>
      <c r="E92" s="2454"/>
      <c r="F92" s="2454"/>
      <c r="G92" s="2454"/>
      <c r="H92" s="2454"/>
      <c r="I92" s="2454"/>
      <c r="J92" s="2454"/>
      <c r="K92" s="2454"/>
      <c r="L92" s="2454"/>
      <c r="M92" s="2640"/>
      <c r="N92" s="2641"/>
      <c r="O92" s="2457"/>
      <c r="P92" s="2457"/>
      <c r="Q92" s="2617" t="b">
        <v>0</v>
      </c>
      <c r="R92" s="2617" t="s">
        <v>1997</v>
      </c>
    </row>
    <row r="93" spans="1:21" ht="15" customHeight="1" thickBot="1">
      <c r="A93" s="2454"/>
      <c r="B93" s="2487" t="s">
        <v>1958</v>
      </c>
      <c r="C93" s="2488"/>
      <c r="D93" s="2488"/>
      <c r="E93" s="2632"/>
      <c r="F93" s="2633"/>
      <c r="G93" s="2632"/>
      <c r="H93" s="866"/>
      <c r="I93" s="2634"/>
      <c r="J93" s="2632"/>
      <c r="K93" s="2632"/>
      <c r="L93" s="2632"/>
      <c r="M93" s="2632"/>
      <c r="N93" s="2636"/>
      <c r="O93" s="2457"/>
      <c r="P93" s="2457"/>
      <c r="Q93" s="2809" t="b">
        <v>0</v>
      </c>
      <c r="R93" s="2617" t="s">
        <v>1998</v>
      </c>
    </row>
    <row r="94" spans="1:21" ht="12" customHeight="1" thickBot="1">
      <c r="A94" s="2454"/>
      <c r="B94" s="2637"/>
      <c r="C94" s="2815" t="s">
        <v>2002</v>
      </c>
      <c r="D94" s="2815"/>
      <c r="E94" s="2813"/>
      <c r="F94" s="2813"/>
      <c r="G94" s="2642"/>
      <c r="H94" s="2579"/>
      <c r="I94" s="2579"/>
      <c r="J94" s="2835" t="e">
        <f>CO2計算_前!L136</f>
        <v>#DIV/0!</v>
      </c>
      <c r="K94" s="2810" t="s">
        <v>1960</v>
      </c>
      <c r="L94" s="2638" t="s">
        <v>2003</v>
      </c>
      <c r="M94" s="3102" t="e">
        <f>IF(($J$96/$J$95)*100&lt;0,"＋"&amp;+ROUND(ABS(($J$96/$J$95)*100),1),ROUND(($J$96/$J$95)*100,1))&amp;"％"</f>
        <v>#DIV/0!</v>
      </c>
      <c r="N94" s="3103"/>
      <c r="O94" s="2457"/>
      <c r="P94" s="2457"/>
    </row>
    <row r="95" spans="1:21" ht="12" customHeight="1" thickBot="1">
      <c r="A95" s="2454"/>
      <c r="B95" s="2637"/>
      <c r="C95" s="2815" t="s">
        <v>1962</v>
      </c>
      <c r="D95" s="2815"/>
      <c r="E95" s="2813"/>
      <c r="F95" s="2813"/>
      <c r="G95" s="2642"/>
      <c r="H95" s="2579"/>
      <c r="I95" s="2579"/>
      <c r="J95" s="2835" t="e">
        <f>CO2計算_前!O136</f>
        <v>#DIV/0!</v>
      </c>
      <c r="K95" s="2810" t="s">
        <v>1960</v>
      </c>
      <c r="L95" s="3108" t="s">
        <v>2004</v>
      </c>
      <c r="M95" s="3104"/>
      <c r="N95" s="3105"/>
      <c r="O95" s="2457"/>
      <c r="P95" s="2457"/>
      <c r="Q95" s="2458"/>
    </row>
    <row r="96" spans="1:21" ht="12" customHeight="1" thickBot="1">
      <c r="A96" s="2454"/>
      <c r="B96" s="2639"/>
      <c r="C96" s="2643" t="s">
        <v>1964</v>
      </c>
      <c r="D96" s="2643"/>
      <c r="E96" s="2825"/>
      <c r="F96" s="2825"/>
      <c r="G96" s="2644"/>
      <c r="H96" s="2486"/>
      <c r="I96" s="2486"/>
      <c r="J96" s="2693" t="e">
        <f>+J94-J95</f>
        <v>#DIV/0!</v>
      </c>
      <c r="K96" s="2811" t="s">
        <v>1960</v>
      </c>
      <c r="L96" s="3109"/>
      <c r="M96" s="3106"/>
      <c r="N96" s="3107"/>
      <c r="O96" s="2457"/>
      <c r="P96" s="2457"/>
      <c r="Q96" s="2458"/>
    </row>
    <row r="97" spans="1:17" ht="6" customHeight="1" thickBot="1">
      <c r="A97" s="2454"/>
      <c r="B97" s="2454"/>
      <c r="C97" s="2454"/>
      <c r="D97" s="2454"/>
      <c r="E97" s="2454"/>
      <c r="F97" s="2454"/>
      <c r="G97" s="2454"/>
      <c r="H97" s="2454"/>
      <c r="I97" s="2454"/>
      <c r="J97" s="2454"/>
      <c r="K97" s="2454"/>
      <c r="L97" s="2454"/>
      <c r="M97" s="2455"/>
      <c r="N97" s="2456"/>
      <c r="O97" s="2457"/>
      <c r="P97" s="2457"/>
      <c r="Q97" s="2458"/>
    </row>
    <row r="98" spans="1:17" ht="15" customHeight="1" thickBot="1">
      <c r="A98" s="2454"/>
      <c r="B98" s="2487" t="s">
        <v>1965</v>
      </c>
      <c r="C98" s="2488"/>
      <c r="D98" s="2488"/>
      <c r="E98" s="2632"/>
      <c r="F98" s="2633"/>
      <c r="G98" s="2632"/>
      <c r="H98" s="866"/>
      <c r="I98" s="2634"/>
      <c r="J98" s="2645"/>
      <c r="K98" s="2632"/>
      <c r="L98" s="2632"/>
      <c r="M98" s="2632"/>
      <c r="N98" s="2636"/>
      <c r="O98" s="2457"/>
      <c r="P98" s="2457"/>
    </row>
    <row r="99" spans="1:17" ht="12" customHeight="1" thickBot="1">
      <c r="A99" s="2454"/>
      <c r="B99" s="2637"/>
      <c r="C99" s="2815" t="s">
        <v>2005</v>
      </c>
      <c r="D99" s="2815"/>
      <c r="E99" s="2813"/>
      <c r="F99" s="2813"/>
      <c r="G99" s="2642"/>
      <c r="J99" s="2646"/>
      <c r="K99" s="2647" t="s">
        <v>2006</v>
      </c>
      <c r="L99" s="2824" t="s">
        <v>2007</v>
      </c>
      <c r="M99" s="3110" t="str">
        <f>IF($J$100=0,0&amp;"％",ROUND($J$100/($J$99+$J$100)*100,1)&amp;"％")</f>
        <v>0％</v>
      </c>
      <c r="N99" s="3111"/>
      <c r="O99" s="2457"/>
      <c r="P99" s="2457"/>
      <c r="Q99" s="2648">
        <f>IF(OR(J99="",J99=0),1,J99)</f>
        <v>1</v>
      </c>
    </row>
    <row r="100" spans="1:17" ht="12" customHeight="1" thickBot="1">
      <c r="A100" s="2454"/>
      <c r="B100" s="2639"/>
      <c r="C100" s="2643" t="s">
        <v>2008</v>
      </c>
      <c r="D100" s="2643"/>
      <c r="E100" s="2825"/>
      <c r="F100" s="2825"/>
      <c r="G100" s="2644"/>
      <c r="H100" s="2486"/>
      <c r="I100" s="2486"/>
      <c r="J100" s="2649"/>
      <c r="K100" s="2650" t="s">
        <v>2006</v>
      </c>
      <c r="L100" s="2651" t="s">
        <v>2004</v>
      </c>
      <c r="M100" s="3112"/>
      <c r="N100" s="3113"/>
      <c r="O100" s="2457"/>
      <c r="P100" s="2457"/>
      <c r="Q100" s="2458"/>
    </row>
    <row r="101" spans="1:17" ht="8.1" customHeight="1">
      <c r="A101" s="2454"/>
      <c r="B101" s="2630"/>
      <c r="C101" s="2815"/>
      <c r="D101" s="2815"/>
      <c r="E101" s="2815"/>
      <c r="F101" s="2813"/>
      <c r="G101" s="2813"/>
      <c r="H101" s="2642"/>
      <c r="I101" s="2812"/>
      <c r="J101" s="2652"/>
      <c r="K101" s="2810"/>
      <c r="L101" s="2653"/>
      <c r="M101" s="2653"/>
      <c r="N101" s="2654"/>
      <c r="O101" s="2457"/>
      <c r="P101" s="2457"/>
      <c r="Q101" s="2458"/>
    </row>
    <row r="102" spans="1:17" ht="12" customHeight="1">
      <c r="A102" s="2454"/>
      <c r="B102" s="2454"/>
      <c r="C102" s="2655" t="s">
        <v>2072</v>
      </c>
      <c r="E102" s="2656"/>
      <c r="I102" s="2657" t="s">
        <v>1970</v>
      </c>
      <c r="L102" s="2658" t="s">
        <v>1971</v>
      </c>
      <c r="M102" s="2454"/>
      <c r="N102" s="2456"/>
      <c r="O102" s="2457"/>
      <c r="P102" s="2457"/>
      <c r="Q102" s="2659"/>
    </row>
    <row r="103" spans="1:17" ht="14.25" customHeight="1">
      <c r="A103" s="2454"/>
      <c r="B103" s="2454"/>
      <c r="C103" s="2660"/>
      <c r="F103" s="2454"/>
      <c r="G103" s="2661"/>
      <c r="J103" s="2454"/>
      <c r="K103" s="2454"/>
      <c r="L103" s="2454"/>
      <c r="M103" s="2454"/>
      <c r="N103" s="2456"/>
      <c r="O103" s="2457"/>
      <c r="P103" s="2457"/>
      <c r="Q103" s="2458"/>
    </row>
    <row r="104" spans="1:17" ht="12" hidden="1" customHeight="1">
      <c r="A104" s="2454"/>
      <c r="B104" s="2454"/>
      <c r="N104" s="2654"/>
      <c r="O104" s="2457"/>
      <c r="P104" s="2457"/>
      <c r="Q104" s="2458"/>
    </row>
    <row r="105" spans="1:17" ht="8.1" hidden="1" customHeight="1">
      <c r="A105" s="2454"/>
      <c r="N105" s="2708"/>
      <c r="O105" s="2457"/>
      <c r="P105" s="2457"/>
      <c r="Q105" s="2458"/>
    </row>
    <row r="106" spans="1:17" ht="7.5" hidden="1" customHeight="1">
      <c r="A106" s="2454"/>
      <c r="N106" s="2454"/>
      <c r="O106" s="2457"/>
      <c r="P106" s="2457"/>
      <c r="Q106" s="2458"/>
    </row>
    <row r="107" spans="1:17" ht="12" hidden="1" customHeight="1">
      <c r="A107" s="2454"/>
      <c r="N107" s="2454"/>
      <c r="O107" s="2457"/>
      <c r="P107" s="2457"/>
      <c r="Q107" s="2458"/>
    </row>
    <row r="108" spans="1:17" ht="12" hidden="1" customHeight="1">
      <c r="A108" s="2454"/>
      <c r="O108" s="2457"/>
      <c r="P108" s="2457"/>
      <c r="Q108" s="2458"/>
    </row>
    <row r="109" spans="1:17" ht="12" hidden="1" customHeight="1">
      <c r="A109" s="2454"/>
      <c r="B109" s="2454"/>
      <c r="C109" s="2454"/>
      <c r="D109" s="2454"/>
      <c r="E109" s="2454"/>
      <c r="F109" s="2454"/>
      <c r="G109" s="2454"/>
      <c r="H109" s="2454"/>
      <c r="I109" s="2454"/>
      <c r="J109" s="2454"/>
      <c r="K109" s="2454"/>
      <c r="L109" s="2454"/>
      <c r="M109" s="2455"/>
      <c r="N109" s="2456"/>
      <c r="O109" s="2457"/>
      <c r="P109" s="2457"/>
      <c r="Q109" s="2458"/>
    </row>
    <row r="110" spans="1:17" ht="12" hidden="1" customHeight="1">
      <c r="A110" s="2454"/>
      <c r="B110" s="2454"/>
      <c r="C110" s="2656"/>
      <c r="D110" s="2656"/>
      <c r="F110" s="2454"/>
      <c r="G110" s="2454"/>
      <c r="H110" s="2454"/>
      <c r="I110" s="2454"/>
      <c r="J110" s="2454"/>
      <c r="K110" s="2454"/>
      <c r="L110" s="2454"/>
      <c r="M110" s="2455"/>
      <c r="N110" s="2456"/>
    </row>
    <row r="111" spans="1:17" ht="12" hidden="1" customHeight="1">
      <c r="A111" s="2454"/>
      <c r="B111" s="2454"/>
      <c r="E111" s="2454"/>
      <c r="F111" s="2454"/>
      <c r="G111" s="2454"/>
      <c r="H111" s="2454"/>
      <c r="I111" s="2454"/>
      <c r="J111" s="2454"/>
      <c r="K111" s="2454"/>
      <c r="L111" s="2454"/>
      <c r="M111" s="2455"/>
      <c r="N111" s="2456"/>
    </row>
    <row r="112" spans="1:17" ht="12" hidden="1" customHeight="1">
      <c r="A112" s="2454"/>
      <c r="B112" s="2454"/>
      <c r="C112" s="2454"/>
      <c r="D112" s="2454"/>
      <c r="E112" s="2454"/>
      <c r="F112" s="2454"/>
      <c r="G112" s="2454"/>
      <c r="H112" s="2454"/>
      <c r="I112" s="2454"/>
      <c r="J112" s="2454"/>
      <c r="K112" s="2454"/>
      <c r="L112" s="2454"/>
      <c r="M112" s="2455"/>
      <c r="N112" s="2456"/>
    </row>
    <row r="113" spans="2:14" ht="12" hidden="1" customHeight="1">
      <c r="B113" s="2454"/>
      <c r="C113" s="2454"/>
      <c r="D113" s="2454"/>
      <c r="E113" s="2454"/>
      <c r="F113" s="2454"/>
      <c r="G113" s="2454"/>
      <c r="H113" s="2454"/>
      <c r="I113" s="2454"/>
      <c r="J113" s="2454"/>
      <c r="K113" s="2454"/>
      <c r="L113" s="2454"/>
      <c r="M113" s="2455"/>
      <c r="N113" s="2456"/>
    </row>
    <row r="114" spans="2:14" ht="12" hidden="1" customHeight="1">
      <c r="B114" s="2454"/>
      <c r="C114" s="2454"/>
      <c r="D114" s="2454"/>
      <c r="E114" s="2454"/>
      <c r="F114" s="2454"/>
      <c r="G114" s="2454"/>
      <c r="H114" s="2454"/>
      <c r="I114" s="2454"/>
      <c r="J114" s="2454"/>
      <c r="K114" s="2454"/>
      <c r="L114" s="2454"/>
      <c r="M114" s="2455"/>
      <c r="N114" s="2456"/>
    </row>
    <row r="115" spans="2:14" ht="12" hidden="1" customHeight="1">
      <c r="B115" s="2454"/>
      <c r="C115" s="2454"/>
      <c r="D115" s="2454"/>
      <c r="E115" s="2454"/>
      <c r="F115" s="2454"/>
      <c r="G115" s="2454"/>
      <c r="H115" s="2454"/>
      <c r="I115" s="2454"/>
      <c r="J115" s="2454"/>
      <c r="K115" s="2454"/>
      <c r="L115" s="2454"/>
      <c r="M115" s="2455"/>
      <c r="N115" s="2456"/>
    </row>
  </sheetData>
  <sheetProtection password="CC47" sheet="1" objects="1" scenarios="1"/>
  <mergeCells count="65">
    <mergeCell ref="C16:E16"/>
    <mergeCell ref="F16:G16"/>
    <mergeCell ref="D7:G7"/>
    <mergeCell ref="J7:L7"/>
    <mergeCell ref="D9:H9"/>
    <mergeCell ref="I9:I10"/>
    <mergeCell ref="J9:J10"/>
    <mergeCell ref="K9:K10"/>
    <mergeCell ref="L9:N10"/>
    <mergeCell ref="D11:H11"/>
    <mergeCell ref="K11:N11"/>
    <mergeCell ref="D12:H12"/>
    <mergeCell ref="K12:N12"/>
    <mergeCell ref="F15:H15"/>
    <mergeCell ref="C17:E17"/>
    <mergeCell ref="F17:G17"/>
    <mergeCell ref="C18:E18"/>
    <mergeCell ref="F18:G18"/>
    <mergeCell ref="C19:E19"/>
    <mergeCell ref="F19:G19"/>
    <mergeCell ref="C20:E20"/>
    <mergeCell ref="F20:G20"/>
    <mergeCell ref="C21:E21"/>
    <mergeCell ref="F21:G21"/>
    <mergeCell ref="C22:E22"/>
    <mergeCell ref="F22:G22"/>
    <mergeCell ref="C23:G23"/>
    <mergeCell ref="C24:E24"/>
    <mergeCell ref="F24:G24"/>
    <mergeCell ref="I31:N32"/>
    <mergeCell ref="C36:H37"/>
    <mergeCell ref="I36:N37"/>
    <mergeCell ref="C65:F65"/>
    <mergeCell ref="G65:M65"/>
    <mergeCell ref="C43:N44"/>
    <mergeCell ref="C46:E46"/>
    <mergeCell ref="F46:M46"/>
    <mergeCell ref="C47:E47"/>
    <mergeCell ref="F47:M47"/>
    <mergeCell ref="C48:E48"/>
    <mergeCell ref="F48:L48"/>
    <mergeCell ref="C49:D49"/>
    <mergeCell ref="I55:L55"/>
    <mergeCell ref="C56:H57"/>
    <mergeCell ref="I56:N57"/>
    <mergeCell ref="C62:N63"/>
    <mergeCell ref="C66:F66"/>
    <mergeCell ref="G66:M66"/>
    <mergeCell ref="C72:N73"/>
    <mergeCell ref="C79:N80"/>
    <mergeCell ref="C82:D82"/>
    <mergeCell ref="F82:M82"/>
    <mergeCell ref="M94:N96"/>
    <mergeCell ref="L95:L96"/>
    <mergeCell ref="M99:N100"/>
    <mergeCell ref="C83:D83"/>
    <mergeCell ref="F83:M83"/>
    <mergeCell ref="C84:D84"/>
    <mergeCell ref="F84:M84"/>
    <mergeCell ref="C89:K91"/>
    <mergeCell ref="M89:N91"/>
    <mergeCell ref="L90:L91"/>
    <mergeCell ref="C85:E86"/>
    <mergeCell ref="F85:M85"/>
    <mergeCell ref="F86:M86"/>
  </mergeCells>
  <phoneticPr fontId="20"/>
  <conditionalFormatting sqref="M22:N24">
    <cfRule type="expression" dxfId="14" priority="1" stopIfTrue="1">
      <formula>$E$22&gt;=#REF!</formula>
    </cfRule>
    <cfRule type="expression" dxfId="13" priority="2" stopIfTrue="1">
      <formula>$E$22&gt;=#REF!</formula>
    </cfRule>
  </conditionalFormatting>
  <conditionalFormatting sqref="M16:N18">
    <cfRule type="expression" dxfId="12" priority="3" stopIfTrue="1">
      <formula>$E$16&gt;=#REF!</formula>
    </cfRule>
    <cfRule type="expression" dxfId="11" priority="4" stopIfTrue="1">
      <formula>$E$16&gt;=#REF!</formula>
    </cfRule>
  </conditionalFormatting>
  <conditionalFormatting sqref="M19:N21">
    <cfRule type="expression" dxfId="10" priority="5" stopIfTrue="1">
      <formula>$E$19&gt;=#REF!</formula>
    </cfRule>
    <cfRule type="expression" dxfId="9" priority="6" stopIfTrue="1">
      <formula>$E$19&gt;=#REF!</formula>
    </cfRule>
  </conditionalFormatting>
  <dataValidations count="4">
    <dataValidation type="list" allowBlank="1" showInputMessage="1" showErrorMessage="1" sqref="WVT983051:WVT983052 WLX983051:WLX983052 WCB983051:WCB983052 VSF983051:VSF983052 VIJ983051:VIJ983052 UYN983051:UYN983052 UOR983051:UOR983052 UEV983051:UEV983052 TUZ983051:TUZ983052 TLD983051:TLD983052 TBH983051:TBH983052 SRL983051:SRL983052 SHP983051:SHP983052 RXT983051:RXT983052 RNX983051:RNX983052 REB983051:REB983052 QUF983051:QUF983052 QKJ983051:QKJ983052 QAN983051:QAN983052 PQR983051:PQR983052 PGV983051:PGV983052 OWZ983051:OWZ983052 OND983051:OND983052 ODH983051:ODH983052 NTL983051:NTL983052 NJP983051:NJP983052 MZT983051:MZT983052 MPX983051:MPX983052 MGB983051:MGB983052 LWF983051:LWF983052 LMJ983051:LMJ983052 LCN983051:LCN983052 KSR983051:KSR983052 KIV983051:KIV983052 JYZ983051:JYZ983052 JPD983051:JPD983052 JFH983051:JFH983052 IVL983051:IVL983052 ILP983051:ILP983052 IBT983051:IBT983052 HRX983051:HRX983052 HIB983051:HIB983052 GYF983051:GYF983052 GOJ983051:GOJ983052 GEN983051:GEN983052 FUR983051:FUR983052 FKV983051:FKV983052 FAZ983051:FAZ983052 ERD983051:ERD983052 EHH983051:EHH983052 DXL983051:DXL983052 DNP983051:DNP983052 DDT983051:DDT983052 CTX983051:CTX983052 CKB983051:CKB983052 CAF983051:CAF983052 BQJ983051:BQJ983052 BGN983051:BGN983052 AWR983051:AWR983052 AMV983051:AMV983052 ACZ983051:ACZ983052 TD983051:TD983052 JH983051:JH983052 K983051:K983052 WVT917515:WVT917516 WLX917515:WLX917516 WCB917515:WCB917516 VSF917515:VSF917516 VIJ917515:VIJ917516 UYN917515:UYN917516 UOR917515:UOR917516 UEV917515:UEV917516 TUZ917515:TUZ917516 TLD917515:TLD917516 TBH917515:TBH917516 SRL917515:SRL917516 SHP917515:SHP917516 RXT917515:RXT917516 RNX917515:RNX917516 REB917515:REB917516 QUF917515:QUF917516 QKJ917515:QKJ917516 QAN917515:QAN917516 PQR917515:PQR917516 PGV917515:PGV917516 OWZ917515:OWZ917516 OND917515:OND917516 ODH917515:ODH917516 NTL917515:NTL917516 NJP917515:NJP917516 MZT917515:MZT917516 MPX917515:MPX917516 MGB917515:MGB917516 LWF917515:LWF917516 LMJ917515:LMJ917516 LCN917515:LCN917516 KSR917515:KSR917516 KIV917515:KIV917516 JYZ917515:JYZ917516 JPD917515:JPD917516 JFH917515:JFH917516 IVL917515:IVL917516 ILP917515:ILP917516 IBT917515:IBT917516 HRX917515:HRX917516 HIB917515:HIB917516 GYF917515:GYF917516 GOJ917515:GOJ917516 GEN917515:GEN917516 FUR917515:FUR917516 FKV917515:FKV917516 FAZ917515:FAZ917516 ERD917515:ERD917516 EHH917515:EHH917516 DXL917515:DXL917516 DNP917515:DNP917516 DDT917515:DDT917516 CTX917515:CTX917516 CKB917515:CKB917516 CAF917515:CAF917516 BQJ917515:BQJ917516 BGN917515:BGN917516 AWR917515:AWR917516 AMV917515:AMV917516 ACZ917515:ACZ917516 TD917515:TD917516 JH917515:JH917516 K917515:K917516 WVT851979:WVT851980 WLX851979:WLX851980 WCB851979:WCB851980 VSF851979:VSF851980 VIJ851979:VIJ851980 UYN851979:UYN851980 UOR851979:UOR851980 UEV851979:UEV851980 TUZ851979:TUZ851980 TLD851979:TLD851980 TBH851979:TBH851980 SRL851979:SRL851980 SHP851979:SHP851980 RXT851979:RXT851980 RNX851979:RNX851980 REB851979:REB851980 QUF851979:QUF851980 QKJ851979:QKJ851980 QAN851979:QAN851980 PQR851979:PQR851980 PGV851979:PGV851980 OWZ851979:OWZ851980 OND851979:OND851980 ODH851979:ODH851980 NTL851979:NTL851980 NJP851979:NJP851980 MZT851979:MZT851980 MPX851979:MPX851980 MGB851979:MGB851980 LWF851979:LWF851980 LMJ851979:LMJ851980 LCN851979:LCN851980 KSR851979:KSR851980 KIV851979:KIV851980 JYZ851979:JYZ851980 JPD851979:JPD851980 JFH851979:JFH851980 IVL851979:IVL851980 ILP851979:ILP851980 IBT851979:IBT851980 HRX851979:HRX851980 HIB851979:HIB851980 GYF851979:GYF851980 GOJ851979:GOJ851980 GEN851979:GEN851980 FUR851979:FUR851980 FKV851979:FKV851980 FAZ851979:FAZ851980 ERD851979:ERD851980 EHH851979:EHH851980 DXL851979:DXL851980 DNP851979:DNP851980 DDT851979:DDT851980 CTX851979:CTX851980 CKB851979:CKB851980 CAF851979:CAF851980 BQJ851979:BQJ851980 BGN851979:BGN851980 AWR851979:AWR851980 AMV851979:AMV851980 ACZ851979:ACZ851980 TD851979:TD851980 JH851979:JH851980 K851979:K851980 WVT786443:WVT786444 WLX786443:WLX786444 WCB786443:WCB786444 VSF786443:VSF786444 VIJ786443:VIJ786444 UYN786443:UYN786444 UOR786443:UOR786444 UEV786443:UEV786444 TUZ786443:TUZ786444 TLD786443:TLD786444 TBH786443:TBH786444 SRL786443:SRL786444 SHP786443:SHP786444 RXT786443:RXT786444 RNX786443:RNX786444 REB786443:REB786444 QUF786443:QUF786444 QKJ786443:QKJ786444 QAN786443:QAN786444 PQR786443:PQR786444 PGV786443:PGV786444 OWZ786443:OWZ786444 OND786443:OND786444 ODH786443:ODH786444 NTL786443:NTL786444 NJP786443:NJP786444 MZT786443:MZT786444 MPX786443:MPX786444 MGB786443:MGB786444 LWF786443:LWF786444 LMJ786443:LMJ786444 LCN786443:LCN786444 KSR786443:KSR786444 KIV786443:KIV786444 JYZ786443:JYZ786444 JPD786443:JPD786444 JFH786443:JFH786444 IVL786443:IVL786444 ILP786443:ILP786444 IBT786443:IBT786444 HRX786443:HRX786444 HIB786443:HIB786444 GYF786443:GYF786444 GOJ786443:GOJ786444 GEN786443:GEN786444 FUR786443:FUR786444 FKV786443:FKV786444 FAZ786443:FAZ786444 ERD786443:ERD786444 EHH786443:EHH786444 DXL786443:DXL786444 DNP786443:DNP786444 DDT786443:DDT786444 CTX786443:CTX786444 CKB786443:CKB786444 CAF786443:CAF786444 BQJ786443:BQJ786444 BGN786443:BGN786444 AWR786443:AWR786444 AMV786443:AMV786444 ACZ786443:ACZ786444 TD786443:TD786444 JH786443:JH786444 K786443:K786444 WVT720907:WVT720908 WLX720907:WLX720908 WCB720907:WCB720908 VSF720907:VSF720908 VIJ720907:VIJ720908 UYN720907:UYN720908 UOR720907:UOR720908 UEV720907:UEV720908 TUZ720907:TUZ720908 TLD720907:TLD720908 TBH720907:TBH720908 SRL720907:SRL720908 SHP720907:SHP720908 RXT720907:RXT720908 RNX720907:RNX720908 REB720907:REB720908 QUF720907:QUF720908 QKJ720907:QKJ720908 QAN720907:QAN720908 PQR720907:PQR720908 PGV720907:PGV720908 OWZ720907:OWZ720908 OND720907:OND720908 ODH720907:ODH720908 NTL720907:NTL720908 NJP720907:NJP720908 MZT720907:MZT720908 MPX720907:MPX720908 MGB720907:MGB720908 LWF720907:LWF720908 LMJ720907:LMJ720908 LCN720907:LCN720908 KSR720907:KSR720908 KIV720907:KIV720908 JYZ720907:JYZ720908 JPD720907:JPD720908 JFH720907:JFH720908 IVL720907:IVL720908 ILP720907:ILP720908 IBT720907:IBT720908 HRX720907:HRX720908 HIB720907:HIB720908 GYF720907:GYF720908 GOJ720907:GOJ720908 GEN720907:GEN720908 FUR720907:FUR720908 FKV720907:FKV720908 FAZ720907:FAZ720908 ERD720907:ERD720908 EHH720907:EHH720908 DXL720907:DXL720908 DNP720907:DNP720908 DDT720907:DDT720908 CTX720907:CTX720908 CKB720907:CKB720908 CAF720907:CAF720908 BQJ720907:BQJ720908 BGN720907:BGN720908 AWR720907:AWR720908 AMV720907:AMV720908 ACZ720907:ACZ720908 TD720907:TD720908 JH720907:JH720908 K720907:K720908 WVT655371:WVT655372 WLX655371:WLX655372 WCB655371:WCB655372 VSF655371:VSF655372 VIJ655371:VIJ655372 UYN655371:UYN655372 UOR655371:UOR655372 UEV655371:UEV655372 TUZ655371:TUZ655372 TLD655371:TLD655372 TBH655371:TBH655372 SRL655371:SRL655372 SHP655371:SHP655372 RXT655371:RXT655372 RNX655371:RNX655372 REB655371:REB655372 QUF655371:QUF655372 QKJ655371:QKJ655372 QAN655371:QAN655372 PQR655371:PQR655372 PGV655371:PGV655372 OWZ655371:OWZ655372 OND655371:OND655372 ODH655371:ODH655372 NTL655371:NTL655372 NJP655371:NJP655372 MZT655371:MZT655372 MPX655371:MPX655372 MGB655371:MGB655372 LWF655371:LWF655372 LMJ655371:LMJ655372 LCN655371:LCN655372 KSR655371:KSR655372 KIV655371:KIV655372 JYZ655371:JYZ655372 JPD655371:JPD655372 JFH655371:JFH655372 IVL655371:IVL655372 ILP655371:ILP655372 IBT655371:IBT655372 HRX655371:HRX655372 HIB655371:HIB655372 GYF655371:GYF655372 GOJ655371:GOJ655372 GEN655371:GEN655372 FUR655371:FUR655372 FKV655371:FKV655372 FAZ655371:FAZ655372 ERD655371:ERD655372 EHH655371:EHH655372 DXL655371:DXL655372 DNP655371:DNP655372 DDT655371:DDT655372 CTX655371:CTX655372 CKB655371:CKB655372 CAF655371:CAF655372 BQJ655371:BQJ655372 BGN655371:BGN655372 AWR655371:AWR655372 AMV655371:AMV655372 ACZ655371:ACZ655372 TD655371:TD655372 JH655371:JH655372 K655371:K655372 WVT589835:WVT589836 WLX589835:WLX589836 WCB589835:WCB589836 VSF589835:VSF589836 VIJ589835:VIJ589836 UYN589835:UYN589836 UOR589835:UOR589836 UEV589835:UEV589836 TUZ589835:TUZ589836 TLD589835:TLD589836 TBH589835:TBH589836 SRL589835:SRL589836 SHP589835:SHP589836 RXT589835:RXT589836 RNX589835:RNX589836 REB589835:REB589836 QUF589835:QUF589836 QKJ589835:QKJ589836 QAN589835:QAN589836 PQR589835:PQR589836 PGV589835:PGV589836 OWZ589835:OWZ589836 OND589835:OND589836 ODH589835:ODH589836 NTL589835:NTL589836 NJP589835:NJP589836 MZT589835:MZT589836 MPX589835:MPX589836 MGB589835:MGB589836 LWF589835:LWF589836 LMJ589835:LMJ589836 LCN589835:LCN589836 KSR589835:KSR589836 KIV589835:KIV589836 JYZ589835:JYZ589836 JPD589835:JPD589836 JFH589835:JFH589836 IVL589835:IVL589836 ILP589835:ILP589836 IBT589835:IBT589836 HRX589835:HRX589836 HIB589835:HIB589836 GYF589835:GYF589836 GOJ589835:GOJ589836 GEN589835:GEN589836 FUR589835:FUR589836 FKV589835:FKV589836 FAZ589835:FAZ589836 ERD589835:ERD589836 EHH589835:EHH589836 DXL589835:DXL589836 DNP589835:DNP589836 DDT589835:DDT589836 CTX589835:CTX589836 CKB589835:CKB589836 CAF589835:CAF589836 BQJ589835:BQJ589836 BGN589835:BGN589836 AWR589835:AWR589836 AMV589835:AMV589836 ACZ589835:ACZ589836 TD589835:TD589836 JH589835:JH589836 K589835:K589836 WVT524299:WVT524300 WLX524299:WLX524300 WCB524299:WCB524300 VSF524299:VSF524300 VIJ524299:VIJ524300 UYN524299:UYN524300 UOR524299:UOR524300 UEV524299:UEV524300 TUZ524299:TUZ524300 TLD524299:TLD524300 TBH524299:TBH524300 SRL524299:SRL524300 SHP524299:SHP524300 RXT524299:RXT524300 RNX524299:RNX524300 REB524299:REB524300 QUF524299:QUF524300 QKJ524299:QKJ524300 QAN524299:QAN524300 PQR524299:PQR524300 PGV524299:PGV524300 OWZ524299:OWZ524300 OND524299:OND524300 ODH524299:ODH524300 NTL524299:NTL524300 NJP524299:NJP524300 MZT524299:MZT524300 MPX524299:MPX524300 MGB524299:MGB524300 LWF524299:LWF524300 LMJ524299:LMJ524300 LCN524299:LCN524300 KSR524299:KSR524300 KIV524299:KIV524300 JYZ524299:JYZ524300 JPD524299:JPD524300 JFH524299:JFH524300 IVL524299:IVL524300 ILP524299:ILP524300 IBT524299:IBT524300 HRX524299:HRX524300 HIB524299:HIB524300 GYF524299:GYF524300 GOJ524299:GOJ524300 GEN524299:GEN524300 FUR524299:FUR524300 FKV524299:FKV524300 FAZ524299:FAZ524300 ERD524299:ERD524300 EHH524299:EHH524300 DXL524299:DXL524300 DNP524299:DNP524300 DDT524299:DDT524300 CTX524299:CTX524300 CKB524299:CKB524300 CAF524299:CAF524300 BQJ524299:BQJ524300 BGN524299:BGN524300 AWR524299:AWR524300 AMV524299:AMV524300 ACZ524299:ACZ524300 TD524299:TD524300 JH524299:JH524300 K524299:K524300 WVT458763:WVT458764 WLX458763:WLX458764 WCB458763:WCB458764 VSF458763:VSF458764 VIJ458763:VIJ458764 UYN458763:UYN458764 UOR458763:UOR458764 UEV458763:UEV458764 TUZ458763:TUZ458764 TLD458763:TLD458764 TBH458763:TBH458764 SRL458763:SRL458764 SHP458763:SHP458764 RXT458763:RXT458764 RNX458763:RNX458764 REB458763:REB458764 QUF458763:QUF458764 QKJ458763:QKJ458764 QAN458763:QAN458764 PQR458763:PQR458764 PGV458763:PGV458764 OWZ458763:OWZ458764 OND458763:OND458764 ODH458763:ODH458764 NTL458763:NTL458764 NJP458763:NJP458764 MZT458763:MZT458764 MPX458763:MPX458764 MGB458763:MGB458764 LWF458763:LWF458764 LMJ458763:LMJ458764 LCN458763:LCN458764 KSR458763:KSR458764 KIV458763:KIV458764 JYZ458763:JYZ458764 JPD458763:JPD458764 JFH458763:JFH458764 IVL458763:IVL458764 ILP458763:ILP458764 IBT458763:IBT458764 HRX458763:HRX458764 HIB458763:HIB458764 GYF458763:GYF458764 GOJ458763:GOJ458764 GEN458763:GEN458764 FUR458763:FUR458764 FKV458763:FKV458764 FAZ458763:FAZ458764 ERD458763:ERD458764 EHH458763:EHH458764 DXL458763:DXL458764 DNP458763:DNP458764 DDT458763:DDT458764 CTX458763:CTX458764 CKB458763:CKB458764 CAF458763:CAF458764 BQJ458763:BQJ458764 BGN458763:BGN458764 AWR458763:AWR458764 AMV458763:AMV458764 ACZ458763:ACZ458764 TD458763:TD458764 JH458763:JH458764 K458763:K458764 WVT393227:WVT393228 WLX393227:WLX393228 WCB393227:WCB393228 VSF393227:VSF393228 VIJ393227:VIJ393228 UYN393227:UYN393228 UOR393227:UOR393228 UEV393227:UEV393228 TUZ393227:TUZ393228 TLD393227:TLD393228 TBH393227:TBH393228 SRL393227:SRL393228 SHP393227:SHP393228 RXT393227:RXT393228 RNX393227:RNX393228 REB393227:REB393228 QUF393227:QUF393228 QKJ393227:QKJ393228 QAN393227:QAN393228 PQR393227:PQR393228 PGV393227:PGV393228 OWZ393227:OWZ393228 OND393227:OND393228 ODH393227:ODH393228 NTL393227:NTL393228 NJP393227:NJP393228 MZT393227:MZT393228 MPX393227:MPX393228 MGB393227:MGB393228 LWF393227:LWF393228 LMJ393227:LMJ393228 LCN393227:LCN393228 KSR393227:KSR393228 KIV393227:KIV393228 JYZ393227:JYZ393228 JPD393227:JPD393228 JFH393227:JFH393228 IVL393227:IVL393228 ILP393227:ILP393228 IBT393227:IBT393228 HRX393227:HRX393228 HIB393227:HIB393228 GYF393227:GYF393228 GOJ393227:GOJ393228 GEN393227:GEN393228 FUR393227:FUR393228 FKV393227:FKV393228 FAZ393227:FAZ393228 ERD393227:ERD393228 EHH393227:EHH393228 DXL393227:DXL393228 DNP393227:DNP393228 DDT393227:DDT393228 CTX393227:CTX393228 CKB393227:CKB393228 CAF393227:CAF393228 BQJ393227:BQJ393228 BGN393227:BGN393228 AWR393227:AWR393228 AMV393227:AMV393228 ACZ393227:ACZ393228 TD393227:TD393228 JH393227:JH393228 K393227:K393228 WVT327691:WVT327692 WLX327691:WLX327692 WCB327691:WCB327692 VSF327691:VSF327692 VIJ327691:VIJ327692 UYN327691:UYN327692 UOR327691:UOR327692 UEV327691:UEV327692 TUZ327691:TUZ327692 TLD327691:TLD327692 TBH327691:TBH327692 SRL327691:SRL327692 SHP327691:SHP327692 RXT327691:RXT327692 RNX327691:RNX327692 REB327691:REB327692 QUF327691:QUF327692 QKJ327691:QKJ327692 QAN327691:QAN327692 PQR327691:PQR327692 PGV327691:PGV327692 OWZ327691:OWZ327692 OND327691:OND327692 ODH327691:ODH327692 NTL327691:NTL327692 NJP327691:NJP327692 MZT327691:MZT327692 MPX327691:MPX327692 MGB327691:MGB327692 LWF327691:LWF327692 LMJ327691:LMJ327692 LCN327691:LCN327692 KSR327691:KSR327692 KIV327691:KIV327692 JYZ327691:JYZ327692 JPD327691:JPD327692 JFH327691:JFH327692 IVL327691:IVL327692 ILP327691:ILP327692 IBT327691:IBT327692 HRX327691:HRX327692 HIB327691:HIB327692 GYF327691:GYF327692 GOJ327691:GOJ327692 GEN327691:GEN327692 FUR327691:FUR327692 FKV327691:FKV327692 FAZ327691:FAZ327692 ERD327691:ERD327692 EHH327691:EHH327692 DXL327691:DXL327692 DNP327691:DNP327692 DDT327691:DDT327692 CTX327691:CTX327692 CKB327691:CKB327692 CAF327691:CAF327692 BQJ327691:BQJ327692 BGN327691:BGN327692 AWR327691:AWR327692 AMV327691:AMV327692 ACZ327691:ACZ327692 TD327691:TD327692 JH327691:JH327692 K327691:K327692 WVT262155:WVT262156 WLX262155:WLX262156 WCB262155:WCB262156 VSF262155:VSF262156 VIJ262155:VIJ262156 UYN262155:UYN262156 UOR262155:UOR262156 UEV262155:UEV262156 TUZ262155:TUZ262156 TLD262155:TLD262156 TBH262155:TBH262156 SRL262155:SRL262156 SHP262155:SHP262156 RXT262155:RXT262156 RNX262155:RNX262156 REB262155:REB262156 QUF262155:QUF262156 QKJ262155:QKJ262156 QAN262155:QAN262156 PQR262155:PQR262156 PGV262155:PGV262156 OWZ262155:OWZ262156 OND262155:OND262156 ODH262155:ODH262156 NTL262155:NTL262156 NJP262155:NJP262156 MZT262155:MZT262156 MPX262155:MPX262156 MGB262155:MGB262156 LWF262155:LWF262156 LMJ262155:LMJ262156 LCN262155:LCN262156 KSR262155:KSR262156 KIV262155:KIV262156 JYZ262155:JYZ262156 JPD262155:JPD262156 JFH262155:JFH262156 IVL262155:IVL262156 ILP262155:ILP262156 IBT262155:IBT262156 HRX262155:HRX262156 HIB262155:HIB262156 GYF262155:GYF262156 GOJ262155:GOJ262156 GEN262155:GEN262156 FUR262155:FUR262156 FKV262155:FKV262156 FAZ262155:FAZ262156 ERD262155:ERD262156 EHH262155:EHH262156 DXL262155:DXL262156 DNP262155:DNP262156 DDT262155:DDT262156 CTX262155:CTX262156 CKB262155:CKB262156 CAF262155:CAF262156 BQJ262155:BQJ262156 BGN262155:BGN262156 AWR262155:AWR262156 AMV262155:AMV262156 ACZ262155:ACZ262156 TD262155:TD262156 JH262155:JH262156 K262155:K262156 WVT196619:WVT196620 WLX196619:WLX196620 WCB196619:WCB196620 VSF196619:VSF196620 VIJ196619:VIJ196620 UYN196619:UYN196620 UOR196619:UOR196620 UEV196619:UEV196620 TUZ196619:TUZ196620 TLD196619:TLD196620 TBH196619:TBH196620 SRL196619:SRL196620 SHP196619:SHP196620 RXT196619:RXT196620 RNX196619:RNX196620 REB196619:REB196620 QUF196619:QUF196620 QKJ196619:QKJ196620 QAN196619:QAN196620 PQR196619:PQR196620 PGV196619:PGV196620 OWZ196619:OWZ196620 OND196619:OND196620 ODH196619:ODH196620 NTL196619:NTL196620 NJP196619:NJP196620 MZT196619:MZT196620 MPX196619:MPX196620 MGB196619:MGB196620 LWF196619:LWF196620 LMJ196619:LMJ196620 LCN196619:LCN196620 KSR196619:KSR196620 KIV196619:KIV196620 JYZ196619:JYZ196620 JPD196619:JPD196620 JFH196619:JFH196620 IVL196619:IVL196620 ILP196619:ILP196620 IBT196619:IBT196620 HRX196619:HRX196620 HIB196619:HIB196620 GYF196619:GYF196620 GOJ196619:GOJ196620 GEN196619:GEN196620 FUR196619:FUR196620 FKV196619:FKV196620 FAZ196619:FAZ196620 ERD196619:ERD196620 EHH196619:EHH196620 DXL196619:DXL196620 DNP196619:DNP196620 DDT196619:DDT196620 CTX196619:CTX196620 CKB196619:CKB196620 CAF196619:CAF196620 BQJ196619:BQJ196620 BGN196619:BGN196620 AWR196619:AWR196620 AMV196619:AMV196620 ACZ196619:ACZ196620 TD196619:TD196620 JH196619:JH196620 K196619:K196620 WVT131083:WVT131084 WLX131083:WLX131084 WCB131083:WCB131084 VSF131083:VSF131084 VIJ131083:VIJ131084 UYN131083:UYN131084 UOR131083:UOR131084 UEV131083:UEV131084 TUZ131083:TUZ131084 TLD131083:TLD131084 TBH131083:TBH131084 SRL131083:SRL131084 SHP131083:SHP131084 RXT131083:RXT131084 RNX131083:RNX131084 REB131083:REB131084 QUF131083:QUF131084 QKJ131083:QKJ131084 QAN131083:QAN131084 PQR131083:PQR131084 PGV131083:PGV131084 OWZ131083:OWZ131084 OND131083:OND131084 ODH131083:ODH131084 NTL131083:NTL131084 NJP131083:NJP131084 MZT131083:MZT131084 MPX131083:MPX131084 MGB131083:MGB131084 LWF131083:LWF131084 LMJ131083:LMJ131084 LCN131083:LCN131084 KSR131083:KSR131084 KIV131083:KIV131084 JYZ131083:JYZ131084 JPD131083:JPD131084 JFH131083:JFH131084 IVL131083:IVL131084 ILP131083:ILP131084 IBT131083:IBT131084 HRX131083:HRX131084 HIB131083:HIB131084 GYF131083:GYF131084 GOJ131083:GOJ131084 GEN131083:GEN131084 FUR131083:FUR131084 FKV131083:FKV131084 FAZ131083:FAZ131084 ERD131083:ERD131084 EHH131083:EHH131084 DXL131083:DXL131084 DNP131083:DNP131084 DDT131083:DDT131084 CTX131083:CTX131084 CKB131083:CKB131084 CAF131083:CAF131084 BQJ131083:BQJ131084 BGN131083:BGN131084 AWR131083:AWR131084 AMV131083:AMV131084 ACZ131083:ACZ131084 TD131083:TD131084 JH131083:JH131084 K131083:K131084 WVT65547:WVT65548 WLX65547:WLX65548 WCB65547:WCB65548 VSF65547:VSF65548 VIJ65547:VIJ65548 UYN65547:UYN65548 UOR65547:UOR65548 UEV65547:UEV65548 TUZ65547:TUZ65548 TLD65547:TLD65548 TBH65547:TBH65548 SRL65547:SRL65548 SHP65547:SHP65548 RXT65547:RXT65548 RNX65547:RNX65548 REB65547:REB65548 QUF65547:QUF65548 QKJ65547:QKJ65548 QAN65547:QAN65548 PQR65547:PQR65548 PGV65547:PGV65548 OWZ65547:OWZ65548 OND65547:OND65548 ODH65547:ODH65548 NTL65547:NTL65548 NJP65547:NJP65548 MZT65547:MZT65548 MPX65547:MPX65548 MGB65547:MGB65548 LWF65547:LWF65548 LMJ65547:LMJ65548 LCN65547:LCN65548 KSR65547:KSR65548 KIV65547:KIV65548 JYZ65547:JYZ65548 JPD65547:JPD65548 JFH65547:JFH65548 IVL65547:IVL65548 ILP65547:ILP65548 IBT65547:IBT65548 HRX65547:HRX65548 HIB65547:HIB65548 GYF65547:GYF65548 GOJ65547:GOJ65548 GEN65547:GEN65548 FUR65547:FUR65548 FKV65547:FKV65548 FAZ65547:FAZ65548 ERD65547:ERD65548 EHH65547:EHH65548 DXL65547:DXL65548 DNP65547:DNP65548 DDT65547:DDT65548 CTX65547:CTX65548 CKB65547:CKB65548 CAF65547:CAF65548 BQJ65547:BQJ65548 BGN65547:BGN65548 AWR65547:AWR65548 AMV65547:AMV65548 ACZ65547:ACZ65548 TD65547:TD65548 JH65547:JH65548 K65547:K65548 WVT9:WVT10 WLX9:WLX10 WCB9:WCB10 VSF9:VSF10 VIJ9:VIJ10 UYN9:UYN10 UOR9:UOR10 UEV9:UEV10 TUZ9:TUZ10 TLD9:TLD10 TBH9:TBH10 SRL9:SRL10 SHP9:SHP10 RXT9:RXT10 RNX9:RNX10 REB9:REB10 QUF9:QUF10 QKJ9:QKJ10 QAN9:QAN10 PQR9:PQR10 PGV9:PGV10 OWZ9:OWZ10 OND9:OND10 ODH9:ODH10 NTL9:NTL10 NJP9:NJP10 MZT9:MZT10 MPX9:MPX10 MGB9:MGB10 LWF9:LWF10 LMJ9:LMJ10 LCN9:LCN10 KSR9:KSR10 KIV9:KIV10 JYZ9:JYZ10 JPD9:JPD10 JFH9:JFH10 IVL9:IVL10 ILP9:ILP10 IBT9:IBT10 HRX9:HRX10 HIB9:HIB10 GYF9:GYF10 GOJ9:GOJ10 GEN9:GEN10 FUR9:FUR10 FKV9:FKV10 FAZ9:FAZ10 ERD9:ERD10 EHH9:EHH10 DXL9:DXL10 DNP9:DNP10 DDT9:DDT10 CTX9:CTX10 CKB9:CKB10 CAF9:CAF10 BQJ9:BQJ10 BGN9:BGN10 AWR9:AWR10 AMV9:AMV10 ACZ9:ACZ10 TD9:TD10 JH9:JH10">
      <formula1>$R$5:$R$9</formula1>
    </dataValidation>
    <dataValidation type="whole" operator="greaterThanOrEqual" allowBlank="1" showInputMessage="1" showErrorMessage="1" sqref="J99:J100 JG99:JG100 TC99:TC100 ACY99:ACY100 AMU99:AMU100 AWQ99:AWQ100 BGM99:BGM100 BQI99:BQI100 CAE99:CAE100 CKA99:CKA100 CTW99:CTW100 DDS99:DDS100 DNO99:DNO100 DXK99:DXK100 EHG99:EHG100 ERC99:ERC100 FAY99:FAY100 FKU99:FKU100 FUQ99:FUQ100 GEM99:GEM100 GOI99:GOI100 GYE99:GYE100 HIA99:HIA100 HRW99:HRW100 IBS99:IBS100 ILO99:ILO100 IVK99:IVK100 JFG99:JFG100 JPC99:JPC100 JYY99:JYY100 KIU99:KIU100 KSQ99:KSQ100 LCM99:LCM100 LMI99:LMI100 LWE99:LWE100 MGA99:MGA100 MPW99:MPW100 MZS99:MZS100 NJO99:NJO100 NTK99:NTK100 ODG99:ODG100 ONC99:ONC100 OWY99:OWY100 PGU99:PGU100 PQQ99:PQQ100 QAM99:QAM100 QKI99:QKI100 QUE99:QUE100 REA99:REA100 RNW99:RNW100 RXS99:RXS100 SHO99:SHO100 SRK99:SRK100 TBG99:TBG100 TLC99:TLC100 TUY99:TUY100 UEU99:UEU100 UOQ99:UOQ100 UYM99:UYM100 VII99:VII100 VSE99:VSE100 WCA99:WCA100 WLW99:WLW100 WVS99:WVS100 J65635:J65636 JG65635:JG65636 TC65635:TC65636 ACY65635:ACY65636 AMU65635:AMU65636 AWQ65635:AWQ65636 BGM65635:BGM65636 BQI65635:BQI65636 CAE65635:CAE65636 CKA65635:CKA65636 CTW65635:CTW65636 DDS65635:DDS65636 DNO65635:DNO65636 DXK65635:DXK65636 EHG65635:EHG65636 ERC65635:ERC65636 FAY65635:FAY65636 FKU65635:FKU65636 FUQ65635:FUQ65636 GEM65635:GEM65636 GOI65635:GOI65636 GYE65635:GYE65636 HIA65635:HIA65636 HRW65635:HRW65636 IBS65635:IBS65636 ILO65635:ILO65636 IVK65635:IVK65636 JFG65635:JFG65636 JPC65635:JPC65636 JYY65635:JYY65636 KIU65635:KIU65636 KSQ65635:KSQ65636 LCM65635:LCM65636 LMI65635:LMI65636 LWE65635:LWE65636 MGA65635:MGA65636 MPW65635:MPW65636 MZS65635:MZS65636 NJO65635:NJO65636 NTK65635:NTK65636 ODG65635:ODG65636 ONC65635:ONC65636 OWY65635:OWY65636 PGU65635:PGU65636 PQQ65635:PQQ65636 QAM65635:QAM65636 QKI65635:QKI65636 QUE65635:QUE65636 REA65635:REA65636 RNW65635:RNW65636 RXS65635:RXS65636 SHO65635:SHO65636 SRK65635:SRK65636 TBG65635:TBG65636 TLC65635:TLC65636 TUY65635:TUY65636 UEU65635:UEU65636 UOQ65635:UOQ65636 UYM65635:UYM65636 VII65635:VII65636 VSE65635:VSE65636 WCA65635:WCA65636 WLW65635:WLW65636 WVS65635:WVS65636 J131171:J131172 JG131171:JG131172 TC131171:TC131172 ACY131171:ACY131172 AMU131171:AMU131172 AWQ131171:AWQ131172 BGM131171:BGM131172 BQI131171:BQI131172 CAE131171:CAE131172 CKA131171:CKA131172 CTW131171:CTW131172 DDS131171:DDS131172 DNO131171:DNO131172 DXK131171:DXK131172 EHG131171:EHG131172 ERC131171:ERC131172 FAY131171:FAY131172 FKU131171:FKU131172 FUQ131171:FUQ131172 GEM131171:GEM131172 GOI131171:GOI131172 GYE131171:GYE131172 HIA131171:HIA131172 HRW131171:HRW131172 IBS131171:IBS131172 ILO131171:ILO131172 IVK131171:IVK131172 JFG131171:JFG131172 JPC131171:JPC131172 JYY131171:JYY131172 KIU131171:KIU131172 KSQ131171:KSQ131172 LCM131171:LCM131172 LMI131171:LMI131172 LWE131171:LWE131172 MGA131171:MGA131172 MPW131171:MPW131172 MZS131171:MZS131172 NJO131171:NJO131172 NTK131171:NTK131172 ODG131171:ODG131172 ONC131171:ONC131172 OWY131171:OWY131172 PGU131171:PGU131172 PQQ131171:PQQ131172 QAM131171:QAM131172 QKI131171:QKI131172 QUE131171:QUE131172 REA131171:REA131172 RNW131171:RNW131172 RXS131171:RXS131172 SHO131171:SHO131172 SRK131171:SRK131172 TBG131171:TBG131172 TLC131171:TLC131172 TUY131171:TUY131172 UEU131171:UEU131172 UOQ131171:UOQ131172 UYM131171:UYM131172 VII131171:VII131172 VSE131171:VSE131172 WCA131171:WCA131172 WLW131171:WLW131172 WVS131171:WVS131172 J196707:J196708 JG196707:JG196708 TC196707:TC196708 ACY196707:ACY196708 AMU196707:AMU196708 AWQ196707:AWQ196708 BGM196707:BGM196708 BQI196707:BQI196708 CAE196707:CAE196708 CKA196707:CKA196708 CTW196707:CTW196708 DDS196707:DDS196708 DNO196707:DNO196708 DXK196707:DXK196708 EHG196707:EHG196708 ERC196707:ERC196708 FAY196707:FAY196708 FKU196707:FKU196708 FUQ196707:FUQ196708 GEM196707:GEM196708 GOI196707:GOI196708 GYE196707:GYE196708 HIA196707:HIA196708 HRW196707:HRW196708 IBS196707:IBS196708 ILO196707:ILO196708 IVK196707:IVK196708 JFG196707:JFG196708 JPC196707:JPC196708 JYY196707:JYY196708 KIU196707:KIU196708 KSQ196707:KSQ196708 LCM196707:LCM196708 LMI196707:LMI196708 LWE196707:LWE196708 MGA196707:MGA196708 MPW196707:MPW196708 MZS196707:MZS196708 NJO196707:NJO196708 NTK196707:NTK196708 ODG196707:ODG196708 ONC196707:ONC196708 OWY196707:OWY196708 PGU196707:PGU196708 PQQ196707:PQQ196708 QAM196707:QAM196708 QKI196707:QKI196708 QUE196707:QUE196708 REA196707:REA196708 RNW196707:RNW196708 RXS196707:RXS196708 SHO196707:SHO196708 SRK196707:SRK196708 TBG196707:TBG196708 TLC196707:TLC196708 TUY196707:TUY196708 UEU196707:UEU196708 UOQ196707:UOQ196708 UYM196707:UYM196708 VII196707:VII196708 VSE196707:VSE196708 WCA196707:WCA196708 WLW196707:WLW196708 WVS196707:WVS196708 J262243:J262244 JG262243:JG262244 TC262243:TC262244 ACY262243:ACY262244 AMU262243:AMU262244 AWQ262243:AWQ262244 BGM262243:BGM262244 BQI262243:BQI262244 CAE262243:CAE262244 CKA262243:CKA262244 CTW262243:CTW262244 DDS262243:DDS262244 DNO262243:DNO262244 DXK262243:DXK262244 EHG262243:EHG262244 ERC262243:ERC262244 FAY262243:FAY262244 FKU262243:FKU262244 FUQ262243:FUQ262244 GEM262243:GEM262244 GOI262243:GOI262244 GYE262243:GYE262244 HIA262243:HIA262244 HRW262243:HRW262244 IBS262243:IBS262244 ILO262243:ILO262244 IVK262243:IVK262244 JFG262243:JFG262244 JPC262243:JPC262244 JYY262243:JYY262244 KIU262243:KIU262244 KSQ262243:KSQ262244 LCM262243:LCM262244 LMI262243:LMI262244 LWE262243:LWE262244 MGA262243:MGA262244 MPW262243:MPW262244 MZS262243:MZS262244 NJO262243:NJO262244 NTK262243:NTK262244 ODG262243:ODG262244 ONC262243:ONC262244 OWY262243:OWY262244 PGU262243:PGU262244 PQQ262243:PQQ262244 QAM262243:QAM262244 QKI262243:QKI262244 QUE262243:QUE262244 REA262243:REA262244 RNW262243:RNW262244 RXS262243:RXS262244 SHO262243:SHO262244 SRK262243:SRK262244 TBG262243:TBG262244 TLC262243:TLC262244 TUY262243:TUY262244 UEU262243:UEU262244 UOQ262243:UOQ262244 UYM262243:UYM262244 VII262243:VII262244 VSE262243:VSE262244 WCA262243:WCA262244 WLW262243:WLW262244 WVS262243:WVS262244 J327779:J327780 JG327779:JG327780 TC327779:TC327780 ACY327779:ACY327780 AMU327779:AMU327780 AWQ327779:AWQ327780 BGM327779:BGM327780 BQI327779:BQI327780 CAE327779:CAE327780 CKA327779:CKA327780 CTW327779:CTW327780 DDS327779:DDS327780 DNO327779:DNO327780 DXK327779:DXK327780 EHG327779:EHG327780 ERC327779:ERC327780 FAY327779:FAY327780 FKU327779:FKU327780 FUQ327779:FUQ327780 GEM327779:GEM327780 GOI327779:GOI327780 GYE327779:GYE327780 HIA327779:HIA327780 HRW327779:HRW327780 IBS327779:IBS327780 ILO327779:ILO327780 IVK327779:IVK327780 JFG327779:JFG327780 JPC327779:JPC327780 JYY327779:JYY327780 KIU327779:KIU327780 KSQ327779:KSQ327780 LCM327779:LCM327780 LMI327779:LMI327780 LWE327779:LWE327780 MGA327779:MGA327780 MPW327779:MPW327780 MZS327779:MZS327780 NJO327779:NJO327780 NTK327779:NTK327780 ODG327779:ODG327780 ONC327779:ONC327780 OWY327779:OWY327780 PGU327779:PGU327780 PQQ327779:PQQ327780 QAM327779:QAM327780 QKI327779:QKI327780 QUE327779:QUE327780 REA327779:REA327780 RNW327779:RNW327780 RXS327779:RXS327780 SHO327779:SHO327780 SRK327779:SRK327780 TBG327779:TBG327780 TLC327779:TLC327780 TUY327779:TUY327780 UEU327779:UEU327780 UOQ327779:UOQ327780 UYM327779:UYM327780 VII327779:VII327780 VSE327779:VSE327780 WCA327779:WCA327780 WLW327779:WLW327780 WVS327779:WVS327780 J393315:J393316 JG393315:JG393316 TC393315:TC393316 ACY393315:ACY393316 AMU393315:AMU393316 AWQ393315:AWQ393316 BGM393315:BGM393316 BQI393315:BQI393316 CAE393315:CAE393316 CKA393315:CKA393316 CTW393315:CTW393316 DDS393315:DDS393316 DNO393315:DNO393316 DXK393315:DXK393316 EHG393315:EHG393316 ERC393315:ERC393316 FAY393315:FAY393316 FKU393315:FKU393316 FUQ393315:FUQ393316 GEM393315:GEM393316 GOI393315:GOI393316 GYE393315:GYE393316 HIA393315:HIA393316 HRW393315:HRW393316 IBS393315:IBS393316 ILO393315:ILO393316 IVK393315:IVK393316 JFG393315:JFG393316 JPC393315:JPC393316 JYY393315:JYY393316 KIU393315:KIU393316 KSQ393315:KSQ393316 LCM393315:LCM393316 LMI393315:LMI393316 LWE393315:LWE393316 MGA393315:MGA393316 MPW393315:MPW393316 MZS393315:MZS393316 NJO393315:NJO393316 NTK393315:NTK393316 ODG393315:ODG393316 ONC393315:ONC393316 OWY393315:OWY393316 PGU393315:PGU393316 PQQ393315:PQQ393316 QAM393315:QAM393316 QKI393315:QKI393316 QUE393315:QUE393316 REA393315:REA393316 RNW393315:RNW393316 RXS393315:RXS393316 SHO393315:SHO393316 SRK393315:SRK393316 TBG393315:TBG393316 TLC393315:TLC393316 TUY393315:TUY393316 UEU393315:UEU393316 UOQ393315:UOQ393316 UYM393315:UYM393316 VII393315:VII393316 VSE393315:VSE393316 WCA393315:WCA393316 WLW393315:WLW393316 WVS393315:WVS393316 J458851:J458852 JG458851:JG458852 TC458851:TC458852 ACY458851:ACY458852 AMU458851:AMU458852 AWQ458851:AWQ458852 BGM458851:BGM458852 BQI458851:BQI458852 CAE458851:CAE458852 CKA458851:CKA458852 CTW458851:CTW458852 DDS458851:DDS458852 DNO458851:DNO458852 DXK458851:DXK458852 EHG458851:EHG458852 ERC458851:ERC458852 FAY458851:FAY458852 FKU458851:FKU458852 FUQ458851:FUQ458852 GEM458851:GEM458852 GOI458851:GOI458852 GYE458851:GYE458852 HIA458851:HIA458852 HRW458851:HRW458852 IBS458851:IBS458852 ILO458851:ILO458852 IVK458851:IVK458852 JFG458851:JFG458852 JPC458851:JPC458852 JYY458851:JYY458852 KIU458851:KIU458852 KSQ458851:KSQ458852 LCM458851:LCM458852 LMI458851:LMI458852 LWE458851:LWE458852 MGA458851:MGA458852 MPW458851:MPW458852 MZS458851:MZS458852 NJO458851:NJO458852 NTK458851:NTK458852 ODG458851:ODG458852 ONC458851:ONC458852 OWY458851:OWY458852 PGU458851:PGU458852 PQQ458851:PQQ458852 QAM458851:QAM458852 QKI458851:QKI458852 QUE458851:QUE458852 REA458851:REA458852 RNW458851:RNW458852 RXS458851:RXS458852 SHO458851:SHO458852 SRK458851:SRK458852 TBG458851:TBG458852 TLC458851:TLC458852 TUY458851:TUY458852 UEU458851:UEU458852 UOQ458851:UOQ458852 UYM458851:UYM458852 VII458851:VII458852 VSE458851:VSE458852 WCA458851:WCA458852 WLW458851:WLW458852 WVS458851:WVS458852 J524387:J524388 JG524387:JG524388 TC524387:TC524388 ACY524387:ACY524388 AMU524387:AMU524388 AWQ524387:AWQ524388 BGM524387:BGM524388 BQI524387:BQI524388 CAE524387:CAE524388 CKA524387:CKA524388 CTW524387:CTW524388 DDS524387:DDS524388 DNO524387:DNO524388 DXK524387:DXK524388 EHG524387:EHG524388 ERC524387:ERC524388 FAY524387:FAY524388 FKU524387:FKU524388 FUQ524387:FUQ524388 GEM524387:GEM524388 GOI524387:GOI524388 GYE524387:GYE524388 HIA524387:HIA524388 HRW524387:HRW524388 IBS524387:IBS524388 ILO524387:ILO524388 IVK524387:IVK524388 JFG524387:JFG524388 JPC524387:JPC524388 JYY524387:JYY524388 KIU524387:KIU524388 KSQ524387:KSQ524388 LCM524387:LCM524388 LMI524387:LMI524388 LWE524387:LWE524388 MGA524387:MGA524388 MPW524387:MPW524388 MZS524387:MZS524388 NJO524387:NJO524388 NTK524387:NTK524388 ODG524387:ODG524388 ONC524387:ONC524388 OWY524387:OWY524388 PGU524387:PGU524388 PQQ524387:PQQ524388 QAM524387:QAM524388 QKI524387:QKI524388 QUE524387:QUE524388 REA524387:REA524388 RNW524387:RNW524388 RXS524387:RXS524388 SHO524387:SHO524388 SRK524387:SRK524388 TBG524387:TBG524388 TLC524387:TLC524388 TUY524387:TUY524388 UEU524387:UEU524388 UOQ524387:UOQ524388 UYM524387:UYM524388 VII524387:VII524388 VSE524387:VSE524388 WCA524387:WCA524388 WLW524387:WLW524388 WVS524387:WVS524388 J589923:J589924 JG589923:JG589924 TC589923:TC589924 ACY589923:ACY589924 AMU589923:AMU589924 AWQ589923:AWQ589924 BGM589923:BGM589924 BQI589923:BQI589924 CAE589923:CAE589924 CKA589923:CKA589924 CTW589923:CTW589924 DDS589923:DDS589924 DNO589923:DNO589924 DXK589923:DXK589924 EHG589923:EHG589924 ERC589923:ERC589924 FAY589923:FAY589924 FKU589923:FKU589924 FUQ589923:FUQ589924 GEM589923:GEM589924 GOI589923:GOI589924 GYE589923:GYE589924 HIA589923:HIA589924 HRW589923:HRW589924 IBS589923:IBS589924 ILO589923:ILO589924 IVK589923:IVK589924 JFG589923:JFG589924 JPC589923:JPC589924 JYY589923:JYY589924 KIU589923:KIU589924 KSQ589923:KSQ589924 LCM589923:LCM589924 LMI589923:LMI589924 LWE589923:LWE589924 MGA589923:MGA589924 MPW589923:MPW589924 MZS589923:MZS589924 NJO589923:NJO589924 NTK589923:NTK589924 ODG589923:ODG589924 ONC589923:ONC589924 OWY589923:OWY589924 PGU589923:PGU589924 PQQ589923:PQQ589924 QAM589923:QAM589924 QKI589923:QKI589924 QUE589923:QUE589924 REA589923:REA589924 RNW589923:RNW589924 RXS589923:RXS589924 SHO589923:SHO589924 SRK589923:SRK589924 TBG589923:TBG589924 TLC589923:TLC589924 TUY589923:TUY589924 UEU589923:UEU589924 UOQ589923:UOQ589924 UYM589923:UYM589924 VII589923:VII589924 VSE589923:VSE589924 WCA589923:WCA589924 WLW589923:WLW589924 WVS589923:WVS589924 J655459:J655460 JG655459:JG655460 TC655459:TC655460 ACY655459:ACY655460 AMU655459:AMU655460 AWQ655459:AWQ655460 BGM655459:BGM655460 BQI655459:BQI655460 CAE655459:CAE655460 CKA655459:CKA655460 CTW655459:CTW655460 DDS655459:DDS655460 DNO655459:DNO655460 DXK655459:DXK655460 EHG655459:EHG655460 ERC655459:ERC655460 FAY655459:FAY655460 FKU655459:FKU655460 FUQ655459:FUQ655460 GEM655459:GEM655460 GOI655459:GOI655460 GYE655459:GYE655460 HIA655459:HIA655460 HRW655459:HRW655460 IBS655459:IBS655460 ILO655459:ILO655460 IVK655459:IVK655460 JFG655459:JFG655460 JPC655459:JPC655460 JYY655459:JYY655460 KIU655459:KIU655460 KSQ655459:KSQ655460 LCM655459:LCM655460 LMI655459:LMI655460 LWE655459:LWE655460 MGA655459:MGA655460 MPW655459:MPW655460 MZS655459:MZS655460 NJO655459:NJO655460 NTK655459:NTK655460 ODG655459:ODG655460 ONC655459:ONC655460 OWY655459:OWY655460 PGU655459:PGU655460 PQQ655459:PQQ655460 QAM655459:QAM655460 QKI655459:QKI655460 QUE655459:QUE655460 REA655459:REA655460 RNW655459:RNW655460 RXS655459:RXS655460 SHO655459:SHO655460 SRK655459:SRK655460 TBG655459:TBG655460 TLC655459:TLC655460 TUY655459:TUY655460 UEU655459:UEU655460 UOQ655459:UOQ655460 UYM655459:UYM655460 VII655459:VII655460 VSE655459:VSE655460 WCA655459:WCA655460 WLW655459:WLW655460 WVS655459:WVS655460 J720995:J720996 JG720995:JG720996 TC720995:TC720996 ACY720995:ACY720996 AMU720995:AMU720996 AWQ720995:AWQ720996 BGM720995:BGM720996 BQI720995:BQI720996 CAE720995:CAE720996 CKA720995:CKA720996 CTW720995:CTW720996 DDS720995:DDS720996 DNO720995:DNO720996 DXK720995:DXK720996 EHG720995:EHG720996 ERC720995:ERC720996 FAY720995:FAY720996 FKU720995:FKU720996 FUQ720995:FUQ720996 GEM720995:GEM720996 GOI720995:GOI720996 GYE720995:GYE720996 HIA720995:HIA720996 HRW720995:HRW720996 IBS720995:IBS720996 ILO720995:ILO720996 IVK720995:IVK720996 JFG720995:JFG720996 JPC720995:JPC720996 JYY720995:JYY720996 KIU720995:KIU720996 KSQ720995:KSQ720996 LCM720995:LCM720996 LMI720995:LMI720996 LWE720995:LWE720996 MGA720995:MGA720996 MPW720995:MPW720996 MZS720995:MZS720996 NJO720995:NJO720996 NTK720995:NTK720996 ODG720995:ODG720996 ONC720995:ONC720996 OWY720995:OWY720996 PGU720995:PGU720996 PQQ720995:PQQ720996 QAM720995:QAM720996 QKI720995:QKI720996 QUE720995:QUE720996 REA720995:REA720996 RNW720995:RNW720996 RXS720995:RXS720996 SHO720995:SHO720996 SRK720995:SRK720996 TBG720995:TBG720996 TLC720995:TLC720996 TUY720995:TUY720996 UEU720995:UEU720996 UOQ720995:UOQ720996 UYM720995:UYM720996 VII720995:VII720996 VSE720995:VSE720996 WCA720995:WCA720996 WLW720995:WLW720996 WVS720995:WVS720996 J786531:J786532 JG786531:JG786532 TC786531:TC786532 ACY786531:ACY786532 AMU786531:AMU786532 AWQ786531:AWQ786532 BGM786531:BGM786532 BQI786531:BQI786532 CAE786531:CAE786532 CKA786531:CKA786532 CTW786531:CTW786532 DDS786531:DDS786532 DNO786531:DNO786532 DXK786531:DXK786532 EHG786531:EHG786532 ERC786531:ERC786532 FAY786531:FAY786532 FKU786531:FKU786532 FUQ786531:FUQ786532 GEM786531:GEM786532 GOI786531:GOI786532 GYE786531:GYE786532 HIA786531:HIA786532 HRW786531:HRW786532 IBS786531:IBS786532 ILO786531:ILO786532 IVK786531:IVK786532 JFG786531:JFG786532 JPC786531:JPC786532 JYY786531:JYY786532 KIU786531:KIU786532 KSQ786531:KSQ786532 LCM786531:LCM786532 LMI786531:LMI786532 LWE786531:LWE786532 MGA786531:MGA786532 MPW786531:MPW786532 MZS786531:MZS786532 NJO786531:NJO786532 NTK786531:NTK786532 ODG786531:ODG786532 ONC786531:ONC786532 OWY786531:OWY786532 PGU786531:PGU786532 PQQ786531:PQQ786532 QAM786531:QAM786532 QKI786531:QKI786532 QUE786531:QUE786532 REA786531:REA786532 RNW786531:RNW786532 RXS786531:RXS786532 SHO786531:SHO786532 SRK786531:SRK786532 TBG786531:TBG786532 TLC786531:TLC786532 TUY786531:TUY786532 UEU786531:UEU786532 UOQ786531:UOQ786532 UYM786531:UYM786532 VII786531:VII786532 VSE786531:VSE786532 WCA786531:WCA786532 WLW786531:WLW786532 WVS786531:WVS786532 J852067:J852068 JG852067:JG852068 TC852067:TC852068 ACY852067:ACY852068 AMU852067:AMU852068 AWQ852067:AWQ852068 BGM852067:BGM852068 BQI852067:BQI852068 CAE852067:CAE852068 CKA852067:CKA852068 CTW852067:CTW852068 DDS852067:DDS852068 DNO852067:DNO852068 DXK852067:DXK852068 EHG852067:EHG852068 ERC852067:ERC852068 FAY852067:FAY852068 FKU852067:FKU852068 FUQ852067:FUQ852068 GEM852067:GEM852068 GOI852067:GOI852068 GYE852067:GYE852068 HIA852067:HIA852068 HRW852067:HRW852068 IBS852067:IBS852068 ILO852067:ILO852068 IVK852067:IVK852068 JFG852067:JFG852068 JPC852067:JPC852068 JYY852067:JYY852068 KIU852067:KIU852068 KSQ852067:KSQ852068 LCM852067:LCM852068 LMI852067:LMI852068 LWE852067:LWE852068 MGA852067:MGA852068 MPW852067:MPW852068 MZS852067:MZS852068 NJO852067:NJO852068 NTK852067:NTK852068 ODG852067:ODG852068 ONC852067:ONC852068 OWY852067:OWY852068 PGU852067:PGU852068 PQQ852067:PQQ852068 QAM852067:QAM852068 QKI852067:QKI852068 QUE852067:QUE852068 REA852067:REA852068 RNW852067:RNW852068 RXS852067:RXS852068 SHO852067:SHO852068 SRK852067:SRK852068 TBG852067:TBG852068 TLC852067:TLC852068 TUY852067:TUY852068 UEU852067:UEU852068 UOQ852067:UOQ852068 UYM852067:UYM852068 VII852067:VII852068 VSE852067:VSE852068 WCA852067:WCA852068 WLW852067:WLW852068 WVS852067:WVS852068 J917603:J917604 JG917603:JG917604 TC917603:TC917604 ACY917603:ACY917604 AMU917603:AMU917604 AWQ917603:AWQ917604 BGM917603:BGM917604 BQI917603:BQI917604 CAE917603:CAE917604 CKA917603:CKA917604 CTW917603:CTW917604 DDS917603:DDS917604 DNO917603:DNO917604 DXK917603:DXK917604 EHG917603:EHG917604 ERC917603:ERC917604 FAY917603:FAY917604 FKU917603:FKU917604 FUQ917603:FUQ917604 GEM917603:GEM917604 GOI917603:GOI917604 GYE917603:GYE917604 HIA917603:HIA917604 HRW917603:HRW917604 IBS917603:IBS917604 ILO917603:ILO917604 IVK917603:IVK917604 JFG917603:JFG917604 JPC917603:JPC917604 JYY917603:JYY917604 KIU917603:KIU917604 KSQ917603:KSQ917604 LCM917603:LCM917604 LMI917603:LMI917604 LWE917603:LWE917604 MGA917603:MGA917604 MPW917603:MPW917604 MZS917603:MZS917604 NJO917603:NJO917604 NTK917603:NTK917604 ODG917603:ODG917604 ONC917603:ONC917604 OWY917603:OWY917604 PGU917603:PGU917604 PQQ917603:PQQ917604 QAM917603:QAM917604 QKI917603:QKI917604 QUE917603:QUE917604 REA917603:REA917604 RNW917603:RNW917604 RXS917603:RXS917604 SHO917603:SHO917604 SRK917603:SRK917604 TBG917603:TBG917604 TLC917603:TLC917604 TUY917603:TUY917604 UEU917603:UEU917604 UOQ917603:UOQ917604 UYM917603:UYM917604 VII917603:VII917604 VSE917603:VSE917604 WCA917603:WCA917604 WLW917603:WLW917604 WVS917603:WVS917604 J983139:J983140 JG983139:JG983140 TC983139:TC983140 ACY983139:ACY983140 AMU983139:AMU983140 AWQ983139:AWQ983140 BGM983139:BGM983140 BQI983139:BQI983140 CAE983139:CAE983140 CKA983139:CKA983140 CTW983139:CTW983140 DDS983139:DDS983140 DNO983139:DNO983140 DXK983139:DXK983140 EHG983139:EHG983140 ERC983139:ERC983140 FAY983139:FAY983140 FKU983139:FKU983140 FUQ983139:FUQ983140 GEM983139:GEM983140 GOI983139:GOI983140 GYE983139:GYE983140 HIA983139:HIA983140 HRW983139:HRW983140 IBS983139:IBS983140 ILO983139:ILO983140 IVK983139:IVK983140 JFG983139:JFG983140 JPC983139:JPC983140 JYY983139:JYY983140 KIU983139:KIU983140 KSQ983139:KSQ983140 LCM983139:LCM983140 LMI983139:LMI983140 LWE983139:LWE983140 MGA983139:MGA983140 MPW983139:MPW983140 MZS983139:MZS983140 NJO983139:NJO983140 NTK983139:NTK983140 ODG983139:ODG983140 ONC983139:ONC983140 OWY983139:OWY983140 PGU983139:PGU983140 PQQ983139:PQQ983140 QAM983139:QAM983140 QKI983139:QKI983140 QUE983139:QUE983140 REA983139:REA983140 RNW983139:RNW983140 RXS983139:RXS983140 SHO983139:SHO983140 SRK983139:SRK983140 TBG983139:TBG983140 TLC983139:TLC983140 TUY983139:TUY983140 UEU983139:UEU983140 UOQ983139:UOQ983140 UYM983139:UYM983140 VII983139:VII983140 VSE983139:VSE983140 WCA983139:WCA983140 WLW983139:WLW983140 WVS983139:WVS983140 WVS983134:WVS983135 JG94:JG95 TC94:TC95 ACY94:ACY95 AMU94:AMU95 AWQ94:AWQ95 BGM94:BGM95 BQI94:BQI95 CAE94:CAE95 CKA94:CKA95 CTW94:CTW95 DDS94:DDS95 DNO94:DNO95 DXK94:DXK95 EHG94:EHG95 ERC94:ERC95 FAY94:FAY95 FKU94:FKU95 FUQ94:FUQ95 GEM94:GEM95 GOI94:GOI95 GYE94:GYE95 HIA94:HIA95 HRW94:HRW95 IBS94:IBS95 ILO94:ILO95 IVK94:IVK95 JFG94:JFG95 JPC94:JPC95 JYY94:JYY95 KIU94:KIU95 KSQ94:KSQ95 LCM94:LCM95 LMI94:LMI95 LWE94:LWE95 MGA94:MGA95 MPW94:MPW95 MZS94:MZS95 NJO94:NJO95 NTK94:NTK95 ODG94:ODG95 ONC94:ONC95 OWY94:OWY95 PGU94:PGU95 PQQ94:PQQ95 QAM94:QAM95 QKI94:QKI95 QUE94:QUE95 REA94:REA95 RNW94:RNW95 RXS94:RXS95 SHO94:SHO95 SRK94:SRK95 TBG94:TBG95 TLC94:TLC95 TUY94:TUY95 UEU94:UEU95 UOQ94:UOQ95 UYM94:UYM95 VII94:VII95 VSE94:VSE95 WCA94:WCA95 WLW94:WLW95 WVS94:WVS95 J65630:J65631 JG65630:JG65631 TC65630:TC65631 ACY65630:ACY65631 AMU65630:AMU65631 AWQ65630:AWQ65631 BGM65630:BGM65631 BQI65630:BQI65631 CAE65630:CAE65631 CKA65630:CKA65631 CTW65630:CTW65631 DDS65630:DDS65631 DNO65630:DNO65631 DXK65630:DXK65631 EHG65630:EHG65631 ERC65630:ERC65631 FAY65630:FAY65631 FKU65630:FKU65631 FUQ65630:FUQ65631 GEM65630:GEM65631 GOI65630:GOI65631 GYE65630:GYE65631 HIA65630:HIA65631 HRW65630:HRW65631 IBS65630:IBS65631 ILO65630:ILO65631 IVK65630:IVK65631 JFG65630:JFG65631 JPC65630:JPC65631 JYY65630:JYY65631 KIU65630:KIU65631 KSQ65630:KSQ65631 LCM65630:LCM65631 LMI65630:LMI65631 LWE65630:LWE65631 MGA65630:MGA65631 MPW65630:MPW65631 MZS65630:MZS65631 NJO65630:NJO65631 NTK65630:NTK65631 ODG65630:ODG65631 ONC65630:ONC65631 OWY65630:OWY65631 PGU65630:PGU65631 PQQ65630:PQQ65631 QAM65630:QAM65631 QKI65630:QKI65631 QUE65630:QUE65631 REA65630:REA65631 RNW65630:RNW65631 RXS65630:RXS65631 SHO65630:SHO65631 SRK65630:SRK65631 TBG65630:TBG65631 TLC65630:TLC65631 TUY65630:TUY65631 UEU65630:UEU65631 UOQ65630:UOQ65631 UYM65630:UYM65631 VII65630:VII65631 VSE65630:VSE65631 WCA65630:WCA65631 WLW65630:WLW65631 WVS65630:WVS65631 J131166:J131167 JG131166:JG131167 TC131166:TC131167 ACY131166:ACY131167 AMU131166:AMU131167 AWQ131166:AWQ131167 BGM131166:BGM131167 BQI131166:BQI131167 CAE131166:CAE131167 CKA131166:CKA131167 CTW131166:CTW131167 DDS131166:DDS131167 DNO131166:DNO131167 DXK131166:DXK131167 EHG131166:EHG131167 ERC131166:ERC131167 FAY131166:FAY131167 FKU131166:FKU131167 FUQ131166:FUQ131167 GEM131166:GEM131167 GOI131166:GOI131167 GYE131166:GYE131167 HIA131166:HIA131167 HRW131166:HRW131167 IBS131166:IBS131167 ILO131166:ILO131167 IVK131166:IVK131167 JFG131166:JFG131167 JPC131166:JPC131167 JYY131166:JYY131167 KIU131166:KIU131167 KSQ131166:KSQ131167 LCM131166:LCM131167 LMI131166:LMI131167 LWE131166:LWE131167 MGA131166:MGA131167 MPW131166:MPW131167 MZS131166:MZS131167 NJO131166:NJO131167 NTK131166:NTK131167 ODG131166:ODG131167 ONC131166:ONC131167 OWY131166:OWY131167 PGU131166:PGU131167 PQQ131166:PQQ131167 QAM131166:QAM131167 QKI131166:QKI131167 QUE131166:QUE131167 REA131166:REA131167 RNW131166:RNW131167 RXS131166:RXS131167 SHO131166:SHO131167 SRK131166:SRK131167 TBG131166:TBG131167 TLC131166:TLC131167 TUY131166:TUY131167 UEU131166:UEU131167 UOQ131166:UOQ131167 UYM131166:UYM131167 VII131166:VII131167 VSE131166:VSE131167 WCA131166:WCA131167 WLW131166:WLW131167 WVS131166:WVS131167 J196702:J196703 JG196702:JG196703 TC196702:TC196703 ACY196702:ACY196703 AMU196702:AMU196703 AWQ196702:AWQ196703 BGM196702:BGM196703 BQI196702:BQI196703 CAE196702:CAE196703 CKA196702:CKA196703 CTW196702:CTW196703 DDS196702:DDS196703 DNO196702:DNO196703 DXK196702:DXK196703 EHG196702:EHG196703 ERC196702:ERC196703 FAY196702:FAY196703 FKU196702:FKU196703 FUQ196702:FUQ196703 GEM196702:GEM196703 GOI196702:GOI196703 GYE196702:GYE196703 HIA196702:HIA196703 HRW196702:HRW196703 IBS196702:IBS196703 ILO196702:ILO196703 IVK196702:IVK196703 JFG196702:JFG196703 JPC196702:JPC196703 JYY196702:JYY196703 KIU196702:KIU196703 KSQ196702:KSQ196703 LCM196702:LCM196703 LMI196702:LMI196703 LWE196702:LWE196703 MGA196702:MGA196703 MPW196702:MPW196703 MZS196702:MZS196703 NJO196702:NJO196703 NTK196702:NTK196703 ODG196702:ODG196703 ONC196702:ONC196703 OWY196702:OWY196703 PGU196702:PGU196703 PQQ196702:PQQ196703 QAM196702:QAM196703 QKI196702:QKI196703 QUE196702:QUE196703 REA196702:REA196703 RNW196702:RNW196703 RXS196702:RXS196703 SHO196702:SHO196703 SRK196702:SRK196703 TBG196702:TBG196703 TLC196702:TLC196703 TUY196702:TUY196703 UEU196702:UEU196703 UOQ196702:UOQ196703 UYM196702:UYM196703 VII196702:VII196703 VSE196702:VSE196703 WCA196702:WCA196703 WLW196702:WLW196703 WVS196702:WVS196703 J262238:J262239 JG262238:JG262239 TC262238:TC262239 ACY262238:ACY262239 AMU262238:AMU262239 AWQ262238:AWQ262239 BGM262238:BGM262239 BQI262238:BQI262239 CAE262238:CAE262239 CKA262238:CKA262239 CTW262238:CTW262239 DDS262238:DDS262239 DNO262238:DNO262239 DXK262238:DXK262239 EHG262238:EHG262239 ERC262238:ERC262239 FAY262238:FAY262239 FKU262238:FKU262239 FUQ262238:FUQ262239 GEM262238:GEM262239 GOI262238:GOI262239 GYE262238:GYE262239 HIA262238:HIA262239 HRW262238:HRW262239 IBS262238:IBS262239 ILO262238:ILO262239 IVK262238:IVK262239 JFG262238:JFG262239 JPC262238:JPC262239 JYY262238:JYY262239 KIU262238:KIU262239 KSQ262238:KSQ262239 LCM262238:LCM262239 LMI262238:LMI262239 LWE262238:LWE262239 MGA262238:MGA262239 MPW262238:MPW262239 MZS262238:MZS262239 NJO262238:NJO262239 NTK262238:NTK262239 ODG262238:ODG262239 ONC262238:ONC262239 OWY262238:OWY262239 PGU262238:PGU262239 PQQ262238:PQQ262239 QAM262238:QAM262239 QKI262238:QKI262239 QUE262238:QUE262239 REA262238:REA262239 RNW262238:RNW262239 RXS262238:RXS262239 SHO262238:SHO262239 SRK262238:SRK262239 TBG262238:TBG262239 TLC262238:TLC262239 TUY262238:TUY262239 UEU262238:UEU262239 UOQ262238:UOQ262239 UYM262238:UYM262239 VII262238:VII262239 VSE262238:VSE262239 WCA262238:WCA262239 WLW262238:WLW262239 WVS262238:WVS262239 J327774:J327775 JG327774:JG327775 TC327774:TC327775 ACY327774:ACY327775 AMU327774:AMU327775 AWQ327774:AWQ327775 BGM327774:BGM327775 BQI327774:BQI327775 CAE327774:CAE327775 CKA327774:CKA327775 CTW327774:CTW327775 DDS327774:DDS327775 DNO327774:DNO327775 DXK327774:DXK327775 EHG327774:EHG327775 ERC327774:ERC327775 FAY327774:FAY327775 FKU327774:FKU327775 FUQ327774:FUQ327775 GEM327774:GEM327775 GOI327774:GOI327775 GYE327774:GYE327775 HIA327774:HIA327775 HRW327774:HRW327775 IBS327774:IBS327775 ILO327774:ILO327775 IVK327774:IVK327775 JFG327774:JFG327775 JPC327774:JPC327775 JYY327774:JYY327775 KIU327774:KIU327775 KSQ327774:KSQ327775 LCM327774:LCM327775 LMI327774:LMI327775 LWE327774:LWE327775 MGA327774:MGA327775 MPW327774:MPW327775 MZS327774:MZS327775 NJO327774:NJO327775 NTK327774:NTK327775 ODG327774:ODG327775 ONC327774:ONC327775 OWY327774:OWY327775 PGU327774:PGU327775 PQQ327774:PQQ327775 QAM327774:QAM327775 QKI327774:QKI327775 QUE327774:QUE327775 REA327774:REA327775 RNW327774:RNW327775 RXS327774:RXS327775 SHO327774:SHO327775 SRK327774:SRK327775 TBG327774:TBG327775 TLC327774:TLC327775 TUY327774:TUY327775 UEU327774:UEU327775 UOQ327774:UOQ327775 UYM327774:UYM327775 VII327774:VII327775 VSE327774:VSE327775 WCA327774:WCA327775 WLW327774:WLW327775 WVS327774:WVS327775 J393310:J393311 JG393310:JG393311 TC393310:TC393311 ACY393310:ACY393311 AMU393310:AMU393311 AWQ393310:AWQ393311 BGM393310:BGM393311 BQI393310:BQI393311 CAE393310:CAE393311 CKA393310:CKA393311 CTW393310:CTW393311 DDS393310:DDS393311 DNO393310:DNO393311 DXK393310:DXK393311 EHG393310:EHG393311 ERC393310:ERC393311 FAY393310:FAY393311 FKU393310:FKU393311 FUQ393310:FUQ393311 GEM393310:GEM393311 GOI393310:GOI393311 GYE393310:GYE393311 HIA393310:HIA393311 HRW393310:HRW393311 IBS393310:IBS393311 ILO393310:ILO393311 IVK393310:IVK393311 JFG393310:JFG393311 JPC393310:JPC393311 JYY393310:JYY393311 KIU393310:KIU393311 KSQ393310:KSQ393311 LCM393310:LCM393311 LMI393310:LMI393311 LWE393310:LWE393311 MGA393310:MGA393311 MPW393310:MPW393311 MZS393310:MZS393311 NJO393310:NJO393311 NTK393310:NTK393311 ODG393310:ODG393311 ONC393310:ONC393311 OWY393310:OWY393311 PGU393310:PGU393311 PQQ393310:PQQ393311 QAM393310:QAM393311 QKI393310:QKI393311 QUE393310:QUE393311 REA393310:REA393311 RNW393310:RNW393311 RXS393310:RXS393311 SHO393310:SHO393311 SRK393310:SRK393311 TBG393310:TBG393311 TLC393310:TLC393311 TUY393310:TUY393311 UEU393310:UEU393311 UOQ393310:UOQ393311 UYM393310:UYM393311 VII393310:VII393311 VSE393310:VSE393311 WCA393310:WCA393311 WLW393310:WLW393311 WVS393310:WVS393311 J458846:J458847 JG458846:JG458847 TC458846:TC458847 ACY458846:ACY458847 AMU458846:AMU458847 AWQ458846:AWQ458847 BGM458846:BGM458847 BQI458846:BQI458847 CAE458846:CAE458847 CKA458846:CKA458847 CTW458846:CTW458847 DDS458846:DDS458847 DNO458846:DNO458847 DXK458846:DXK458847 EHG458846:EHG458847 ERC458846:ERC458847 FAY458846:FAY458847 FKU458846:FKU458847 FUQ458846:FUQ458847 GEM458846:GEM458847 GOI458846:GOI458847 GYE458846:GYE458847 HIA458846:HIA458847 HRW458846:HRW458847 IBS458846:IBS458847 ILO458846:ILO458847 IVK458846:IVK458847 JFG458846:JFG458847 JPC458846:JPC458847 JYY458846:JYY458847 KIU458846:KIU458847 KSQ458846:KSQ458847 LCM458846:LCM458847 LMI458846:LMI458847 LWE458846:LWE458847 MGA458846:MGA458847 MPW458846:MPW458847 MZS458846:MZS458847 NJO458846:NJO458847 NTK458846:NTK458847 ODG458846:ODG458847 ONC458846:ONC458847 OWY458846:OWY458847 PGU458846:PGU458847 PQQ458846:PQQ458847 QAM458846:QAM458847 QKI458846:QKI458847 QUE458846:QUE458847 REA458846:REA458847 RNW458846:RNW458847 RXS458846:RXS458847 SHO458846:SHO458847 SRK458846:SRK458847 TBG458846:TBG458847 TLC458846:TLC458847 TUY458846:TUY458847 UEU458846:UEU458847 UOQ458846:UOQ458847 UYM458846:UYM458847 VII458846:VII458847 VSE458846:VSE458847 WCA458846:WCA458847 WLW458846:WLW458847 WVS458846:WVS458847 J524382:J524383 JG524382:JG524383 TC524382:TC524383 ACY524382:ACY524383 AMU524382:AMU524383 AWQ524382:AWQ524383 BGM524382:BGM524383 BQI524382:BQI524383 CAE524382:CAE524383 CKA524382:CKA524383 CTW524382:CTW524383 DDS524382:DDS524383 DNO524382:DNO524383 DXK524382:DXK524383 EHG524382:EHG524383 ERC524382:ERC524383 FAY524382:FAY524383 FKU524382:FKU524383 FUQ524382:FUQ524383 GEM524382:GEM524383 GOI524382:GOI524383 GYE524382:GYE524383 HIA524382:HIA524383 HRW524382:HRW524383 IBS524382:IBS524383 ILO524382:ILO524383 IVK524382:IVK524383 JFG524382:JFG524383 JPC524382:JPC524383 JYY524382:JYY524383 KIU524382:KIU524383 KSQ524382:KSQ524383 LCM524382:LCM524383 LMI524382:LMI524383 LWE524382:LWE524383 MGA524382:MGA524383 MPW524382:MPW524383 MZS524382:MZS524383 NJO524382:NJO524383 NTK524382:NTK524383 ODG524382:ODG524383 ONC524382:ONC524383 OWY524382:OWY524383 PGU524382:PGU524383 PQQ524382:PQQ524383 QAM524382:QAM524383 QKI524382:QKI524383 QUE524382:QUE524383 REA524382:REA524383 RNW524382:RNW524383 RXS524382:RXS524383 SHO524382:SHO524383 SRK524382:SRK524383 TBG524382:TBG524383 TLC524382:TLC524383 TUY524382:TUY524383 UEU524382:UEU524383 UOQ524382:UOQ524383 UYM524382:UYM524383 VII524382:VII524383 VSE524382:VSE524383 WCA524382:WCA524383 WLW524382:WLW524383 WVS524382:WVS524383 J589918:J589919 JG589918:JG589919 TC589918:TC589919 ACY589918:ACY589919 AMU589918:AMU589919 AWQ589918:AWQ589919 BGM589918:BGM589919 BQI589918:BQI589919 CAE589918:CAE589919 CKA589918:CKA589919 CTW589918:CTW589919 DDS589918:DDS589919 DNO589918:DNO589919 DXK589918:DXK589919 EHG589918:EHG589919 ERC589918:ERC589919 FAY589918:FAY589919 FKU589918:FKU589919 FUQ589918:FUQ589919 GEM589918:GEM589919 GOI589918:GOI589919 GYE589918:GYE589919 HIA589918:HIA589919 HRW589918:HRW589919 IBS589918:IBS589919 ILO589918:ILO589919 IVK589918:IVK589919 JFG589918:JFG589919 JPC589918:JPC589919 JYY589918:JYY589919 KIU589918:KIU589919 KSQ589918:KSQ589919 LCM589918:LCM589919 LMI589918:LMI589919 LWE589918:LWE589919 MGA589918:MGA589919 MPW589918:MPW589919 MZS589918:MZS589919 NJO589918:NJO589919 NTK589918:NTK589919 ODG589918:ODG589919 ONC589918:ONC589919 OWY589918:OWY589919 PGU589918:PGU589919 PQQ589918:PQQ589919 QAM589918:QAM589919 QKI589918:QKI589919 QUE589918:QUE589919 REA589918:REA589919 RNW589918:RNW589919 RXS589918:RXS589919 SHO589918:SHO589919 SRK589918:SRK589919 TBG589918:TBG589919 TLC589918:TLC589919 TUY589918:TUY589919 UEU589918:UEU589919 UOQ589918:UOQ589919 UYM589918:UYM589919 VII589918:VII589919 VSE589918:VSE589919 WCA589918:WCA589919 WLW589918:WLW589919 WVS589918:WVS589919 J655454:J655455 JG655454:JG655455 TC655454:TC655455 ACY655454:ACY655455 AMU655454:AMU655455 AWQ655454:AWQ655455 BGM655454:BGM655455 BQI655454:BQI655455 CAE655454:CAE655455 CKA655454:CKA655455 CTW655454:CTW655455 DDS655454:DDS655455 DNO655454:DNO655455 DXK655454:DXK655455 EHG655454:EHG655455 ERC655454:ERC655455 FAY655454:FAY655455 FKU655454:FKU655455 FUQ655454:FUQ655455 GEM655454:GEM655455 GOI655454:GOI655455 GYE655454:GYE655455 HIA655454:HIA655455 HRW655454:HRW655455 IBS655454:IBS655455 ILO655454:ILO655455 IVK655454:IVK655455 JFG655454:JFG655455 JPC655454:JPC655455 JYY655454:JYY655455 KIU655454:KIU655455 KSQ655454:KSQ655455 LCM655454:LCM655455 LMI655454:LMI655455 LWE655454:LWE655455 MGA655454:MGA655455 MPW655454:MPW655455 MZS655454:MZS655455 NJO655454:NJO655455 NTK655454:NTK655455 ODG655454:ODG655455 ONC655454:ONC655455 OWY655454:OWY655455 PGU655454:PGU655455 PQQ655454:PQQ655455 QAM655454:QAM655455 QKI655454:QKI655455 QUE655454:QUE655455 REA655454:REA655455 RNW655454:RNW655455 RXS655454:RXS655455 SHO655454:SHO655455 SRK655454:SRK655455 TBG655454:TBG655455 TLC655454:TLC655455 TUY655454:TUY655455 UEU655454:UEU655455 UOQ655454:UOQ655455 UYM655454:UYM655455 VII655454:VII655455 VSE655454:VSE655455 WCA655454:WCA655455 WLW655454:WLW655455 WVS655454:WVS655455 J720990:J720991 JG720990:JG720991 TC720990:TC720991 ACY720990:ACY720991 AMU720990:AMU720991 AWQ720990:AWQ720991 BGM720990:BGM720991 BQI720990:BQI720991 CAE720990:CAE720991 CKA720990:CKA720991 CTW720990:CTW720991 DDS720990:DDS720991 DNO720990:DNO720991 DXK720990:DXK720991 EHG720990:EHG720991 ERC720990:ERC720991 FAY720990:FAY720991 FKU720990:FKU720991 FUQ720990:FUQ720991 GEM720990:GEM720991 GOI720990:GOI720991 GYE720990:GYE720991 HIA720990:HIA720991 HRW720990:HRW720991 IBS720990:IBS720991 ILO720990:ILO720991 IVK720990:IVK720991 JFG720990:JFG720991 JPC720990:JPC720991 JYY720990:JYY720991 KIU720990:KIU720991 KSQ720990:KSQ720991 LCM720990:LCM720991 LMI720990:LMI720991 LWE720990:LWE720991 MGA720990:MGA720991 MPW720990:MPW720991 MZS720990:MZS720991 NJO720990:NJO720991 NTK720990:NTK720991 ODG720990:ODG720991 ONC720990:ONC720991 OWY720990:OWY720991 PGU720990:PGU720991 PQQ720990:PQQ720991 QAM720990:QAM720991 QKI720990:QKI720991 QUE720990:QUE720991 REA720990:REA720991 RNW720990:RNW720991 RXS720990:RXS720991 SHO720990:SHO720991 SRK720990:SRK720991 TBG720990:TBG720991 TLC720990:TLC720991 TUY720990:TUY720991 UEU720990:UEU720991 UOQ720990:UOQ720991 UYM720990:UYM720991 VII720990:VII720991 VSE720990:VSE720991 WCA720990:WCA720991 WLW720990:WLW720991 WVS720990:WVS720991 J786526:J786527 JG786526:JG786527 TC786526:TC786527 ACY786526:ACY786527 AMU786526:AMU786527 AWQ786526:AWQ786527 BGM786526:BGM786527 BQI786526:BQI786527 CAE786526:CAE786527 CKA786526:CKA786527 CTW786526:CTW786527 DDS786526:DDS786527 DNO786526:DNO786527 DXK786526:DXK786527 EHG786526:EHG786527 ERC786526:ERC786527 FAY786526:FAY786527 FKU786526:FKU786527 FUQ786526:FUQ786527 GEM786526:GEM786527 GOI786526:GOI786527 GYE786526:GYE786527 HIA786526:HIA786527 HRW786526:HRW786527 IBS786526:IBS786527 ILO786526:ILO786527 IVK786526:IVK786527 JFG786526:JFG786527 JPC786526:JPC786527 JYY786526:JYY786527 KIU786526:KIU786527 KSQ786526:KSQ786527 LCM786526:LCM786527 LMI786526:LMI786527 LWE786526:LWE786527 MGA786526:MGA786527 MPW786526:MPW786527 MZS786526:MZS786527 NJO786526:NJO786527 NTK786526:NTK786527 ODG786526:ODG786527 ONC786526:ONC786527 OWY786526:OWY786527 PGU786526:PGU786527 PQQ786526:PQQ786527 QAM786526:QAM786527 QKI786526:QKI786527 QUE786526:QUE786527 REA786526:REA786527 RNW786526:RNW786527 RXS786526:RXS786527 SHO786526:SHO786527 SRK786526:SRK786527 TBG786526:TBG786527 TLC786526:TLC786527 TUY786526:TUY786527 UEU786526:UEU786527 UOQ786526:UOQ786527 UYM786526:UYM786527 VII786526:VII786527 VSE786526:VSE786527 WCA786526:WCA786527 WLW786526:WLW786527 WVS786526:WVS786527 J852062:J852063 JG852062:JG852063 TC852062:TC852063 ACY852062:ACY852063 AMU852062:AMU852063 AWQ852062:AWQ852063 BGM852062:BGM852063 BQI852062:BQI852063 CAE852062:CAE852063 CKA852062:CKA852063 CTW852062:CTW852063 DDS852062:DDS852063 DNO852062:DNO852063 DXK852062:DXK852063 EHG852062:EHG852063 ERC852062:ERC852063 FAY852062:FAY852063 FKU852062:FKU852063 FUQ852062:FUQ852063 GEM852062:GEM852063 GOI852062:GOI852063 GYE852062:GYE852063 HIA852062:HIA852063 HRW852062:HRW852063 IBS852062:IBS852063 ILO852062:ILO852063 IVK852062:IVK852063 JFG852062:JFG852063 JPC852062:JPC852063 JYY852062:JYY852063 KIU852062:KIU852063 KSQ852062:KSQ852063 LCM852062:LCM852063 LMI852062:LMI852063 LWE852062:LWE852063 MGA852062:MGA852063 MPW852062:MPW852063 MZS852062:MZS852063 NJO852062:NJO852063 NTK852062:NTK852063 ODG852062:ODG852063 ONC852062:ONC852063 OWY852062:OWY852063 PGU852062:PGU852063 PQQ852062:PQQ852063 QAM852062:QAM852063 QKI852062:QKI852063 QUE852062:QUE852063 REA852062:REA852063 RNW852062:RNW852063 RXS852062:RXS852063 SHO852062:SHO852063 SRK852062:SRK852063 TBG852062:TBG852063 TLC852062:TLC852063 TUY852062:TUY852063 UEU852062:UEU852063 UOQ852062:UOQ852063 UYM852062:UYM852063 VII852062:VII852063 VSE852062:VSE852063 WCA852062:WCA852063 WLW852062:WLW852063 WVS852062:WVS852063 J917598:J917599 JG917598:JG917599 TC917598:TC917599 ACY917598:ACY917599 AMU917598:AMU917599 AWQ917598:AWQ917599 BGM917598:BGM917599 BQI917598:BQI917599 CAE917598:CAE917599 CKA917598:CKA917599 CTW917598:CTW917599 DDS917598:DDS917599 DNO917598:DNO917599 DXK917598:DXK917599 EHG917598:EHG917599 ERC917598:ERC917599 FAY917598:FAY917599 FKU917598:FKU917599 FUQ917598:FUQ917599 GEM917598:GEM917599 GOI917598:GOI917599 GYE917598:GYE917599 HIA917598:HIA917599 HRW917598:HRW917599 IBS917598:IBS917599 ILO917598:ILO917599 IVK917598:IVK917599 JFG917598:JFG917599 JPC917598:JPC917599 JYY917598:JYY917599 KIU917598:KIU917599 KSQ917598:KSQ917599 LCM917598:LCM917599 LMI917598:LMI917599 LWE917598:LWE917599 MGA917598:MGA917599 MPW917598:MPW917599 MZS917598:MZS917599 NJO917598:NJO917599 NTK917598:NTK917599 ODG917598:ODG917599 ONC917598:ONC917599 OWY917598:OWY917599 PGU917598:PGU917599 PQQ917598:PQQ917599 QAM917598:QAM917599 QKI917598:QKI917599 QUE917598:QUE917599 REA917598:REA917599 RNW917598:RNW917599 RXS917598:RXS917599 SHO917598:SHO917599 SRK917598:SRK917599 TBG917598:TBG917599 TLC917598:TLC917599 TUY917598:TUY917599 UEU917598:UEU917599 UOQ917598:UOQ917599 UYM917598:UYM917599 VII917598:VII917599 VSE917598:VSE917599 WCA917598:WCA917599 WLW917598:WLW917599 WVS917598:WVS917599 J983134:J983135 JG983134:JG983135 TC983134:TC983135 ACY983134:ACY983135 AMU983134:AMU983135 AWQ983134:AWQ983135 BGM983134:BGM983135 BQI983134:BQI983135 CAE983134:CAE983135 CKA983134:CKA983135 CTW983134:CTW983135 DDS983134:DDS983135 DNO983134:DNO983135 DXK983134:DXK983135 EHG983134:EHG983135 ERC983134:ERC983135 FAY983134:FAY983135 FKU983134:FKU983135 FUQ983134:FUQ983135 GEM983134:GEM983135 GOI983134:GOI983135 GYE983134:GYE983135 HIA983134:HIA983135 HRW983134:HRW983135 IBS983134:IBS983135 ILO983134:ILO983135 IVK983134:IVK983135 JFG983134:JFG983135 JPC983134:JPC983135 JYY983134:JYY983135 KIU983134:KIU983135 KSQ983134:KSQ983135 LCM983134:LCM983135 LMI983134:LMI983135 LWE983134:LWE983135 MGA983134:MGA983135 MPW983134:MPW983135 MZS983134:MZS983135 NJO983134:NJO983135 NTK983134:NTK983135 ODG983134:ODG983135 ONC983134:ONC983135 OWY983134:OWY983135 PGU983134:PGU983135 PQQ983134:PQQ983135 QAM983134:QAM983135 QKI983134:QKI983135 QUE983134:QUE983135 REA983134:REA983135 RNW983134:RNW983135 RXS983134:RXS983135 SHO983134:SHO983135 SRK983134:SRK983135 TBG983134:TBG983135 TLC983134:TLC983135 TUY983134:TUY983135 UEU983134:UEU983135 UOQ983134:UOQ983135 UYM983134:UYM983135 VII983134:VII983135 VSE983134:VSE983135 WCA983134:WCA983135 WLW983134:WLW983135">
      <formula1>0</formula1>
    </dataValidation>
    <dataValidation type="list" allowBlank="1" showInputMessage="1" showErrorMessage="1" sqref="N46:N48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N65584:N65586 JK65584:JK65586 TG65584:TG65586 ADC65584:ADC65586 AMY65584:AMY65586 AWU65584:AWU65586 BGQ65584:BGQ65586 BQM65584:BQM65586 CAI65584:CAI65586 CKE65584:CKE65586 CUA65584:CUA65586 DDW65584:DDW65586 DNS65584:DNS65586 DXO65584:DXO65586 EHK65584:EHK65586 ERG65584:ERG65586 FBC65584:FBC65586 FKY65584:FKY65586 FUU65584:FUU65586 GEQ65584:GEQ65586 GOM65584:GOM65586 GYI65584:GYI65586 HIE65584:HIE65586 HSA65584:HSA65586 IBW65584:IBW65586 ILS65584:ILS65586 IVO65584:IVO65586 JFK65584:JFK65586 JPG65584:JPG65586 JZC65584:JZC65586 KIY65584:KIY65586 KSU65584:KSU65586 LCQ65584:LCQ65586 LMM65584:LMM65586 LWI65584:LWI65586 MGE65584:MGE65586 MQA65584:MQA65586 MZW65584:MZW65586 NJS65584:NJS65586 NTO65584:NTO65586 ODK65584:ODK65586 ONG65584:ONG65586 OXC65584:OXC65586 PGY65584:PGY65586 PQU65584:PQU65586 QAQ65584:QAQ65586 QKM65584:QKM65586 QUI65584:QUI65586 REE65584:REE65586 ROA65584:ROA65586 RXW65584:RXW65586 SHS65584:SHS65586 SRO65584:SRO65586 TBK65584:TBK65586 TLG65584:TLG65586 TVC65584:TVC65586 UEY65584:UEY65586 UOU65584:UOU65586 UYQ65584:UYQ65586 VIM65584:VIM65586 VSI65584:VSI65586 WCE65584:WCE65586 WMA65584:WMA65586 WVW65584:WVW65586 N131120:N131122 JK131120:JK131122 TG131120:TG131122 ADC131120:ADC131122 AMY131120:AMY131122 AWU131120:AWU131122 BGQ131120:BGQ131122 BQM131120:BQM131122 CAI131120:CAI131122 CKE131120:CKE131122 CUA131120:CUA131122 DDW131120:DDW131122 DNS131120:DNS131122 DXO131120:DXO131122 EHK131120:EHK131122 ERG131120:ERG131122 FBC131120:FBC131122 FKY131120:FKY131122 FUU131120:FUU131122 GEQ131120:GEQ131122 GOM131120:GOM131122 GYI131120:GYI131122 HIE131120:HIE131122 HSA131120:HSA131122 IBW131120:IBW131122 ILS131120:ILS131122 IVO131120:IVO131122 JFK131120:JFK131122 JPG131120:JPG131122 JZC131120:JZC131122 KIY131120:KIY131122 KSU131120:KSU131122 LCQ131120:LCQ131122 LMM131120:LMM131122 LWI131120:LWI131122 MGE131120:MGE131122 MQA131120:MQA131122 MZW131120:MZW131122 NJS131120:NJS131122 NTO131120:NTO131122 ODK131120:ODK131122 ONG131120:ONG131122 OXC131120:OXC131122 PGY131120:PGY131122 PQU131120:PQU131122 QAQ131120:QAQ131122 QKM131120:QKM131122 QUI131120:QUI131122 REE131120:REE131122 ROA131120:ROA131122 RXW131120:RXW131122 SHS131120:SHS131122 SRO131120:SRO131122 TBK131120:TBK131122 TLG131120:TLG131122 TVC131120:TVC131122 UEY131120:UEY131122 UOU131120:UOU131122 UYQ131120:UYQ131122 VIM131120:VIM131122 VSI131120:VSI131122 WCE131120:WCE131122 WMA131120:WMA131122 WVW131120:WVW131122 N196656:N196658 JK196656:JK196658 TG196656:TG196658 ADC196656:ADC196658 AMY196656:AMY196658 AWU196656:AWU196658 BGQ196656:BGQ196658 BQM196656:BQM196658 CAI196656:CAI196658 CKE196656:CKE196658 CUA196656:CUA196658 DDW196656:DDW196658 DNS196656:DNS196658 DXO196656:DXO196658 EHK196656:EHK196658 ERG196656:ERG196658 FBC196656:FBC196658 FKY196656:FKY196658 FUU196656:FUU196658 GEQ196656:GEQ196658 GOM196656:GOM196658 GYI196656:GYI196658 HIE196656:HIE196658 HSA196656:HSA196658 IBW196656:IBW196658 ILS196656:ILS196658 IVO196656:IVO196658 JFK196656:JFK196658 JPG196656:JPG196658 JZC196656:JZC196658 KIY196656:KIY196658 KSU196656:KSU196658 LCQ196656:LCQ196658 LMM196656:LMM196658 LWI196656:LWI196658 MGE196656:MGE196658 MQA196656:MQA196658 MZW196656:MZW196658 NJS196656:NJS196658 NTO196656:NTO196658 ODK196656:ODK196658 ONG196656:ONG196658 OXC196656:OXC196658 PGY196656:PGY196658 PQU196656:PQU196658 QAQ196656:QAQ196658 QKM196656:QKM196658 QUI196656:QUI196658 REE196656:REE196658 ROA196656:ROA196658 RXW196656:RXW196658 SHS196656:SHS196658 SRO196656:SRO196658 TBK196656:TBK196658 TLG196656:TLG196658 TVC196656:TVC196658 UEY196656:UEY196658 UOU196656:UOU196658 UYQ196656:UYQ196658 VIM196656:VIM196658 VSI196656:VSI196658 WCE196656:WCE196658 WMA196656:WMA196658 WVW196656:WVW196658 N262192:N262194 JK262192:JK262194 TG262192:TG262194 ADC262192:ADC262194 AMY262192:AMY262194 AWU262192:AWU262194 BGQ262192:BGQ262194 BQM262192:BQM262194 CAI262192:CAI262194 CKE262192:CKE262194 CUA262192:CUA262194 DDW262192:DDW262194 DNS262192:DNS262194 DXO262192:DXO262194 EHK262192:EHK262194 ERG262192:ERG262194 FBC262192:FBC262194 FKY262192:FKY262194 FUU262192:FUU262194 GEQ262192:GEQ262194 GOM262192:GOM262194 GYI262192:GYI262194 HIE262192:HIE262194 HSA262192:HSA262194 IBW262192:IBW262194 ILS262192:ILS262194 IVO262192:IVO262194 JFK262192:JFK262194 JPG262192:JPG262194 JZC262192:JZC262194 KIY262192:KIY262194 KSU262192:KSU262194 LCQ262192:LCQ262194 LMM262192:LMM262194 LWI262192:LWI262194 MGE262192:MGE262194 MQA262192:MQA262194 MZW262192:MZW262194 NJS262192:NJS262194 NTO262192:NTO262194 ODK262192:ODK262194 ONG262192:ONG262194 OXC262192:OXC262194 PGY262192:PGY262194 PQU262192:PQU262194 QAQ262192:QAQ262194 QKM262192:QKM262194 QUI262192:QUI262194 REE262192:REE262194 ROA262192:ROA262194 RXW262192:RXW262194 SHS262192:SHS262194 SRO262192:SRO262194 TBK262192:TBK262194 TLG262192:TLG262194 TVC262192:TVC262194 UEY262192:UEY262194 UOU262192:UOU262194 UYQ262192:UYQ262194 VIM262192:VIM262194 VSI262192:VSI262194 WCE262192:WCE262194 WMA262192:WMA262194 WVW262192:WVW262194 N327728:N327730 JK327728:JK327730 TG327728:TG327730 ADC327728:ADC327730 AMY327728:AMY327730 AWU327728:AWU327730 BGQ327728:BGQ327730 BQM327728:BQM327730 CAI327728:CAI327730 CKE327728:CKE327730 CUA327728:CUA327730 DDW327728:DDW327730 DNS327728:DNS327730 DXO327728:DXO327730 EHK327728:EHK327730 ERG327728:ERG327730 FBC327728:FBC327730 FKY327728:FKY327730 FUU327728:FUU327730 GEQ327728:GEQ327730 GOM327728:GOM327730 GYI327728:GYI327730 HIE327728:HIE327730 HSA327728:HSA327730 IBW327728:IBW327730 ILS327728:ILS327730 IVO327728:IVO327730 JFK327728:JFK327730 JPG327728:JPG327730 JZC327728:JZC327730 KIY327728:KIY327730 KSU327728:KSU327730 LCQ327728:LCQ327730 LMM327728:LMM327730 LWI327728:LWI327730 MGE327728:MGE327730 MQA327728:MQA327730 MZW327728:MZW327730 NJS327728:NJS327730 NTO327728:NTO327730 ODK327728:ODK327730 ONG327728:ONG327730 OXC327728:OXC327730 PGY327728:PGY327730 PQU327728:PQU327730 QAQ327728:QAQ327730 QKM327728:QKM327730 QUI327728:QUI327730 REE327728:REE327730 ROA327728:ROA327730 RXW327728:RXW327730 SHS327728:SHS327730 SRO327728:SRO327730 TBK327728:TBK327730 TLG327728:TLG327730 TVC327728:TVC327730 UEY327728:UEY327730 UOU327728:UOU327730 UYQ327728:UYQ327730 VIM327728:VIM327730 VSI327728:VSI327730 WCE327728:WCE327730 WMA327728:WMA327730 WVW327728:WVW327730 N393264:N393266 JK393264:JK393266 TG393264:TG393266 ADC393264:ADC393266 AMY393264:AMY393266 AWU393264:AWU393266 BGQ393264:BGQ393266 BQM393264:BQM393266 CAI393264:CAI393266 CKE393264:CKE393266 CUA393264:CUA393266 DDW393264:DDW393266 DNS393264:DNS393266 DXO393264:DXO393266 EHK393264:EHK393266 ERG393264:ERG393266 FBC393264:FBC393266 FKY393264:FKY393266 FUU393264:FUU393266 GEQ393264:GEQ393266 GOM393264:GOM393266 GYI393264:GYI393266 HIE393264:HIE393266 HSA393264:HSA393266 IBW393264:IBW393266 ILS393264:ILS393266 IVO393264:IVO393266 JFK393264:JFK393266 JPG393264:JPG393266 JZC393264:JZC393266 KIY393264:KIY393266 KSU393264:KSU393266 LCQ393264:LCQ393266 LMM393264:LMM393266 LWI393264:LWI393266 MGE393264:MGE393266 MQA393264:MQA393266 MZW393264:MZW393266 NJS393264:NJS393266 NTO393264:NTO393266 ODK393264:ODK393266 ONG393264:ONG393266 OXC393264:OXC393266 PGY393264:PGY393266 PQU393264:PQU393266 QAQ393264:QAQ393266 QKM393264:QKM393266 QUI393264:QUI393266 REE393264:REE393266 ROA393264:ROA393266 RXW393264:RXW393266 SHS393264:SHS393266 SRO393264:SRO393266 TBK393264:TBK393266 TLG393264:TLG393266 TVC393264:TVC393266 UEY393264:UEY393266 UOU393264:UOU393266 UYQ393264:UYQ393266 VIM393264:VIM393266 VSI393264:VSI393266 WCE393264:WCE393266 WMA393264:WMA393266 WVW393264:WVW393266 N458800:N458802 JK458800:JK458802 TG458800:TG458802 ADC458800:ADC458802 AMY458800:AMY458802 AWU458800:AWU458802 BGQ458800:BGQ458802 BQM458800:BQM458802 CAI458800:CAI458802 CKE458800:CKE458802 CUA458800:CUA458802 DDW458800:DDW458802 DNS458800:DNS458802 DXO458800:DXO458802 EHK458800:EHK458802 ERG458800:ERG458802 FBC458800:FBC458802 FKY458800:FKY458802 FUU458800:FUU458802 GEQ458800:GEQ458802 GOM458800:GOM458802 GYI458800:GYI458802 HIE458800:HIE458802 HSA458800:HSA458802 IBW458800:IBW458802 ILS458800:ILS458802 IVO458800:IVO458802 JFK458800:JFK458802 JPG458800:JPG458802 JZC458800:JZC458802 KIY458800:KIY458802 KSU458800:KSU458802 LCQ458800:LCQ458802 LMM458800:LMM458802 LWI458800:LWI458802 MGE458800:MGE458802 MQA458800:MQA458802 MZW458800:MZW458802 NJS458800:NJS458802 NTO458800:NTO458802 ODK458800:ODK458802 ONG458800:ONG458802 OXC458800:OXC458802 PGY458800:PGY458802 PQU458800:PQU458802 QAQ458800:QAQ458802 QKM458800:QKM458802 QUI458800:QUI458802 REE458800:REE458802 ROA458800:ROA458802 RXW458800:RXW458802 SHS458800:SHS458802 SRO458800:SRO458802 TBK458800:TBK458802 TLG458800:TLG458802 TVC458800:TVC458802 UEY458800:UEY458802 UOU458800:UOU458802 UYQ458800:UYQ458802 VIM458800:VIM458802 VSI458800:VSI458802 WCE458800:WCE458802 WMA458800:WMA458802 WVW458800:WVW458802 N524336:N524338 JK524336:JK524338 TG524336:TG524338 ADC524336:ADC524338 AMY524336:AMY524338 AWU524336:AWU524338 BGQ524336:BGQ524338 BQM524336:BQM524338 CAI524336:CAI524338 CKE524336:CKE524338 CUA524336:CUA524338 DDW524336:DDW524338 DNS524336:DNS524338 DXO524336:DXO524338 EHK524336:EHK524338 ERG524336:ERG524338 FBC524336:FBC524338 FKY524336:FKY524338 FUU524336:FUU524338 GEQ524336:GEQ524338 GOM524336:GOM524338 GYI524336:GYI524338 HIE524336:HIE524338 HSA524336:HSA524338 IBW524336:IBW524338 ILS524336:ILS524338 IVO524336:IVO524338 JFK524336:JFK524338 JPG524336:JPG524338 JZC524336:JZC524338 KIY524336:KIY524338 KSU524336:KSU524338 LCQ524336:LCQ524338 LMM524336:LMM524338 LWI524336:LWI524338 MGE524336:MGE524338 MQA524336:MQA524338 MZW524336:MZW524338 NJS524336:NJS524338 NTO524336:NTO524338 ODK524336:ODK524338 ONG524336:ONG524338 OXC524336:OXC524338 PGY524336:PGY524338 PQU524336:PQU524338 QAQ524336:QAQ524338 QKM524336:QKM524338 QUI524336:QUI524338 REE524336:REE524338 ROA524336:ROA524338 RXW524336:RXW524338 SHS524336:SHS524338 SRO524336:SRO524338 TBK524336:TBK524338 TLG524336:TLG524338 TVC524336:TVC524338 UEY524336:UEY524338 UOU524336:UOU524338 UYQ524336:UYQ524338 VIM524336:VIM524338 VSI524336:VSI524338 WCE524336:WCE524338 WMA524336:WMA524338 WVW524336:WVW524338 N589872:N589874 JK589872:JK589874 TG589872:TG589874 ADC589872:ADC589874 AMY589872:AMY589874 AWU589872:AWU589874 BGQ589872:BGQ589874 BQM589872:BQM589874 CAI589872:CAI589874 CKE589872:CKE589874 CUA589872:CUA589874 DDW589872:DDW589874 DNS589872:DNS589874 DXO589872:DXO589874 EHK589872:EHK589874 ERG589872:ERG589874 FBC589872:FBC589874 FKY589872:FKY589874 FUU589872:FUU589874 GEQ589872:GEQ589874 GOM589872:GOM589874 GYI589872:GYI589874 HIE589872:HIE589874 HSA589872:HSA589874 IBW589872:IBW589874 ILS589872:ILS589874 IVO589872:IVO589874 JFK589872:JFK589874 JPG589872:JPG589874 JZC589872:JZC589874 KIY589872:KIY589874 KSU589872:KSU589874 LCQ589872:LCQ589874 LMM589872:LMM589874 LWI589872:LWI589874 MGE589872:MGE589874 MQA589872:MQA589874 MZW589872:MZW589874 NJS589872:NJS589874 NTO589872:NTO589874 ODK589872:ODK589874 ONG589872:ONG589874 OXC589872:OXC589874 PGY589872:PGY589874 PQU589872:PQU589874 QAQ589872:QAQ589874 QKM589872:QKM589874 QUI589872:QUI589874 REE589872:REE589874 ROA589872:ROA589874 RXW589872:RXW589874 SHS589872:SHS589874 SRO589872:SRO589874 TBK589872:TBK589874 TLG589872:TLG589874 TVC589872:TVC589874 UEY589872:UEY589874 UOU589872:UOU589874 UYQ589872:UYQ589874 VIM589872:VIM589874 VSI589872:VSI589874 WCE589872:WCE589874 WMA589872:WMA589874 WVW589872:WVW589874 N655408:N655410 JK655408:JK655410 TG655408:TG655410 ADC655408:ADC655410 AMY655408:AMY655410 AWU655408:AWU655410 BGQ655408:BGQ655410 BQM655408:BQM655410 CAI655408:CAI655410 CKE655408:CKE655410 CUA655408:CUA655410 DDW655408:DDW655410 DNS655408:DNS655410 DXO655408:DXO655410 EHK655408:EHK655410 ERG655408:ERG655410 FBC655408:FBC655410 FKY655408:FKY655410 FUU655408:FUU655410 GEQ655408:GEQ655410 GOM655408:GOM655410 GYI655408:GYI655410 HIE655408:HIE655410 HSA655408:HSA655410 IBW655408:IBW655410 ILS655408:ILS655410 IVO655408:IVO655410 JFK655408:JFK655410 JPG655408:JPG655410 JZC655408:JZC655410 KIY655408:KIY655410 KSU655408:KSU655410 LCQ655408:LCQ655410 LMM655408:LMM655410 LWI655408:LWI655410 MGE655408:MGE655410 MQA655408:MQA655410 MZW655408:MZW655410 NJS655408:NJS655410 NTO655408:NTO655410 ODK655408:ODK655410 ONG655408:ONG655410 OXC655408:OXC655410 PGY655408:PGY655410 PQU655408:PQU655410 QAQ655408:QAQ655410 QKM655408:QKM655410 QUI655408:QUI655410 REE655408:REE655410 ROA655408:ROA655410 RXW655408:RXW655410 SHS655408:SHS655410 SRO655408:SRO655410 TBK655408:TBK655410 TLG655408:TLG655410 TVC655408:TVC655410 UEY655408:UEY655410 UOU655408:UOU655410 UYQ655408:UYQ655410 VIM655408:VIM655410 VSI655408:VSI655410 WCE655408:WCE655410 WMA655408:WMA655410 WVW655408:WVW655410 N720944:N720946 JK720944:JK720946 TG720944:TG720946 ADC720944:ADC720946 AMY720944:AMY720946 AWU720944:AWU720946 BGQ720944:BGQ720946 BQM720944:BQM720946 CAI720944:CAI720946 CKE720944:CKE720946 CUA720944:CUA720946 DDW720944:DDW720946 DNS720944:DNS720946 DXO720944:DXO720946 EHK720944:EHK720946 ERG720944:ERG720946 FBC720944:FBC720946 FKY720944:FKY720946 FUU720944:FUU720946 GEQ720944:GEQ720946 GOM720944:GOM720946 GYI720944:GYI720946 HIE720944:HIE720946 HSA720944:HSA720946 IBW720944:IBW720946 ILS720944:ILS720946 IVO720944:IVO720946 JFK720944:JFK720946 JPG720944:JPG720946 JZC720944:JZC720946 KIY720944:KIY720946 KSU720944:KSU720946 LCQ720944:LCQ720946 LMM720944:LMM720946 LWI720944:LWI720946 MGE720944:MGE720946 MQA720944:MQA720946 MZW720944:MZW720946 NJS720944:NJS720946 NTO720944:NTO720946 ODK720944:ODK720946 ONG720944:ONG720946 OXC720944:OXC720946 PGY720944:PGY720946 PQU720944:PQU720946 QAQ720944:QAQ720946 QKM720944:QKM720946 QUI720944:QUI720946 REE720944:REE720946 ROA720944:ROA720946 RXW720944:RXW720946 SHS720944:SHS720946 SRO720944:SRO720946 TBK720944:TBK720946 TLG720944:TLG720946 TVC720944:TVC720946 UEY720944:UEY720946 UOU720944:UOU720946 UYQ720944:UYQ720946 VIM720944:VIM720946 VSI720944:VSI720946 WCE720944:WCE720946 WMA720944:WMA720946 WVW720944:WVW720946 N786480:N786482 JK786480:JK786482 TG786480:TG786482 ADC786480:ADC786482 AMY786480:AMY786482 AWU786480:AWU786482 BGQ786480:BGQ786482 BQM786480:BQM786482 CAI786480:CAI786482 CKE786480:CKE786482 CUA786480:CUA786482 DDW786480:DDW786482 DNS786480:DNS786482 DXO786480:DXO786482 EHK786480:EHK786482 ERG786480:ERG786482 FBC786480:FBC786482 FKY786480:FKY786482 FUU786480:FUU786482 GEQ786480:GEQ786482 GOM786480:GOM786482 GYI786480:GYI786482 HIE786480:HIE786482 HSA786480:HSA786482 IBW786480:IBW786482 ILS786480:ILS786482 IVO786480:IVO786482 JFK786480:JFK786482 JPG786480:JPG786482 JZC786480:JZC786482 KIY786480:KIY786482 KSU786480:KSU786482 LCQ786480:LCQ786482 LMM786480:LMM786482 LWI786480:LWI786482 MGE786480:MGE786482 MQA786480:MQA786482 MZW786480:MZW786482 NJS786480:NJS786482 NTO786480:NTO786482 ODK786480:ODK786482 ONG786480:ONG786482 OXC786480:OXC786482 PGY786480:PGY786482 PQU786480:PQU786482 QAQ786480:QAQ786482 QKM786480:QKM786482 QUI786480:QUI786482 REE786480:REE786482 ROA786480:ROA786482 RXW786480:RXW786482 SHS786480:SHS786482 SRO786480:SRO786482 TBK786480:TBK786482 TLG786480:TLG786482 TVC786480:TVC786482 UEY786480:UEY786482 UOU786480:UOU786482 UYQ786480:UYQ786482 VIM786480:VIM786482 VSI786480:VSI786482 WCE786480:WCE786482 WMA786480:WMA786482 WVW786480:WVW786482 N852016:N852018 JK852016:JK852018 TG852016:TG852018 ADC852016:ADC852018 AMY852016:AMY852018 AWU852016:AWU852018 BGQ852016:BGQ852018 BQM852016:BQM852018 CAI852016:CAI852018 CKE852016:CKE852018 CUA852016:CUA852018 DDW852016:DDW852018 DNS852016:DNS852018 DXO852016:DXO852018 EHK852016:EHK852018 ERG852016:ERG852018 FBC852016:FBC852018 FKY852016:FKY852018 FUU852016:FUU852018 GEQ852016:GEQ852018 GOM852016:GOM852018 GYI852016:GYI852018 HIE852016:HIE852018 HSA852016:HSA852018 IBW852016:IBW852018 ILS852016:ILS852018 IVO852016:IVO852018 JFK852016:JFK852018 JPG852016:JPG852018 JZC852016:JZC852018 KIY852016:KIY852018 KSU852016:KSU852018 LCQ852016:LCQ852018 LMM852016:LMM852018 LWI852016:LWI852018 MGE852016:MGE852018 MQA852016:MQA852018 MZW852016:MZW852018 NJS852016:NJS852018 NTO852016:NTO852018 ODK852016:ODK852018 ONG852016:ONG852018 OXC852016:OXC852018 PGY852016:PGY852018 PQU852016:PQU852018 QAQ852016:QAQ852018 QKM852016:QKM852018 QUI852016:QUI852018 REE852016:REE852018 ROA852016:ROA852018 RXW852016:RXW852018 SHS852016:SHS852018 SRO852016:SRO852018 TBK852016:TBK852018 TLG852016:TLG852018 TVC852016:TVC852018 UEY852016:UEY852018 UOU852016:UOU852018 UYQ852016:UYQ852018 VIM852016:VIM852018 VSI852016:VSI852018 WCE852016:WCE852018 WMA852016:WMA852018 WVW852016:WVW852018 N917552:N917554 JK917552:JK917554 TG917552:TG917554 ADC917552:ADC917554 AMY917552:AMY917554 AWU917552:AWU917554 BGQ917552:BGQ917554 BQM917552:BQM917554 CAI917552:CAI917554 CKE917552:CKE917554 CUA917552:CUA917554 DDW917552:DDW917554 DNS917552:DNS917554 DXO917552:DXO917554 EHK917552:EHK917554 ERG917552:ERG917554 FBC917552:FBC917554 FKY917552:FKY917554 FUU917552:FUU917554 GEQ917552:GEQ917554 GOM917552:GOM917554 GYI917552:GYI917554 HIE917552:HIE917554 HSA917552:HSA917554 IBW917552:IBW917554 ILS917552:ILS917554 IVO917552:IVO917554 JFK917552:JFK917554 JPG917552:JPG917554 JZC917552:JZC917554 KIY917552:KIY917554 KSU917552:KSU917554 LCQ917552:LCQ917554 LMM917552:LMM917554 LWI917552:LWI917554 MGE917552:MGE917554 MQA917552:MQA917554 MZW917552:MZW917554 NJS917552:NJS917554 NTO917552:NTO917554 ODK917552:ODK917554 ONG917552:ONG917554 OXC917552:OXC917554 PGY917552:PGY917554 PQU917552:PQU917554 QAQ917552:QAQ917554 QKM917552:QKM917554 QUI917552:QUI917554 REE917552:REE917554 ROA917552:ROA917554 RXW917552:RXW917554 SHS917552:SHS917554 SRO917552:SRO917554 TBK917552:TBK917554 TLG917552:TLG917554 TVC917552:TVC917554 UEY917552:UEY917554 UOU917552:UOU917554 UYQ917552:UYQ917554 VIM917552:VIM917554 VSI917552:VSI917554 WCE917552:WCE917554 WMA917552:WMA917554 WVW917552:WVW917554 N983088:N983090 JK983088:JK983090 TG983088:TG983090 ADC983088:ADC983090 AMY983088:AMY983090 AWU983088:AWU983090 BGQ983088:BGQ983090 BQM983088:BQM983090 CAI983088:CAI983090 CKE983088:CKE983090 CUA983088:CUA983090 DDW983088:DDW983090 DNS983088:DNS983090 DXO983088:DXO983090 EHK983088:EHK983090 ERG983088:ERG983090 FBC983088:FBC983090 FKY983088:FKY983090 FUU983088:FUU983090 GEQ983088:GEQ983090 GOM983088:GOM983090 GYI983088:GYI983090 HIE983088:HIE983090 HSA983088:HSA983090 IBW983088:IBW983090 ILS983088:ILS983090 IVO983088:IVO983090 JFK983088:JFK983090 JPG983088:JPG983090 JZC983088:JZC983090 KIY983088:KIY983090 KSU983088:KSU983090 LCQ983088:LCQ983090 LMM983088:LMM983090 LWI983088:LWI983090 MGE983088:MGE983090 MQA983088:MQA983090 MZW983088:MZW983090 NJS983088:NJS983090 NTO983088:NTO983090 ODK983088:ODK983090 ONG983088:ONG983090 OXC983088:OXC983090 PGY983088:PGY983090 PQU983088:PQU983090 QAQ983088:QAQ983090 QKM983088:QKM983090 QUI983088:QUI983090 REE983088:REE983090 ROA983088:ROA983090 RXW983088:RXW983090 SHS983088:SHS983090 SRO983088:SRO983090 TBK983088:TBK983090 TLG983088:TLG983090 TVC983088:TVC983090 UEY983088:UEY983090 UOU983088:UOU983090 UYQ983088:UYQ983090 VIM983088:VIM983090 VSI983088:VSI983090 WCE983088:WCE983090 WMA983088:WMA983090 WVW983088:WVW983090 N65:N66 JK65:JK66 TG65:TG66 ADC65:ADC66 AMY65:AMY66 AWU65:AWU66 BGQ65:BGQ66 BQM65:BQM66 CAI65:CAI66 CKE65:CKE66 CUA65:CUA66 DDW65:DDW66 DNS65:DNS66 DXO65:DXO66 EHK65:EHK66 ERG65:ERG66 FBC65:FBC66 FKY65:FKY66 FUU65:FUU66 GEQ65:GEQ66 GOM65:GOM66 GYI65:GYI66 HIE65:HIE66 HSA65:HSA66 IBW65:IBW66 ILS65:ILS66 IVO65:IVO66 JFK65:JFK66 JPG65:JPG66 JZC65:JZC66 KIY65:KIY66 KSU65:KSU66 LCQ65:LCQ66 LMM65:LMM66 LWI65:LWI66 MGE65:MGE66 MQA65:MQA66 MZW65:MZW66 NJS65:NJS66 NTO65:NTO66 ODK65:ODK66 ONG65:ONG66 OXC65:OXC66 PGY65:PGY66 PQU65:PQU66 QAQ65:QAQ66 QKM65:QKM66 QUI65:QUI66 REE65:REE66 ROA65:ROA66 RXW65:RXW66 SHS65:SHS66 SRO65:SRO66 TBK65:TBK66 TLG65:TLG66 TVC65:TVC66 UEY65:UEY66 UOU65:UOU66 UYQ65:UYQ66 VIM65:VIM66 VSI65:VSI66 WCE65:WCE66 WMA65:WMA66 WVW65:WVW66 N65603:N65604 JK65603:JK65604 TG65603:TG65604 ADC65603:ADC65604 AMY65603:AMY65604 AWU65603:AWU65604 BGQ65603:BGQ65604 BQM65603:BQM65604 CAI65603:CAI65604 CKE65603:CKE65604 CUA65603:CUA65604 DDW65603:DDW65604 DNS65603:DNS65604 DXO65603:DXO65604 EHK65603:EHK65604 ERG65603:ERG65604 FBC65603:FBC65604 FKY65603:FKY65604 FUU65603:FUU65604 GEQ65603:GEQ65604 GOM65603:GOM65604 GYI65603:GYI65604 HIE65603:HIE65604 HSA65603:HSA65604 IBW65603:IBW65604 ILS65603:ILS65604 IVO65603:IVO65604 JFK65603:JFK65604 JPG65603:JPG65604 JZC65603:JZC65604 KIY65603:KIY65604 KSU65603:KSU65604 LCQ65603:LCQ65604 LMM65603:LMM65604 LWI65603:LWI65604 MGE65603:MGE65604 MQA65603:MQA65604 MZW65603:MZW65604 NJS65603:NJS65604 NTO65603:NTO65604 ODK65603:ODK65604 ONG65603:ONG65604 OXC65603:OXC65604 PGY65603:PGY65604 PQU65603:PQU65604 QAQ65603:QAQ65604 QKM65603:QKM65604 QUI65603:QUI65604 REE65603:REE65604 ROA65603:ROA65604 RXW65603:RXW65604 SHS65603:SHS65604 SRO65603:SRO65604 TBK65603:TBK65604 TLG65603:TLG65604 TVC65603:TVC65604 UEY65603:UEY65604 UOU65603:UOU65604 UYQ65603:UYQ65604 VIM65603:VIM65604 VSI65603:VSI65604 WCE65603:WCE65604 WMA65603:WMA65604 WVW65603:WVW65604 N131139:N131140 JK131139:JK131140 TG131139:TG131140 ADC131139:ADC131140 AMY131139:AMY131140 AWU131139:AWU131140 BGQ131139:BGQ131140 BQM131139:BQM131140 CAI131139:CAI131140 CKE131139:CKE131140 CUA131139:CUA131140 DDW131139:DDW131140 DNS131139:DNS131140 DXO131139:DXO131140 EHK131139:EHK131140 ERG131139:ERG131140 FBC131139:FBC131140 FKY131139:FKY131140 FUU131139:FUU131140 GEQ131139:GEQ131140 GOM131139:GOM131140 GYI131139:GYI131140 HIE131139:HIE131140 HSA131139:HSA131140 IBW131139:IBW131140 ILS131139:ILS131140 IVO131139:IVO131140 JFK131139:JFK131140 JPG131139:JPG131140 JZC131139:JZC131140 KIY131139:KIY131140 KSU131139:KSU131140 LCQ131139:LCQ131140 LMM131139:LMM131140 LWI131139:LWI131140 MGE131139:MGE131140 MQA131139:MQA131140 MZW131139:MZW131140 NJS131139:NJS131140 NTO131139:NTO131140 ODK131139:ODK131140 ONG131139:ONG131140 OXC131139:OXC131140 PGY131139:PGY131140 PQU131139:PQU131140 QAQ131139:QAQ131140 QKM131139:QKM131140 QUI131139:QUI131140 REE131139:REE131140 ROA131139:ROA131140 RXW131139:RXW131140 SHS131139:SHS131140 SRO131139:SRO131140 TBK131139:TBK131140 TLG131139:TLG131140 TVC131139:TVC131140 UEY131139:UEY131140 UOU131139:UOU131140 UYQ131139:UYQ131140 VIM131139:VIM131140 VSI131139:VSI131140 WCE131139:WCE131140 WMA131139:WMA131140 WVW131139:WVW131140 N196675:N196676 JK196675:JK196676 TG196675:TG196676 ADC196675:ADC196676 AMY196675:AMY196676 AWU196675:AWU196676 BGQ196675:BGQ196676 BQM196675:BQM196676 CAI196675:CAI196676 CKE196675:CKE196676 CUA196675:CUA196676 DDW196675:DDW196676 DNS196675:DNS196676 DXO196675:DXO196676 EHK196675:EHK196676 ERG196675:ERG196676 FBC196675:FBC196676 FKY196675:FKY196676 FUU196675:FUU196676 GEQ196675:GEQ196676 GOM196675:GOM196676 GYI196675:GYI196676 HIE196675:HIE196676 HSA196675:HSA196676 IBW196675:IBW196676 ILS196675:ILS196676 IVO196675:IVO196676 JFK196675:JFK196676 JPG196675:JPG196676 JZC196675:JZC196676 KIY196675:KIY196676 KSU196675:KSU196676 LCQ196675:LCQ196676 LMM196675:LMM196676 LWI196675:LWI196676 MGE196675:MGE196676 MQA196675:MQA196676 MZW196675:MZW196676 NJS196675:NJS196676 NTO196675:NTO196676 ODK196675:ODK196676 ONG196675:ONG196676 OXC196675:OXC196676 PGY196675:PGY196676 PQU196675:PQU196676 QAQ196675:QAQ196676 QKM196675:QKM196676 QUI196675:QUI196676 REE196675:REE196676 ROA196675:ROA196676 RXW196675:RXW196676 SHS196675:SHS196676 SRO196675:SRO196676 TBK196675:TBK196676 TLG196675:TLG196676 TVC196675:TVC196676 UEY196675:UEY196676 UOU196675:UOU196676 UYQ196675:UYQ196676 VIM196675:VIM196676 VSI196675:VSI196676 WCE196675:WCE196676 WMA196675:WMA196676 WVW196675:WVW196676 N262211:N262212 JK262211:JK262212 TG262211:TG262212 ADC262211:ADC262212 AMY262211:AMY262212 AWU262211:AWU262212 BGQ262211:BGQ262212 BQM262211:BQM262212 CAI262211:CAI262212 CKE262211:CKE262212 CUA262211:CUA262212 DDW262211:DDW262212 DNS262211:DNS262212 DXO262211:DXO262212 EHK262211:EHK262212 ERG262211:ERG262212 FBC262211:FBC262212 FKY262211:FKY262212 FUU262211:FUU262212 GEQ262211:GEQ262212 GOM262211:GOM262212 GYI262211:GYI262212 HIE262211:HIE262212 HSA262211:HSA262212 IBW262211:IBW262212 ILS262211:ILS262212 IVO262211:IVO262212 JFK262211:JFK262212 JPG262211:JPG262212 JZC262211:JZC262212 KIY262211:KIY262212 KSU262211:KSU262212 LCQ262211:LCQ262212 LMM262211:LMM262212 LWI262211:LWI262212 MGE262211:MGE262212 MQA262211:MQA262212 MZW262211:MZW262212 NJS262211:NJS262212 NTO262211:NTO262212 ODK262211:ODK262212 ONG262211:ONG262212 OXC262211:OXC262212 PGY262211:PGY262212 PQU262211:PQU262212 QAQ262211:QAQ262212 QKM262211:QKM262212 QUI262211:QUI262212 REE262211:REE262212 ROA262211:ROA262212 RXW262211:RXW262212 SHS262211:SHS262212 SRO262211:SRO262212 TBK262211:TBK262212 TLG262211:TLG262212 TVC262211:TVC262212 UEY262211:UEY262212 UOU262211:UOU262212 UYQ262211:UYQ262212 VIM262211:VIM262212 VSI262211:VSI262212 WCE262211:WCE262212 WMA262211:WMA262212 WVW262211:WVW262212 N327747:N327748 JK327747:JK327748 TG327747:TG327748 ADC327747:ADC327748 AMY327747:AMY327748 AWU327747:AWU327748 BGQ327747:BGQ327748 BQM327747:BQM327748 CAI327747:CAI327748 CKE327747:CKE327748 CUA327747:CUA327748 DDW327747:DDW327748 DNS327747:DNS327748 DXO327747:DXO327748 EHK327747:EHK327748 ERG327747:ERG327748 FBC327747:FBC327748 FKY327747:FKY327748 FUU327747:FUU327748 GEQ327747:GEQ327748 GOM327747:GOM327748 GYI327747:GYI327748 HIE327747:HIE327748 HSA327747:HSA327748 IBW327747:IBW327748 ILS327747:ILS327748 IVO327747:IVO327748 JFK327747:JFK327748 JPG327747:JPG327748 JZC327747:JZC327748 KIY327747:KIY327748 KSU327747:KSU327748 LCQ327747:LCQ327748 LMM327747:LMM327748 LWI327747:LWI327748 MGE327747:MGE327748 MQA327747:MQA327748 MZW327747:MZW327748 NJS327747:NJS327748 NTO327747:NTO327748 ODK327747:ODK327748 ONG327747:ONG327748 OXC327747:OXC327748 PGY327747:PGY327748 PQU327747:PQU327748 QAQ327747:QAQ327748 QKM327747:QKM327748 QUI327747:QUI327748 REE327747:REE327748 ROA327747:ROA327748 RXW327747:RXW327748 SHS327747:SHS327748 SRO327747:SRO327748 TBK327747:TBK327748 TLG327747:TLG327748 TVC327747:TVC327748 UEY327747:UEY327748 UOU327747:UOU327748 UYQ327747:UYQ327748 VIM327747:VIM327748 VSI327747:VSI327748 WCE327747:WCE327748 WMA327747:WMA327748 WVW327747:WVW327748 N393283:N393284 JK393283:JK393284 TG393283:TG393284 ADC393283:ADC393284 AMY393283:AMY393284 AWU393283:AWU393284 BGQ393283:BGQ393284 BQM393283:BQM393284 CAI393283:CAI393284 CKE393283:CKE393284 CUA393283:CUA393284 DDW393283:DDW393284 DNS393283:DNS393284 DXO393283:DXO393284 EHK393283:EHK393284 ERG393283:ERG393284 FBC393283:FBC393284 FKY393283:FKY393284 FUU393283:FUU393284 GEQ393283:GEQ393284 GOM393283:GOM393284 GYI393283:GYI393284 HIE393283:HIE393284 HSA393283:HSA393284 IBW393283:IBW393284 ILS393283:ILS393284 IVO393283:IVO393284 JFK393283:JFK393284 JPG393283:JPG393284 JZC393283:JZC393284 KIY393283:KIY393284 KSU393283:KSU393284 LCQ393283:LCQ393284 LMM393283:LMM393284 LWI393283:LWI393284 MGE393283:MGE393284 MQA393283:MQA393284 MZW393283:MZW393284 NJS393283:NJS393284 NTO393283:NTO393284 ODK393283:ODK393284 ONG393283:ONG393284 OXC393283:OXC393284 PGY393283:PGY393284 PQU393283:PQU393284 QAQ393283:QAQ393284 QKM393283:QKM393284 QUI393283:QUI393284 REE393283:REE393284 ROA393283:ROA393284 RXW393283:RXW393284 SHS393283:SHS393284 SRO393283:SRO393284 TBK393283:TBK393284 TLG393283:TLG393284 TVC393283:TVC393284 UEY393283:UEY393284 UOU393283:UOU393284 UYQ393283:UYQ393284 VIM393283:VIM393284 VSI393283:VSI393284 WCE393283:WCE393284 WMA393283:WMA393284 WVW393283:WVW393284 N458819:N458820 JK458819:JK458820 TG458819:TG458820 ADC458819:ADC458820 AMY458819:AMY458820 AWU458819:AWU458820 BGQ458819:BGQ458820 BQM458819:BQM458820 CAI458819:CAI458820 CKE458819:CKE458820 CUA458819:CUA458820 DDW458819:DDW458820 DNS458819:DNS458820 DXO458819:DXO458820 EHK458819:EHK458820 ERG458819:ERG458820 FBC458819:FBC458820 FKY458819:FKY458820 FUU458819:FUU458820 GEQ458819:GEQ458820 GOM458819:GOM458820 GYI458819:GYI458820 HIE458819:HIE458820 HSA458819:HSA458820 IBW458819:IBW458820 ILS458819:ILS458820 IVO458819:IVO458820 JFK458819:JFK458820 JPG458819:JPG458820 JZC458819:JZC458820 KIY458819:KIY458820 KSU458819:KSU458820 LCQ458819:LCQ458820 LMM458819:LMM458820 LWI458819:LWI458820 MGE458819:MGE458820 MQA458819:MQA458820 MZW458819:MZW458820 NJS458819:NJS458820 NTO458819:NTO458820 ODK458819:ODK458820 ONG458819:ONG458820 OXC458819:OXC458820 PGY458819:PGY458820 PQU458819:PQU458820 QAQ458819:QAQ458820 QKM458819:QKM458820 QUI458819:QUI458820 REE458819:REE458820 ROA458819:ROA458820 RXW458819:RXW458820 SHS458819:SHS458820 SRO458819:SRO458820 TBK458819:TBK458820 TLG458819:TLG458820 TVC458819:TVC458820 UEY458819:UEY458820 UOU458819:UOU458820 UYQ458819:UYQ458820 VIM458819:VIM458820 VSI458819:VSI458820 WCE458819:WCE458820 WMA458819:WMA458820 WVW458819:WVW458820 N524355:N524356 JK524355:JK524356 TG524355:TG524356 ADC524355:ADC524356 AMY524355:AMY524356 AWU524355:AWU524356 BGQ524355:BGQ524356 BQM524355:BQM524356 CAI524355:CAI524356 CKE524355:CKE524356 CUA524355:CUA524356 DDW524355:DDW524356 DNS524355:DNS524356 DXO524355:DXO524356 EHK524355:EHK524356 ERG524355:ERG524356 FBC524355:FBC524356 FKY524355:FKY524356 FUU524355:FUU524356 GEQ524355:GEQ524356 GOM524355:GOM524356 GYI524355:GYI524356 HIE524355:HIE524356 HSA524355:HSA524356 IBW524355:IBW524356 ILS524355:ILS524356 IVO524355:IVO524356 JFK524355:JFK524356 JPG524355:JPG524356 JZC524355:JZC524356 KIY524355:KIY524356 KSU524355:KSU524356 LCQ524355:LCQ524356 LMM524355:LMM524356 LWI524355:LWI524356 MGE524355:MGE524356 MQA524355:MQA524356 MZW524355:MZW524356 NJS524355:NJS524356 NTO524355:NTO524356 ODK524355:ODK524356 ONG524355:ONG524356 OXC524355:OXC524356 PGY524355:PGY524356 PQU524355:PQU524356 QAQ524355:QAQ524356 QKM524355:QKM524356 QUI524355:QUI524356 REE524355:REE524356 ROA524355:ROA524356 RXW524355:RXW524356 SHS524355:SHS524356 SRO524355:SRO524356 TBK524355:TBK524356 TLG524355:TLG524356 TVC524355:TVC524356 UEY524355:UEY524356 UOU524355:UOU524356 UYQ524355:UYQ524356 VIM524355:VIM524356 VSI524355:VSI524356 WCE524355:WCE524356 WMA524355:WMA524356 WVW524355:WVW524356 N589891:N589892 JK589891:JK589892 TG589891:TG589892 ADC589891:ADC589892 AMY589891:AMY589892 AWU589891:AWU589892 BGQ589891:BGQ589892 BQM589891:BQM589892 CAI589891:CAI589892 CKE589891:CKE589892 CUA589891:CUA589892 DDW589891:DDW589892 DNS589891:DNS589892 DXO589891:DXO589892 EHK589891:EHK589892 ERG589891:ERG589892 FBC589891:FBC589892 FKY589891:FKY589892 FUU589891:FUU589892 GEQ589891:GEQ589892 GOM589891:GOM589892 GYI589891:GYI589892 HIE589891:HIE589892 HSA589891:HSA589892 IBW589891:IBW589892 ILS589891:ILS589892 IVO589891:IVO589892 JFK589891:JFK589892 JPG589891:JPG589892 JZC589891:JZC589892 KIY589891:KIY589892 KSU589891:KSU589892 LCQ589891:LCQ589892 LMM589891:LMM589892 LWI589891:LWI589892 MGE589891:MGE589892 MQA589891:MQA589892 MZW589891:MZW589892 NJS589891:NJS589892 NTO589891:NTO589892 ODK589891:ODK589892 ONG589891:ONG589892 OXC589891:OXC589892 PGY589891:PGY589892 PQU589891:PQU589892 QAQ589891:QAQ589892 QKM589891:QKM589892 QUI589891:QUI589892 REE589891:REE589892 ROA589891:ROA589892 RXW589891:RXW589892 SHS589891:SHS589892 SRO589891:SRO589892 TBK589891:TBK589892 TLG589891:TLG589892 TVC589891:TVC589892 UEY589891:UEY589892 UOU589891:UOU589892 UYQ589891:UYQ589892 VIM589891:VIM589892 VSI589891:VSI589892 WCE589891:WCE589892 WMA589891:WMA589892 WVW589891:WVW589892 N655427:N655428 JK655427:JK655428 TG655427:TG655428 ADC655427:ADC655428 AMY655427:AMY655428 AWU655427:AWU655428 BGQ655427:BGQ655428 BQM655427:BQM655428 CAI655427:CAI655428 CKE655427:CKE655428 CUA655427:CUA655428 DDW655427:DDW655428 DNS655427:DNS655428 DXO655427:DXO655428 EHK655427:EHK655428 ERG655427:ERG655428 FBC655427:FBC655428 FKY655427:FKY655428 FUU655427:FUU655428 GEQ655427:GEQ655428 GOM655427:GOM655428 GYI655427:GYI655428 HIE655427:HIE655428 HSA655427:HSA655428 IBW655427:IBW655428 ILS655427:ILS655428 IVO655427:IVO655428 JFK655427:JFK655428 JPG655427:JPG655428 JZC655427:JZC655428 KIY655427:KIY655428 KSU655427:KSU655428 LCQ655427:LCQ655428 LMM655427:LMM655428 LWI655427:LWI655428 MGE655427:MGE655428 MQA655427:MQA655428 MZW655427:MZW655428 NJS655427:NJS655428 NTO655427:NTO655428 ODK655427:ODK655428 ONG655427:ONG655428 OXC655427:OXC655428 PGY655427:PGY655428 PQU655427:PQU655428 QAQ655427:QAQ655428 QKM655427:QKM655428 QUI655427:QUI655428 REE655427:REE655428 ROA655427:ROA655428 RXW655427:RXW655428 SHS655427:SHS655428 SRO655427:SRO655428 TBK655427:TBK655428 TLG655427:TLG655428 TVC655427:TVC655428 UEY655427:UEY655428 UOU655427:UOU655428 UYQ655427:UYQ655428 VIM655427:VIM655428 VSI655427:VSI655428 WCE655427:WCE655428 WMA655427:WMA655428 WVW655427:WVW655428 N720963:N720964 JK720963:JK720964 TG720963:TG720964 ADC720963:ADC720964 AMY720963:AMY720964 AWU720963:AWU720964 BGQ720963:BGQ720964 BQM720963:BQM720964 CAI720963:CAI720964 CKE720963:CKE720964 CUA720963:CUA720964 DDW720963:DDW720964 DNS720963:DNS720964 DXO720963:DXO720964 EHK720963:EHK720964 ERG720963:ERG720964 FBC720963:FBC720964 FKY720963:FKY720964 FUU720963:FUU720964 GEQ720963:GEQ720964 GOM720963:GOM720964 GYI720963:GYI720964 HIE720963:HIE720964 HSA720963:HSA720964 IBW720963:IBW720964 ILS720963:ILS720964 IVO720963:IVO720964 JFK720963:JFK720964 JPG720963:JPG720964 JZC720963:JZC720964 KIY720963:KIY720964 KSU720963:KSU720964 LCQ720963:LCQ720964 LMM720963:LMM720964 LWI720963:LWI720964 MGE720963:MGE720964 MQA720963:MQA720964 MZW720963:MZW720964 NJS720963:NJS720964 NTO720963:NTO720964 ODK720963:ODK720964 ONG720963:ONG720964 OXC720963:OXC720964 PGY720963:PGY720964 PQU720963:PQU720964 QAQ720963:QAQ720964 QKM720963:QKM720964 QUI720963:QUI720964 REE720963:REE720964 ROA720963:ROA720964 RXW720963:RXW720964 SHS720963:SHS720964 SRO720963:SRO720964 TBK720963:TBK720964 TLG720963:TLG720964 TVC720963:TVC720964 UEY720963:UEY720964 UOU720963:UOU720964 UYQ720963:UYQ720964 VIM720963:VIM720964 VSI720963:VSI720964 WCE720963:WCE720964 WMA720963:WMA720964 WVW720963:WVW720964 N786499:N786500 JK786499:JK786500 TG786499:TG786500 ADC786499:ADC786500 AMY786499:AMY786500 AWU786499:AWU786500 BGQ786499:BGQ786500 BQM786499:BQM786500 CAI786499:CAI786500 CKE786499:CKE786500 CUA786499:CUA786500 DDW786499:DDW786500 DNS786499:DNS786500 DXO786499:DXO786500 EHK786499:EHK786500 ERG786499:ERG786500 FBC786499:FBC786500 FKY786499:FKY786500 FUU786499:FUU786500 GEQ786499:GEQ786500 GOM786499:GOM786500 GYI786499:GYI786500 HIE786499:HIE786500 HSA786499:HSA786500 IBW786499:IBW786500 ILS786499:ILS786500 IVO786499:IVO786500 JFK786499:JFK786500 JPG786499:JPG786500 JZC786499:JZC786500 KIY786499:KIY786500 KSU786499:KSU786500 LCQ786499:LCQ786500 LMM786499:LMM786500 LWI786499:LWI786500 MGE786499:MGE786500 MQA786499:MQA786500 MZW786499:MZW786500 NJS786499:NJS786500 NTO786499:NTO786500 ODK786499:ODK786500 ONG786499:ONG786500 OXC786499:OXC786500 PGY786499:PGY786500 PQU786499:PQU786500 QAQ786499:QAQ786500 QKM786499:QKM786500 QUI786499:QUI786500 REE786499:REE786500 ROA786499:ROA786500 RXW786499:RXW786500 SHS786499:SHS786500 SRO786499:SRO786500 TBK786499:TBK786500 TLG786499:TLG786500 TVC786499:TVC786500 UEY786499:UEY786500 UOU786499:UOU786500 UYQ786499:UYQ786500 VIM786499:VIM786500 VSI786499:VSI786500 WCE786499:WCE786500 WMA786499:WMA786500 WVW786499:WVW786500 N852035:N852036 JK852035:JK852036 TG852035:TG852036 ADC852035:ADC852036 AMY852035:AMY852036 AWU852035:AWU852036 BGQ852035:BGQ852036 BQM852035:BQM852036 CAI852035:CAI852036 CKE852035:CKE852036 CUA852035:CUA852036 DDW852035:DDW852036 DNS852035:DNS852036 DXO852035:DXO852036 EHK852035:EHK852036 ERG852035:ERG852036 FBC852035:FBC852036 FKY852035:FKY852036 FUU852035:FUU852036 GEQ852035:GEQ852036 GOM852035:GOM852036 GYI852035:GYI852036 HIE852035:HIE852036 HSA852035:HSA852036 IBW852035:IBW852036 ILS852035:ILS852036 IVO852035:IVO852036 JFK852035:JFK852036 JPG852035:JPG852036 JZC852035:JZC852036 KIY852035:KIY852036 KSU852035:KSU852036 LCQ852035:LCQ852036 LMM852035:LMM852036 LWI852035:LWI852036 MGE852035:MGE852036 MQA852035:MQA852036 MZW852035:MZW852036 NJS852035:NJS852036 NTO852035:NTO852036 ODK852035:ODK852036 ONG852035:ONG852036 OXC852035:OXC852036 PGY852035:PGY852036 PQU852035:PQU852036 QAQ852035:QAQ852036 QKM852035:QKM852036 QUI852035:QUI852036 REE852035:REE852036 ROA852035:ROA852036 RXW852035:RXW852036 SHS852035:SHS852036 SRO852035:SRO852036 TBK852035:TBK852036 TLG852035:TLG852036 TVC852035:TVC852036 UEY852035:UEY852036 UOU852035:UOU852036 UYQ852035:UYQ852036 VIM852035:VIM852036 VSI852035:VSI852036 WCE852035:WCE852036 WMA852035:WMA852036 WVW852035:WVW852036 N917571:N917572 JK917571:JK917572 TG917571:TG917572 ADC917571:ADC917572 AMY917571:AMY917572 AWU917571:AWU917572 BGQ917571:BGQ917572 BQM917571:BQM917572 CAI917571:CAI917572 CKE917571:CKE917572 CUA917571:CUA917572 DDW917571:DDW917572 DNS917571:DNS917572 DXO917571:DXO917572 EHK917571:EHK917572 ERG917571:ERG917572 FBC917571:FBC917572 FKY917571:FKY917572 FUU917571:FUU917572 GEQ917571:GEQ917572 GOM917571:GOM917572 GYI917571:GYI917572 HIE917571:HIE917572 HSA917571:HSA917572 IBW917571:IBW917572 ILS917571:ILS917572 IVO917571:IVO917572 JFK917571:JFK917572 JPG917571:JPG917572 JZC917571:JZC917572 KIY917571:KIY917572 KSU917571:KSU917572 LCQ917571:LCQ917572 LMM917571:LMM917572 LWI917571:LWI917572 MGE917571:MGE917572 MQA917571:MQA917572 MZW917571:MZW917572 NJS917571:NJS917572 NTO917571:NTO917572 ODK917571:ODK917572 ONG917571:ONG917572 OXC917571:OXC917572 PGY917571:PGY917572 PQU917571:PQU917572 QAQ917571:QAQ917572 QKM917571:QKM917572 QUI917571:QUI917572 REE917571:REE917572 ROA917571:ROA917572 RXW917571:RXW917572 SHS917571:SHS917572 SRO917571:SRO917572 TBK917571:TBK917572 TLG917571:TLG917572 TVC917571:TVC917572 UEY917571:UEY917572 UOU917571:UOU917572 UYQ917571:UYQ917572 VIM917571:VIM917572 VSI917571:VSI917572 WCE917571:WCE917572 WMA917571:WMA917572 WVW917571:WVW917572 N983107:N983108 JK983107:JK983108 TG983107:TG983108 ADC983107:ADC983108 AMY983107:AMY983108 AWU983107:AWU983108 BGQ983107:BGQ983108 BQM983107:BQM983108 CAI983107:CAI983108 CKE983107:CKE983108 CUA983107:CUA983108 DDW983107:DDW983108 DNS983107:DNS983108 DXO983107:DXO983108 EHK983107:EHK983108 ERG983107:ERG983108 FBC983107:FBC983108 FKY983107:FKY983108 FUU983107:FUU983108 GEQ983107:GEQ983108 GOM983107:GOM983108 GYI983107:GYI983108 HIE983107:HIE983108 HSA983107:HSA983108 IBW983107:IBW983108 ILS983107:ILS983108 IVO983107:IVO983108 JFK983107:JFK983108 JPG983107:JPG983108 JZC983107:JZC983108 KIY983107:KIY983108 KSU983107:KSU983108 LCQ983107:LCQ983108 LMM983107:LMM983108 LWI983107:LWI983108 MGE983107:MGE983108 MQA983107:MQA983108 MZW983107:MZW983108 NJS983107:NJS983108 NTO983107:NTO983108 ODK983107:ODK983108 ONG983107:ONG983108 OXC983107:OXC983108 PGY983107:PGY983108 PQU983107:PQU983108 QAQ983107:QAQ983108 QKM983107:QKM983108 QUI983107:QUI983108 REE983107:REE983108 ROA983107:ROA983108 RXW983107:RXW983108 SHS983107:SHS983108 SRO983107:SRO983108 TBK983107:TBK983108 TLG983107:TLG983108 TVC983107:TVC983108 UEY983107:UEY983108 UOU983107:UOU983108 UYQ983107:UYQ983108 VIM983107:VIM983108 VSI983107:VSI983108 WCE983107:WCE983108 WMA983107:WMA983108 WVW983107:WVW983108 JK82:JK84 TG82:TG84 ADC82:ADC84 AMY82:AMY84 AWU82:AWU84 BGQ82:BGQ84 BQM82:BQM84 CAI82:CAI84 CKE82:CKE84 CUA82:CUA84 DDW82:DDW84 DNS82:DNS84 DXO82:DXO84 EHK82:EHK84 ERG82:ERG84 FBC82:FBC84 FKY82:FKY84 FUU82:FUU84 GEQ82:GEQ84 GOM82:GOM84 GYI82:GYI84 HIE82:HIE84 HSA82:HSA84 IBW82:IBW84 ILS82:ILS84 IVO82:IVO84 JFK82:JFK84 JPG82:JPG84 JZC82:JZC84 KIY82:KIY84 KSU82:KSU84 LCQ82:LCQ84 LMM82:LMM84 LWI82:LWI84 MGE82:MGE84 MQA82:MQA84 MZW82:MZW84 NJS82:NJS84 NTO82:NTO84 ODK82:ODK84 ONG82:ONG84 OXC82:OXC84 PGY82:PGY84 PQU82:PQU84 QAQ82:QAQ84 QKM82:QKM84 QUI82:QUI84 REE82:REE84 ROA82:ROA84 RXW82:RXW84 SHS82:SHS84 SRO82:SRO84 TBK82:TBK84 TLG82:TLG84 TVC82:TVC84 UEY82:UEY84 UOU82:UOU84 UYQ82:UYQ84 VIM82:VIM84 VSI82:VSI84 WCE82:WCE84 WMA82:WMA84 WVW82:WVW84 WVW983124:WVW983126 N65620:N65622 JK65620:JK65622 TG65620:TG65622 ADC65620:ADC65622 AMY65620:AMY65622 AWU65620:AWU65622 BGQ65620:BGQ65622 BQM65620:BQM65622 CAI65620:CAI65622 CKE65620:CKE65622 CUA65620:CUA65622 DDW65620:DDW65622 DNS65620:DNS65622 DXO65620:DXO65622 EHK65620:EHK65622 ERG65620:ERG65622 FBC65620:FBC65622 FKY65620:FKY65622 FUU65620:FUU65622 GEQ65620:GEQ65622 GOM65620:GOM65622 GYI65620:GYI65622 HIE65620:HIE65622 HSA65620:HSA65622 IBW65620:IBW65622 ILS65620:ILS65622 IVO65620:IVO65622 JFK65620:JFK65622 JPG65620:JPG65622 JZC65620:JZC65622 KIY65620:KIY65622 KSU65620:KSU65622 LCQ65620:LCQ65622 LMM65620:LMM65622 LWI65620:LWI65622 MGE65620:MGE65622 MQA65620:MQA65622 MZW65620:MZW65622 NJS65620:NJS65622 NTO65620:NTO65622 ODK65620:ODK65622 ONG65620:ONG65622 OXC65620:OXC65622 PGY65620:PGY65622 PQU65620:PQU65622 QAQ65620:QAQ65622 QKM65620:QKM65622 QUI65620:QUI65622 REE65620:REE65622 ROA65620:ROA65622 RXW65620:RXW65622 SHS65620:SHS65622 SRO65620:SRO65622 TBK65620:TBK65622 TLG65620:TLG65622 TVC65620:TVC65622 UEY65620:UEY65622 UOU65620:UOU65622 UYQ65620:UYQ65622 VIM65620:VIM65622 VSI65620:VSI65622 WCE65620:WCE65622 WMA65620:WMA65622 WVW65620:WVW65622 N131156:N131158 JK131156:JK131158 TG131156:TG131158 ADC131156:ADC131158 AMY131156:AMY131158 AWU131156:AWU131158 BGQ131156:BGQ131158 BQM131156:BQM131158 CAI131156:CAI131158 CKE131156:CKE131158 CUA131156:CUA131158 DDW131156:DDW131158 DNS131156:DNS131158 DXO131156:DXO131158 EHK131156:EHK131158 ERG131156:ERG131158 FBC131156:FBC131158 FKY131156:FKY131158 FUU131156:FUU131158 GEQ131156:GEQ131158 GOM131156:GOM131158 GYI131156:GYI131158 HIE131156:HIE131158 HSA131156:HSA131158 IBW131156:IBW131158 ILS131156:ILS131158 IVO131156:IVO131158 JFK131156:JFK131158 JPG131156:JPG131158 JZC131156:JZC131158 KIY131156:KIY131158 KSU131156:KSU131158 LCQ131156:LCQ131158 LMM131156:LMM131158 LWI131156:LWI131158 MGE131156:MGE131158 MQA131156:MQA131158 MZW131156:MZW131158 NJS131156:NJS131158 NTO131156:NTO131158 ODK131156:ODK131158 ONG131156:ONG131158 OXC131156:OXC131158 PGY131156:PGY131158 PQU131156:PQU131158 QAQ131156:QAQ131158 QKM131156:QKM131158 QUI131156:QUI131158 REE131156:REE131158 ROA131156:ROA131158 RXW131156:RXW131158 SHS131156:SHS131158 SRO131156:SRO131158 TBK131156:TBK131158 TLG131156:TLG131158 TVC131156:TVC131158 UEY131156:UEY131158 UOU131156:UOU131158 UYQ131156:UYQ131158 VIM131156:VIM131158 VSI131156:VSI131158 WCE131156:WCE131158 WMA131156:WMA131158 WVW131156:WVW131158 N196692:N196694 JK196692:JK196694 TG196692:TG196694 ADC196692:ADC196694 AMY196692:AMY196694 AWU196692:AWU196694 BGQ196692:BGQ196694 BQM196692:BQM196694 CAI196692:CAI196694 CKE196692:CKE196694 CUA196692:CUA196694 DDW196692:DDW196694 DNS196692:DNS196694 DXO196692:DXO196694 EHK196692:EHK196694 ERG196692:ERG196694 FBC196692:FBC196694 FKY196692:FKY196694 FUU196692:FUU196694 GEQ196692:GEQ196694 GOM196692:GOM196694 GYI196692:GYI196694 HIE196692:HIE196694 HSA196692:HSA196694 IBW196692:IBW196694 ILS196692:ILS196694 IVO196692:IVO196694 JFK196692:JFK196694 JPG196692:JPG196694 JZC196692:JZC196694 KIY196692:KIY196694 KSU196692:KSU196694 LCQ196692:LCQ196694 LMM196692:LMM196694 LWI196692:LWI196694 MGE196692:MGE196694 MQA196692:MQA196694 MZW196692:MZW196694 NJS196692:NJS196694 NTO196692:NTO196694 ODK196692:ODK196694 ONG196692:ONG196694 OXC196692:OXC196694 PGY196692:PGY196694 PQU196692:PQU196694 QAQ196692:QAQ196694 QKM196692:QKM196694 QUI196692:QUI196694 REE196692:REE196694 ROA196692:ROA196694 RXW196692:RXW196694 SHS196692:SHS196694 SRO196692:SRO196694 TBK196692:TBK196694 TLG196692:TLG196694 TVC196692:TVC196694 UEY196692:UEY196694 UOU196692:UOU196694 UYQ196692:UYQ196694 VIM196692:VIM196694 VSI196692:VSI196694 WCE196692:WCE196694 WMA196692:WMA196694 WVW196692:WVW196694 N262228:N262230 JK262228:JK262230 TG262228:TG262230 ADC262228:ADC262230 AMY262228:AMY262230 AWU262228:AWU262230 BGQ262228:BGQ262230 BQM262228:BQM262230 CAI262228:CAI262230 CKE262228:CKE262230 CUA262228:CUA262230 DDW262228:DDW262230 DNS262228:DNS262230 DXO262228:DXO262230 EHK262228:EHK262230 ERG262228:ERG262230 FBC262228:FBC262230 FKY262228:FKY262230 FUU262228:FUU262230 GEQ262228:GEQ262230 GOM262228:GOM262230 GYI262228:GYI262230 HIE262228:HIE262230 HSA262228:HSA262230 IBW262228:IBW262230 ILS262228:ILS262230 IVO262228:IVO262230 JFK262228:JFK262230 JPG262228:JPG262230 JZC262228:JZC262230 KIY262228:KIY262230 KSU262228:KSU262230 LCQ262228:LCQ262230 LMM262228:LMM262230 LWI262228:LWI262230 MGE262228:MGE262230 MQA262228:MQA262230 MZW262228:MZW262230 NJS262228:NJS262230 NTO262228:NTO262230 ODK262228:ODK262230 ONG262228:ONG262230 OXC262228:OXC262230 PGY262228:PGY262230 PQU262228:PQU262230 QAQ262228:QAQ262230 QKM262228:QKM262230 QUI262228:QUI262230 REE262228:REE262230 ROA262228:ROA262230 RXW262228:RXW262230 SHS262228:SHS262230 SRO262228:SRO262230 TBK262228:TBK262230 TLG262228:TLG262230 TVC262228:TVC262230 UEY262228:UEY262230 UOU262228:UOU262230 UYQ262228:UYQ262230 VIM262228:VIM262230 VSI262228:VSI262230 WCE262228:WCE262230 WMA262228:WMA262230 WVW262228:WVW262230 N327764:N327766 JK327764:JK327766 TG327764:TG327766 ADC327764:ADC327766 AMY327764:AMY327766 AWU327764:AWU327766 BGQ327764:BGQ327766 BQM327764:BQM327766 CAI327764:CAI327766 CKE327764:CKE327766 CUA327764:CUA327766 DDW327764:DDW327766 DNS327764:DNS327766 DXO327764:DXO327766 EHK327764:EHK327766 ERG327764:ERG327766 FBC327764:FBC327766 FKY327764:FKY327766 FUU327764:FUU327766 GEQ327764:GEQ327766 GOM327764:GOM327766 GYI327764:GYI327766 HIE327764:HIE327766 HSA327764:HSA327766 IBW327764:IBW327766 ILS327764:ILS327766 IVO327764:IVO327766 JFK327764:JFK327766 JPG327764:JPG327766 JZC327764:JZC327766 KIY327764:KIY327766 KSU327764:KSU327766 LCQ327764:LCQ327766 LMM327764:LMM327766 LWI327764:LWI327766 MGE327764:MGE327766 MQA327764:MQA327766 MZW327764:MZW327766 NJS327764:NJS327766 NTO327764:NTO327766 ODK327764:ODK327766 ONG327764:ONG327766 OXC327764:OXC327766 PGY327764:PGY327766 PQU327764:PQU327766 QAQ327764:QAQ327766 QKM327764:QKM327766 QUI327764:QUI327766 REE327764:REE327766 ROA327764:ROA327766 RXW327764:RXW327766 SHS327764:SHS327766 SRO327764:SRO327766 TBK327764:TBK327766 TLG327764:TLG327766 TVC327764:TVC327766 UEY327764:UEY327766 UOU327764:UOU327766 UYQ327764:UYQ327766 VIM327764:VIM327766 VSI327764:VSI327766 WCE327764:WCE327766 WMA327764:WMA327766 WVW327764:WVW327766 N393300:N393302 JK393300:JK393302 TG393300:TG393302 ADC393300:ADC393302 AMY393300:AMY393302 AWU393300:AWU393302 BGQ393300:BGQ393302 BQM393300:BQM393302 CAI393300:CAI393302 CKE393300:CKE393302 CUA393300:CUA393302 DDW393300:DDW393302 DNS393300:DNS393302 DXO393300:DXO393302 EHK393300:EHK393302 ERG393300:ERG393302 FBC393300:FBC393302 FKY393300:FKY393302 FUU393300:FUU393302 GEQ393300:GEQ393302 GOM393300:GOM393302 GYI393300:GYI393302 HIE393300:HIE393302 HSA393300:HSA393302 IBW393300:IBW393302 ILS393300:ILS393302 IVO393300:IVO393302 JFK393300:JFK393302 JPG393300:JPG393302 JZC393300:JZC393302 KIY393300:KIY393302 KSU393300:KSU393302 LCQ393300:LCQ393302 LMM393300:LMM393302 LWI393300:LWI393302 MGE393300:MGE393302 MQA393300:MQA393302 MZW393300:MZW393302 NJS393300:NJS393302 NTO393300:NTO393302 ODK393300:ODK393302 ONG393300:ONG393302 OXC393300:OXC393302 PGY393300:PGY393302 PQU393300:PQU393302 QAQ393300:QAQ393302 QKM393300:QKM393302 QUI393300:QUI393302 REE393300:REE393302 ROA393300:ROA393302 RXW393300:RXW393302 SHS393300:SHS393302 SRO393300:SRO393302 TBK393300:TBK393302 TLG393300:TLG393302 TVC393300:TVC393302 UEY393300:UEY393302 UOU393300:UOU393302 UYQ393300:UYQ393302 VIM393300:VIM393302 VSI393300:VSI393302 WCE393300:WCE393302 WMA393300:WMA393302 WVW393300:WVW393302 N458836:N458838 JK458836:JK458838 TG458836:TG458838 ADC458836:ADC458838 AMY458836:AMY458838 AWU458836:AWU458838 BGQ458836:BGQ458838 BQM458836:BQM458838 CAI458836:CAI458838 CKE458836:CKE458838 CUA458836:CUA458838 DDW458836:DDW458838 DNS458836:DNS458838 DXO458836:DXO458838 EHK458836:EHK458838 ERG458836:ERG458838 FBC458836:FBC458838 FKY458836:FKY458838 FUU458836:FUU458838 GEQ458836:GEQ458838 GOM458836:GOM458838 GYI458836:GYI458838 HIE458836:HIE458838 HSA458836:HSA458838 IBW458836:IBW458838 ILS458836:ILS458838 IVO458836:IVO458838 JFK458836:JFK458838 JPG458836:JPG458838 JZC458836:JZC458838 KIY458836:KIY458838 KSU458836:KSU458838 LCQ458836:LCQ458838 LMM458836:LMM458838 LWI458836:LWI458838 MGE458836:MGE458838 MQA458836:MQA458838 MZW458836:MZW458838 NJS458836:NJS458838 NTO458836:NTO458838 ODK458836:ODK458838 ONG458836:ONG458838 OXC458836:OXC458838 PGY458836:PGY458838 PQU458836:PQU458838 QAQ458836:QAQ458838 QKM458836:QKM458838 QUI458836:QUI458838 REE458836:REE458838 ROA458836:ROA458838 RXW458836:RXW458838 SHS458836:SHS458838 SRO458836:SRO458838 TBK458836:TBK458838 TLG458836:TLG458838 TVC458836:TVC458838 UEY458836:UEY458838 UOU458836:UOU458838 UYQ458836:UYQ458838 VIM458836:VIM458838 VSI458836:VSI458838 WCE458836:WCE458838 WMA458836:WMA458838 WVW458836:WVW458838 N524372:N524374 JK524372:JK524374 TG524372:TG524374 ADC524372:ADC524374 AMY524372:AMY524374 AWU524372:AWU524374 BGQ524372:BGQ524374 BQM524372:BQM524374 CAI524372:CAI524374 CKE524372:CKE524374 CUA524372:CUA524374 DDW524372:DDW524374 DNS524372:DNS524374 DXO524372:DXO524374 EHK524372:EHK524374 ERG524372:ERG524374 FBC524372:FBC524374 FKY524372:FKY524374 FUU524372:FUU524374 GEQ524372:GEQ524374 GOM524372:GOM524374 GYI524372:GYI524374 HIE524372:HIE524374 HSA524372:HSA524374 IBW524372:IBW524374 ILS524372:ILS524374 IVO524372:IVO524374 JFK524372:JFK524374 JPG524372:JPG524374 JZC524372:JZC524374 KIY524372:KIY524374 KSU524372:KSU524374 LCQ524372:LCQ524374 LMM524372:LMM524374 LWI524372:LWI524374 MGE524372:MGE524374 MQA524372:MQA524374 MZW524372:MZW524374 NJS524372:NJS524374 NTO524372:NTO524374 ODK524372:ODK524374 ONG524372:ONG524374 OXC524372:OXC524374 PGY524372:PGY524374 PQU524372:PQU524374 QAQ524372:QAQ524374 QKM524372:QKM524374 QUI524372:QUI524374 REE524372:REE524374 ROA524372:ROA524374 RXW524372:RXW524374 SHS524372:SHS524374 SRO524372:SRO524374 TBK524372:TBK524374 TLG524372:TLG524374 TVC524372:TVC524374 UEY524372:UEY524374 UOU524372:UOU524374 UYQ524372:UYQ524374 VIM524372:VIM524374 VSI524372:VSI524374 WCE524372:WCE524374 WMA524372:WMA524374 WVW524372:WVW524374 N589908:N589910 JK589908:JK589910 TG589908:TG589910 ADC589908:ADC589910 AMY589908:AMY589910 AWU589908:AWU589910 BGQ589908:BGQ589910 BQM589908:BQM589910 CAI589908:CAI589910 CKE589908:CKE589910 CUA589908:CUA589910 DDW589908:DDW589910 DNS589908:DNS589910 DXO589908:DXO589910 EHK589908:EHK589910 ERG589908:ERG589910 FBC589908:FBC589910 FKY589908:FKY589910 FUU589908:FUU589910 GEQ589908:GEQ589910 GOM589908:GOM589910 GYI589908:GYI589910 HIE589908:HIE589910 HSA589908:HSA589910 IBW589908:IBW589910 ILS589908:ILS589910 IVO589908:IVO589910 JFK589908:JFK589910 JPG589908:JPG589910 JZC589908:JZC589910 KIY589908:KIY589910 KSU589908:KSU589910 LCQ589908:LCQ589910 LMM589908:LMM589910 LWI589908:LWI589910 MGE589908:MGE589910 MQA589908:MQA589910 MZW589908:MZW589910 NJS589908:NJS589910 NTO589908:NTO589910 ODK589908:ODK589910 ONG589908:ONG589910 OXC589908:OXC589910 PGY589908:PGY589910 PQU589908:PQU589910 QAQ589908:QAQ589910 QKM589908:QKM589910 QUI589908:QUI589910 REE589908:REE589910 ROA589908:ROA589910 RXW589908:RXW589910 SHS589908:SHS589910 SRO589908:SRO589910 TBK589908:TBK589910 TLG589908:TLG589910 TVC589908:TVC589910 UEY589908:UEY589910 UOU589908:UOU589910 UYQ589908:UYQ589910 VIM589908:VIM589910 VSI589908:VSI589910 WCE589908:WCE589910 WMA589908:WMA589910 WVW589908:WVW589910 N655444:N655446 JK655444:JK655446 TG655444:TG655446 ADC655444:ADC655446 AMY655444:AMY655446 AWU655444:AWU655446 BGQ655444:BGQ655446 BQM655444:BQM655446 CAI655444:CAI655446 CKE655444:CKE655446 CUA655444:CUA655446 DDW655444:DDW655446 DNS655444:DNS655446 DXO655444:DXO655446 EHK655444:EHK655446 ERG655444:ERG655446 FBC655444:FBC655446 FKY655444:FKY655446 FUU655444:FUU655446 GEQ655444:GEQ655446 GOM655444:GOM655446 GYI655444:GYI655446 HIE655444:HIE655446 HSA655444:HSA655446 IBW655444:IBW655446 ILS655444:ILS655446 IVO655444:IVO655446 JFK655444:JFK655446 JPG655444:JPG655446 JZC655444:JZC655446 KIY655444:KIY655446 KSU655444:KSU655446 LCQ655444:LCQ655446 LMM655444:LMM655446 LWI655444:LWI655446 MGE655444:MGE655446 MQA655444:MQA655446 MZW655444:MZW655446 NJS655444:NJS655446 NTO655444:NTO655446 ODK655444:ODK655446 ONG655444:ONG655446 OXC655444:OXC655446 PGY655444:PGY655446 PQU655444:PQU655446 QAQ655444:QAQ655446 QKM655444:QKM655446 QUI655444:QUI655446 REE655444:REE655446 ROA655444:ROA655446 RXW655444:RXW655446 SHS655444:SHS655446 SRO655444:SRO655446 TBK655444:TBK655446 TLG655444:TLG655446 TVC655444:TVC655446 UEY655444:UEY655446 UOU655444:UOU655446 UYQ655444:UYQ655446 VIM655444:VIM655446 VSI655444:VSI655446 WCE655444:WCE655446 WMA655444:WMA655446 WVW655444:WVW655446 N720980:N720982 JK720980:JK720982 TG720980:TG720982 ADC720980:ADC720982 AMY720980:AMY720982 AWU720980:AWU720982 BGQ720980:BGQ720982 BQM720980:BQM720982 CAI720980:CAI720982 CKE720980:CKE720982 CUA720980:CUA720982 DDW720980:DDW720982 DNS720980:DNS720982 DXO720980:DXO720982 EHK720980:EHK720982 ERG720980:ERG720982 FBC720980:FBC720982 FKY720980:FKY720982 FUU720980:FUU720982 GEQ720980:GEQ720982 GOM720980:GOM720982 GYI720980:GYI720982 HIE720980:HIE720982 HSA720980:HSA720982 IBW720980:IBW720982 ILS720980:ILS720982 IVO720980:IVO720982 JFK720980:JFK720982 JPG720980:JPG720982 JZC720980:JZC720982 KIY720980:KIY720982 KSU720980:KSU720982 LCQ720980:LCQ720982 LMM720980:LMM720982 LWI720980:LWI720982 MGE720980:MGE720982 MQA720980:MQA720982 MZW720980:MZW720982 NJS720980:NJS720982 NTO720980:NTO720982 ODK720980:ODK720982 ONG720980:ONG720982 OXC720980:OXC720982 PGY720980:PGY720982 PQU720980:PQU720982 QAQ720980:QAQ720982 QKM720980:QKM720982 QUI720980:QUI720982 REE720980:REE720982 ROA720980:ROA720982 RXW720980:RXW720982 SHS720980:SHS720982 SRO720980:SRO720982 TBK720980:TBK720982 TLG720980:TLG720982 TVC720980:TVC720982 UEY720980:UEY720982 UOU720980:UOU720982 UYQ720980:UYQ720982 VIM720980:VIM720982 VSI720980:VSI720982 WCE720980:WCE720982 WMA720980:WMA720982 WVW720980:WVW720982 N786516:N786518 JK786516:JK786518 TG786516:TG786518 ADC786516:ADC786518 AMY786516:AMY786518 AWU786516:AWU786518 BGQ786516:BGQ786518 BQM786516:BQM786518 CAI786516:CAI786518 CKE786516:CKE786518 CUA786516:CUA786518 DDW786516:DDW786518 DNS786516:DNS786518 DXO786516:DXO786518 EHK786516:EHK786518 ERG786516:ERG786518 FBC786516:FBC786518 FKY786516:FKY786518 FUU786516:FUU786518 GEQ786516:GEQ786518 GOM786516:GOM786518 GYI786516:GYI786518 HIE786516:HIE786518 HSA786516:HSA786518 IBW786516:IBW786518 ILS786516:ILS786518 IVO786516:IVO786518 JFK786516:JFK786518 JPG786516:JPG786518 JZC786516:JZC786518 KIY786516:KIY786518 KSU786516:KSU786518 LCQ786516:LCQ786518 LMM786516:LMM786518 LWI786516:LWI786518 MGE786516:MGE786518 MQA786516:MQA786518 MZW786516:MZW786518 NJS786516:NJS786518 NTO786516:NTO786518 ODK786516:ODK786518 ONG786516:ONG786518 OXC786516:OXC786518 PGY786516:PGY786518 PQU786516:PQU786518 QAQ786516:QAQ786518 QKM786516:QKM786518 QUI786516:QUI786518 REE786516:REE786518 ROA786516:ROA786518 RXW786516:RXW786518 SHS786516:SHS786518 SRO786516:SRO786518 TBK786516:TBK786518 TLG786516:TLG786518 TVC786516:TVC786518 UEY786516:UEY786518 UOU786516:UOU786518 UYQ786516:UYQ786518 VIM786516:VIM786518 VSI786516:VSI786518 WCE786516:WCE786518 WMA786516:WMA786518 WVW786516:WVW786518 N852052:N852054 JK852052:JK852054 TG852052:TG852054 ADC852052:ADC852054 AMY852052:AMY852054 AWU852052:AWU852054 BGQ852052:BGQ852054 BQM852052:BQM852054 CAI852052:CAI852054 CKE852052:CKE852054 CUA852052:CUA852054 DDW852052:DDW852054 DNS852052:DNS852054 DXO852052:DXO852054 EHK852052:EHK852054 ERG852052:ERG852054 FBC852052:FBC852054 FKY852052:FKY852054 FUU852052:FUU852054 GEQ852052:GEQ852054 GOM852052:GOM852054 GYI852052:GYI852054 HIE852052:HIE852054 HSA852052:HSA852054 IBW852052:IBW852054 ILS852052:ILS852054 IVO852052:IVO852054 JFK852052:JFK852054 JPG852052:JPG852054 JZC852052:JZC852054 KIY852052:KIY852054 KSU852052:KSU852054 LCQ852052:LCQ852054 LMM852052:LMM852054 LWI852052:LWI852054 MGE852052:MGE852054 MQA852052:MQA852054 MZW852052:MZW852054 NJS852052:NJS852054 NTO852052:NTO852054 ODK852052:ODK852054 ONG852052:ONG852054 OXC852052:OXC852054 PGY852052:PGY852054 PQU852052:PQU852054 QAQ852052:QAQ852054 QKM852052:QKM852054 QUI852052:QUI852054 REE852052:REE852054 ROA852052:ROA852054 RXW852052:RXW852054 SHS852052:SHS852054 SRO852052:SRO852054 TBK852052:TBK852054 TLG852052:TLG852054 TVC852052:TVC852054 UEY852052:UEY852054 UOU852052:UOU852054 UYQ852052:UYQ852054 VIM852052:VIM852054 VSI852052:VSI852054 WCE852052:WCE852054 WMA852052:WMA852054 WVW852052:WVW852054 N917588:N917590 JK917588:JK917590 TG917588:TG917590 ADC917588:ADC917590 AMY917588:AMY917590 AWU917588:AWU917590 BGQ917588:BGQ917590 BQM917588:BQM917590 CAI917588:CAI917590 CKE917588:CKE917590 CUA917588:CUA917590 DDW917588:DDW917590 DNS917588:DNS917590 DXO917588:DXO917590 EHK917588:EHK917590 ERG917588:ERG917590 FBC917588:FBC917590 FKY917588:FKY917590 FUU917588:FUU917590 GEQ917588:GEQ917590 GOM917588:GOM917590 GYI917588:GYI917590 HIE917588:HIE917590 HSA917588:HSA917590 IBW917588:IBW917590 ILS917588:ILS917590 IVO917588:IVO917590 JFK917588:JFK917590 JPG917588:JPG917590 JZC917588:JZC917590 KIY917588:KIY917590 KSU917588:KSU917590 LCQ917588:LCQ917590 LMM917588:LMM917590 LWI917588:LWI917590 MGE917588:MGE917590 MQA917588:MQA917590 MZW917588:MZW917590 NJS917588:NJS917590 NTO917588:NTO917590 ODK917588:ODK917590 ONG917588:ONG917590 OXC917588:OXC917590 PGY917588:PGY917590 PQU917588:PQU917590 QAQ917588:QAQ917590 QKM917588:QKM917590 QUI917588:QUI917590 REE917588:REE917590 ROA917588:ROA917590 RXW917588:RXW917590 SHS917588:SHS917590 SRO917588:SRO917590 TBK917588:TBK917590 TLG917588:TLG917590 TVC917588:TVC917590 UEY917588:UEY917590 UOU917588:UOU917590 UYQ917588:UYQ917590 VIM917588:VIM917590 VSI917588:VSI917590 WCE917588:WCE917590 WMA917588:WMA917590 WVW917588:WVW917590 N983124:N983126 JK983124:JK983126 TG983124:TG983126 ADC983124:ADC983126 AMY983124:AMY983126 AWU983124:AWU983126 BGQ983124:BGQ983126 BQM983124:BQM983126 CAI983124:CAI983126 CKE983124:CKE983126 CUA983124:CUA983126 DDW983124:DDW983126 DNS983124:DNS983126 DXO983124:DXO983126 EHK983124:EHK983126 ERG983124:ERG983126 FBC983124:FBC983126 FKY983124:FKY983126 FUU983124:FUU983126 GEQ983124:GEQ983126 GOM983124:GOM983126 GYI983124:GYI983126 HIE983124:HIE983126 HSA983124:HSA983126 IBW983124:IBW983126 ILS983124:ILS983126 IVO983124:IVO983126 JFK983124:JFK983126 JPG983124:JPG983126 JZC983124:JZC983126 KIY983124:KIY983126 KSU983124:KSU983126 LCQ983124:LCQ983126 LMM983124:LMM983126 LWI983124:LWI983126 MGE983124:MGE983126 MQA983124:MQA983126 MZW983124:MZW983126 NJS983124:NJS983126 NTO983124:NTO983126 ODK983124:ODK983126 ONG983124:ONG983126 OXC983124:OXC983126 PGY983124:PGY983126 PQU983124:PQU983126 QAQ983124:QAQ983126 QKM983124:QKM983126 QUI983124:QUI983126 REE983124:REE983126 ROA983124:ROA983126 RXW983124:RXW983126 SHS983124:SHS983126 SRO983124:SRO983126 TBK983124:TBK983126 TLG983124:TLG983126 TVC983124:TVC983126 UEY983124:UEY983126 UOU983124:UOU983126 UYQ983124:UYQ983126 VIM983124:VIM983126 VSI983124:VSI983126 WCE983124:WCE983126 WMA983124:WMA983126 N82:N86">
      <formula1>"○,　"</formula1>
    </dataValidation>
    <dataValidation type="list" allowBlank="1" showInputMessage="1" showErrorMessage="1" sqref="WVW85:WVW86 WMA85:WMA86 WCE85:WCE86 VSI85:VSI86 VIM85:VIM86 UYQ85:UYQ86 UOU85:UOU86 UEY85:UEY86 TVC85:TVC86 TLG85:TLG86 TBK85:TBK86 SRO85:SRO86 SHS85:SHS86 RXW85:RXW86 ROA85:ROA86 REE85:REE86 QUI85:QUI86 QKM85:QKM86 QAQ85:QAQ86 PQU85:PQU86 PGY85:PGY86 OXC85:OXC86 ONG85:ONG86 ODK85:ODK86 NTO85:NTO86 NJS85:NJS86 MZW85:MZW86 MQA85:MQA86 MGE85:MGE86 LWI85:LWI86 LMM85:LMM86 LCQ85:LCQ86 KSU85:KSU86 KIY85:KIY86 JZC85:JZC86 JPG85:JPG86 JFK85:JFK86 IVO85:IVO86 ILS85:ILS86 IBW85:IBW86 HSA85:HSA86 HIE85:HIE86 GYI85:GYI86 GOM85:GOM86 GEQ85:GEQ86 FUU85:FUU86 FKY85:FKY86 FBC85:FBC86 ERG85:ERG86 EHK85:EHK86 DXO85:DXO86 DNS85:DNS86 DDW85:DDW86 CUA85:CUA86 CKE85:CKE86 CAI85:CAI86 BQM85:BQM86 BGQ85:BGQ86 AWU85:AWU86 AMY85:AMY86 ADC85:ADC86 TG85:TG86 JK85:JK86">
      <formula1>"○,　,対象外"</formula1>
    </dataValidation>
  </dataValidations>
  <printOptions horizontalCentered="1"/>
  <pageMargins left="0.39370078740157483" right="0.39370078740157483" top="0.59055118110236227" bottom="0.39370078740157483" header="0.31496062992125984" footer="0.51181102362204722"/>
  <pageSetup paperSize="9" scale="62" orientation="portrait" horizontalDpi="300" verticalDpi="300" r:id="rId1"/>
  <headerFooter alignWithMargins="0"/>
  <drawing r:id="rId2"/>
  <legacyDrawing r:id="rId3"/>
  <extLst xmlns:x14="http://schemas.microsoft.com/office/spreadsheetml/2009/9/main">
    <ext uri="{CCE6A557-97BC-4b89-ADB6-D9C93CAAB3DF}">
      <x14:dataValidations xmlns:xm="http://schemas.microsoft.com/office/excel/2006/main" count="1">
        <x14:dataValidation type="whole" allowBlank="1" showInputMessage="1" showErrorMessage="1">
          <x14:formula1>
            <xm:f>1</xm:f>
          </x14:formula1>
          <x14:formula2>
            <xm:f>5</xm:f>
          </x14:formula2>
          <xm:sqref>UEY983081:UEY983084 JK69:JK71 TG69:TG71 ADC69:ADC71 AMY69:AMY71 AWU69:AWU71 BGQ69:BGQ71 BQM69:BQM71 CAI69:CAI71 CKE69:CKE71 CUA69:CUA71 DDW69:DDW71 DNS69:DNS71 DXO69:DXO71 EHK69:EHK71 ERG69:ERG71 FBC69:FBC71 FKY69:FKY71 FUU69:FUU71 GEQ69:GEQ71 GOM69:GOM71 GYI69:GYI71 HIE69:HIE71 HSA69:HSA71 IBW69:IBW71 ILS69:ILS71 IVO69:IVO71 JFK69:JFK71 JPG69:JPG71 JZC69:JZC71 KIY69:KIY71 KSU69:KSU71 LCQ69:LCQ71 LMM69:LMM71 LWI69:LWI71 MGE69:MGE71 MQA69:MQA71 MZW69:MZW71 NJS69:NJS71 NTO69:NTO71 ODK69:ODK71 ONG69:ONG71 OXC69:OXC71 PGY69:PGY71 PQU69:PQU71 QAQ69:QAQ71 QKM69:QKM71 QUI69:QUI71 REE69:REE71 ROA69:ROA71 RXW69:RXW71 SHS69:SHS71 SRO69:SRO71 TBK69:TBK71 TLG69:TLG71 TVC69:TVC71 UEY69:UEY71 UOU69:UOU71 UYQ69:UYQ71 VIM69:VIM71 VSI69:VSI71 WCE69:WCE71 WMA69:WMA71 WVW69:WVW71 N65607:N65609 JK65607:JK65609 TG65607:TG65609 ADC65607:ADC65609 AMY65607:AMY65609 AWU65607:AWU65609 BGQ65607:BGQ65609 BQM65607:BQM65609 CAI65607:CAI65609 CKE65607:CKE65609 CUA65607:CUA65609 DDW65607:DDW65609 DNS65607:DNS65609 DXO65607:DXO65609 EHK65607:EHK65609 ERG65607:ERG65609 FBC65607:FBC65609 FKY65607:FKY65609 FUU65607:FUU65609 GEQ65607:GEQ65609 GOM65607:GOM65609 GYI65607:GYI65609 HIE65607:HIE65609 HSA65607:HSA65609 IBW65607:IBW65609 ILS65607:ILS65609 IVO65607:IVO65609 JFK65607:JFK65609 JPG65607:JPG65609 JZC65607:JZC65609 KIY65607:KIY65609 KSU65607:KSU65609 LCQ65607:LCQ65609 LMM65607:LMM65609 LWI65607:LWI65609 MGE65607:MGE65609 MQA65607:MQA65609 MZW65607:MZW65609 NJS65607:NJS65609 NTO65607:NTO65609 ODK65607:ODK65609 ONG65607:ONG65609 OXC65607:OXC65609 PGY65607:PGY65609 PQU65607:PQU65609 QAQ65607:QAQ65609 QKM65607:QKM65609 QUI65607:QUI65609 REE65607:REE65609 ROA65607:ROA65609 RXW65607:RXW65609 SHS65607:SHS65609 SRO65607:SRO65609 TBK65607:TBK65609 TLG65607:TLG65609 TVC65607:TVC65609 UEY65607:UEY65609 UOU65607:UOU65609 UYQ65607:UYQ65609 VIM65607:VIM65609 VSI65607:VSI65609 WCE65607:WCE65609 WMA65607:WMA65609 WVW65607:WVW65609 N131143:N131145 JK131143:JK131145 TG131143:TG131145 ADC131143:ADC131145 AMY131143:AMY131145 AWU131143:AWU131145 BGQ131143:BGQ131145 BQM131143:BQM131145 CAI131143:CAI131145 CKE131143:CKE131145 CUA131143:CUA131145 DDW131143:DDW131145 DNS131143:DNS131145 DXO131143:DXO131145 EHK131143:EHK131145 ERG131143:ERG131145 FBC131143:FBC131145 FKY131143:FKY131145 FUU131143:FUU131145 GEQ131143:GEQ131145 GOM131143:GOM131145 GYI131143:GYI131145 HIE131143:HIE131145 HSA131143:HSA131145 IBW131143:IBW131145 ILS131143:ILS131145 IVO131143:IVO131145 JFK131143:JFK131145 JPG131143:JPG131145 JZC131143:JZC131145 KIY131143:KIY131145 KSU131143:KSU131145 LCQ131143:LCQ131145 LMM131143:LMM131145 LWI131143:LWI131145 MGE131143:MGE131145 MQA131143:MQA131145 MZW131143:MZW131145 NJS131143:NJS131145 NTO131143:NTO131145 ODK131143:ODK131145 ONG131143:ONG131145 OXC131143:OXC131145 PGY131143:PGY131145 PQU131143:PQU131145 QAQ131143:QAQ131145 QKM131143:QKM131145 QUI131143:QUI131145 REE131143:REE131145 ROA131143:ROA131145 RXW131143:RXW131145 SHS131143:SHS131145 SRO131143:SRO131145 TBK131143:TBK131145 TLG131143:TLG131145 TVC131143:TVC131145 UEY131143:UEY131145 UOU131143:UOU131145 UYQ131143:UYQ131145 VIM131143:VIM131145 VSI131143:VSI131145 WCE131143:WCE131145 WMA131143:WMA131145 WVW131143:WVW131145 N196679:N196681 JK196679:JK196681 TG196679:TG196681 ADC196679:ADC196681 AMY196679:AMY196681 AWU196679:AWU196681 BGQ196679:BGQ196681 BQM196679:BQM196681 CAI196679:CAI196681 CKE196679:CKE196681 CUA196679:CUA196681 DDW196679:DDW196681 DNS196679:DNS196681 DXO196679:DXO196681 EHK196679:EHK196681 ERG196679:ERG196681 FBC196679:FBC196681 FKY196679:FKY196681 FUU196679:FUU196681 GEQ196679:GEQ196681 GOM196679:GOM196681 GYI196679:GYI196681 HIE196679:HIE196681 HSA196679:HSA196681 IBW196679:IBW196681 ILS196679:ILS196681 IVO196679:IVO196681 JFK196679:JFK196681 JPG196679:JPG196681 JZC196679:JZC196681 KIY196679:KIY196681 KSU196679:KSU196681 LCQ196679:LCQ196681 LMM196679:LMM196681 LWI196679:LWI196681 MGE196679:MGE196681 MQA196679:MQA196681 MZW196679:MZW196681 NJS196679:NJS196681 NTO196679:NTO196681 ODK196679:ODK196681 ONG196679:ONG196681 OXC196679:OXC196681 PGY196679:PGY196681 PQU196679:PQU196681 QAQ196679:QAQ196681 QKM196679:QKM196681 QUI196679:QUI196681 REE196679:REE196681 ROA196679:ROA196681 RXW196679:RXW196681 SHS196679:SHS196681 SRO196679:SRO196681 TBK196679:TBK196681 TLG196679:TLG196681 TVC196679:TVC196681 UEY196679:UEY196681 UOU196679:UOU196681 UYQ196679:UYQ196681 VIM196679:VIM196681 VSI196679:VSI196681 WCE196679:WCE196681 WMA196679:WMA196681 WVW196679:WVW196681 N262215:N262217 JK262215:JK262217 TG262215:TG262217 ADC262215:ADC262217 AMY262215:AMY262217 AWU262215:AWU262217 BGQ262215:BGQ262217 BQM262215:BQM262217 CAI262215:CAI262217 CKE262215:CKE262217 CUA262215:CUA262217 DDW262215:DDW262217 DNS262215:DNS262217 DXO262215:DXO262217 EHK262215:EHK262217 ERG262215:ERG262217 FBC262215:FBC262217 FKY262215:FKY262217 FUU262215:FUU262217 GEQ262215:GEQ262217 GOM262215:GOM262217 GYI262215:GYI262217 HIE262215:HIE262217 HSA262215:HSA262217 IBW262215:IBW262217 ILS262215:ILS262217 IVO262215:IVO262217 JFK262215:JFK262217 JPG262215:JPG262217 JZC262215:JZC262217 KIY262215:KIY262217 KSU262215:KSU262217 LCQ262215:LCQ262217 LMM262215:LMM262217 LWI262215:LWI262217 MGE262215:MGE262217 MQA262215:MQA262217 MZW262215:MZW262217 NJS262215:NJS262217 NTO262215:NTO262217 ODK262215:ODK262217 ONG262215:ONG262217 OXC262215:OXC262217 PGY262215:PGY262217 PQU262215:PQU262217 QAQ262215:QAQ262217 QKM262215:QKM262217 QUI262215:QUI262217 REE262215:REE262217 ROA262215:ROA262217 RXW262215:RXW262217 SHS262215:SHS262217 SRO262215:SRO262217 TBK262215:TBK262217 TLG262215:TLG262217 TVC262215:TVC262217 UEY262215:UEY262217 UOU262215:UOU262217 UYQ262215:UYQ262217 VIM262215:VIM262217 VSI262215:VSI262217 WCE262215:WCE262217 WMA262215:WMA262217 WVW262215:WVW262217 N327751:N327753 JK327751:JK327753 TG327751:TG327753 ADC327751:ADC327753 AMY327751:AMY327753 AWU327751:AWU327753 BGQ327751:BGQ327753 BQM327751:BQM327753 CAI327751:CAI327753 CKE327751:CKE327753 CUA327751:CUA327753 DDW327751:DDW327753 DNS327751:DNS327753 DXO327751:DXO327753 EHK327751:EHK327753 ERG327751:ERG327753 FBC327751:FBC327753 FKY327751:FKY327753 FUU327751:FUU327753 GEQ327751:GEQ327753 GOM327751:GOM327753 GYI327751:GYI327753 HIE327751:HIE327753 HSA327751:HSA327753 IBW327751:IBW327753 ILS327751:ILS327753 IVO327751:IVO327753 JFK327751:JFK327753 JPG327751:JPG327753 JZC327751:JZC327753 KIY327751:KIY327753 KSU327751:KSU327753 LCQ327751:LCQ327753 LMM327751:LMM327753 LWI327751:LWI327753 MGE327751:MGE327753 MQA327751:MQA327753 MZW327751:MZW327753 NJS327751:NJS327753 NTO327751:NTO327753 ODK327751:ODK327753 ONG327751:ONG327753 OXC327751:OXC327753 PGY327751:PGY327753 PQU327751:PQU327753 QAQ327751:QAQ327753 QKM327751:QKM327753 QUI327751:QUI327753 REE327751:REE327753 ROA327751:ROA327753 RXW327751:RXW327753 SHS327751:SHS327753 SRO327751:SRO327753 TBK327751:TBK327753 TLG327751:TLG327753 TVC327751:TVC327753 UEY327751:UEY327753 UOU327751:UOU327753 UYQ327751:UYQ327753 VIM327751:VIM327753 VSI327751:VSI327753 WCE327751:WCE327753 WMA327751:WMA327753 WVW327751:WVW327753 N393287:N393289 JK393287:JK393289 TG393287:TG393289 ADC393287:ADC393289 AMY393287:AMY393289 AWU393287:AWU393289 BGQ393287:BGQ393289 BQM393287:BQM393289 CAI393287:CAI393289 CKE393287:CKE393289 CUA393287:CUA393289 DDW393287:DDW393289 DNS393287:DNS393289 DXO393287:DXO393289 EHK393287:EHK393289 ERG393287:ERG393289 FBC393287:FBC393289 FKY393287:FKY393289 FUU393287:FUU393289 GEQ393287:GEQ393289 GOM393287:GOM393289 GYI393287:GYI393289 HIE393287:HIE393289 HSA393287:HSA393289 IBW393287:IBW393289 ILS393287:ILS393289 IVO393287:IVO393289 JFK393287:JFK393289 JPG393287:JPG393289 JZC393287:JZC393289 KIY393287:KIY393289 KSU393287:KSU393289 LCQ393287:LCQ393289 LMM393287:LMM393289 LWI393287:LWI393289 MGE393287:MGE393289 MQA393287:MQA393289 MZW393287:MZW393289 NJS393287:NJS393289 NTO393287:NTO393289 ODK393287:ODK393289 ONG393287:ONG393289 OXC393287:OXC393289 PGY393287:PGY393289 PQU393287:PQU393289 QAQ393287:QAQ393289 QKM393287:QKM393289 QUI393287:QUI393289 REE393287:REE393289 ROA393287:ROA393289 RXW393287:RXW393289 SHS393287:SHS393289 SRO393287:SRO393289 TBK393287:TBK393289 TLG393287:TLG393289 TVC393287:TVC393289 UEY393287:UEY393289 UOU393287:UOU393289 UYQ393287:UYQ393289 VIM393287:VIM393289 VSI393287:VSI393289 WCE393287:WCE393289 WMA393287:WMA393289 WVW393287:WVW393289 N458823:N458825 JK458823:JK458825 TG458823:TG458825 ADC458823:ADC458825 AMY458823:AMY458825 AWU458823:AWU458825 BGQ458823:BGQ458825 BQM458823:BQM458825 CAI458823:CAI458825 CKE458823:CKE458825 CUA458823:CUA458825 DDW458823:DDW458825 DNS458823:DNS458825 DXO458823:DXO458825 EHK458823:EHK458825 ERG458823:ERG458825 FBC458823:FBC458825 FKY458823:FKY458825 FUU458823:FUU458825 GEQ458823:GEQ458825 GOM458823:GOM458825 GYI458823:GYI458825 HIE458823:HIE458825 HSA458823:HSA458825 IBW458823:IBW458825 ILS458823:ILS458825 IVO458823:IVO458825 JFK458823:JFK458825 JPG458823:JPG458825 JZC458823:JZC458825 KIY458823:KIY458825 KSU458823:KSU458825 LCQ458823:LCQ458825 LMM458823:LMM458825 LWI458823:LWI458825 MGE458823:MGE458825 MQA458823:MQA458825 MZW458823:MZW458825 NJS458823:NJS458825 NTO458823:NTO458825 ODK458823:ODK458825 ONG458823:ONG458825 OXC458823:OXC458825 PGY458823:PGY458825 PQU458823:PQU458825 QAQ458823:QAQ458825 QKM458823:QKM458825 QUI458823:QUI458825 REE458823:REE458825 ROA458823:ROA458825 RXW458823:RXW458825 SHS458823:SHS458825 SRO458823:SRO458825 TBK458823:TBK458825 TLG458823:TLG458825 TVC458823:TVC458825 UEY458823:UEY458825 UOU458823:UOU458825 UYQ458823:UYQ458825 VIM458823:VIM458825 VSI458823:VSI458825 WCE458823:WCE458825 WMA458823:WMA458825 WVW458823:WVW458825 N524359:N524361 JK524359:JK524361 TG524359:TG524361 ADC524359:ADC524361 AMY524359:AMY524361 AWU524359:AWU524361 BGQ524359:BGQ524361 BQM524359:BQM524361 CAI524359:CAI524361 CKE524359:CKE524361 CUA524359:CUA524361 DDW524359:DDW524361 DNS524359:DNS524361 DXO524359:DXO524361 EHK524359:EHK524361 ERG524359:ERG524361 FBC524359:FBC524361 FKY524359:FKY524361 FUU524359:FUU524361 GEQ524359:GEQ524361 GOM524359:GOM524361 GYI524359:GYI524361 HIE524359:HIE524361 HSA524359:HSA524361 IBW524359:IBW524361 ILS524359:ILS524361 IVO524359:IVO524361 JFK524359:JFK524361 JPG524359:JPG524361 JZC524359:JZC524361 KIY524359:KIY524361 KSU524359:KSU524361 LCQ524359:LCQ524361 LMM524359:LMM524361 LWI524359:LWI524361 MGE524359:MGE524361 MQA524359:MQA524361 MZW524359:MZW524361 NJS524359:NJS524361 NTO524359:NTO524361 ODK524359:ODK524361 ONG524359:ONG524361 OXC524359:OXC524361 PGY524359:PGY524361 PQU524359:PQU524361 QAQ524359:QAQ524361 QKM524359:QKM524361 QUI524359:QUI524361 REE524359:REE524361 ROA524359:ROA524361 RXW524359:RXW524361 SHS524359:SHS524361 SRO524359:SRO524361 TBK524359:TBK524361 TLG524359:TLG524361 TVC524359:TVC524361 UEY524359:UEY524361 UOU524359:UOU524361 UYQ524359:UYQ524361 VIM524359:VIM524361 VSI524359:VSI524361 WCE524359:WCE524361 WMA524359:WMA524361 WVW524359:WVW524361 N589895:N589897 JK589895:JK589897 TG589895:TG589897 ADC589895:ADC589897 AMY589895:AMY589897 AWU589895:AWU589897 BGQ589895:BGQ589897 BQM589895:BQM589897 CAI589895:CAI589897 CKE589895:CKE589897 CUA589895:CUA589897 DDW589895:DDW589897 DNS589895:DNS589897 DXO589895:DXO589897 EHK589895:EHK589897 ERG589895:ERG589897 FBC589895:FBC589897 FKY589895:FKY589897 FUU589895:FUU589897 GEQ589895:GEQ589897 GOM589895:GOM589897 GYI589895:GYI589897 HIE589895:HIE589897 HSA589895:HSA589897 IBW589895:IBW589897 ILS589895:ILS589897 IVO589895:IVO589897 JFK589895:JFK589897 JPG589895:JPG589897 JZC589895:JZC589897 KIY589895:KIY589897 KSU589895:KSU589897 LCQ589895:LCQ589897 LMM589895:LMM589897 LWI589895:LWI589897 MGE589895:MGE589897 MQA589895:MQA589897 MZW589895:MZW589897 NJS589895:NJS589897 NTO589895:NTO589897 ODK589895:ODK589897 ONG589895:ONG589897 OXC589895:OXC589897 PGY589895:PGY589897 PQU589895:PQU589897 QAQ589895:QAQ589897 QKM589895:QKM589897 QUI589895:QUI589897 REE589895:REE589897 ROA589895:ROA589897 RXW589895:RXW589897 SHS589895:SHS589897 SRO589895:SRO589897 TBK589895:TBK589897 TLG589895:TLG589897 TVC589895:TVC589897 UEY589895:UEY589897 UOU589895:UOU589897 UYQ589895:UYQ589897 VIM589895:VIM589897 VSI589895:VSI589897 WCE589895:WCE589897 WMA589895:WMA589897 WVW589895:WVW589897 N655431:N655433 JK655431:JK655433 TG655431:TG655433 ADC655431:ADC655433 AMY655431:AMY655433 AWU655431:AWU655433 BGQ655431:BGQ655433 BQM655431:BQM655433 CAI655431:CAI655433 CKE655431:CKE655433 CUA655431:CUA655433 DDW655431:DDW655433 DNS655431:DNS655433 DXO655431:DXO655433 EHK655431:EHK655433 ERG655431:ERG655433 FBC655431:FBC655433 FKY655431:FKY655433 FUU655431:FUU655433 GEQ655431:GEQ655433 GOM655431:GOM655433 GYI655431:GYI655433 HIE655431:HIE655433 HSA655431:HSA655433 IBW655431:IBW655433 ILS655431:ILS655433 IVO655431:IVO655433 JFK655431:JFK655433 JPG655431:JPG655433 JZC655431:JZC655433 KIY655431:KIY655433 KSU655431:KSU655433 LCQ655431:LCQ655433 LMM655431:LMM655433 LWI655431:LWI655433 MGE655431:MGE655433 MQA655431:MQA655433 MZW655431:MZW655433 NJS655431:NJS655433 NTO655431:NTO655433 ODK655431:ODK655433 ONG655431:ONG655433 OXC655431:OXC655433 PGY655431:PGY655433 PQU655431:PQU655433 QAQ655431:QAQ655433 QKM655431:QKM655433 QUI655431:QUI655433 REE655431:REE655433 ROA655431:ROA655433 RXW655431:RXW655433 SHS655431:SHS655433 SRO655431:SRO655433 TBK655431:TBK655433 TLG655431:TLG655433 TVC655431:TVC655433 UEY655431:UEY655433 UOU655431:UOU655433 UYQ655431:UYQ655433 VIM655431:VIM655433 VSI655431:VSI655433 WCE655431:WCE655433 WMA655431:WMA655433 WVW655431:WVW655433 N720967:N720969 JK720967:JK720969 TG720967:TG720969 ADC720967:ADC720969 AMY720967:AMY720969 AWU720967:AWU720969 BGQ720967:BGQ720969 BQM720967:BQM720969 CAI720967:CAI720969 CKE720967:CKE720969 CUA720967:CUA720969 DDW720967:DDW720969 DNS720967:DNS720969 DXO720967:DXO720969 EHK720967:EHK720969 ERG720967:ERG720969 FBC720967:FBC720969 FKY720967:FKY720969 FUU720967:FUU720969 GEQ720967:GEQ720969 GOM720967:GOM720969 GYI720967:GYI720969 HIE720967:HIE720969 HSA720967:HSA720969 IBW720967:IBW720969 ILS720967:ILS720969 IVO720967:IVO720969 JFK720967:JFK720969 JPG720967:JPG720969 JZC720967:JZC720969 KIY720967:KIY720969 KSU720967:KSU720969 LCQ720967:LCQ720969 LMM720967:LMM720969 LWI720967:LWI720969 MGE720967:MGE720969 MQA720967:MQA720969 MZW720967:MZW720969 NJS720967:NJS720969 NTO720967:NTO720969 ODK720967:ODK720969 ONG720967:ONG720969 OXC720967:OXC720969 PGY720967:PGY720969 PQU720967:PQU720969 QAQ720967:QAQ720969 QKM720967:QKM720969 QUI720967:QUI720969 REE720967:REE720969 ROA720967:ROA720969 RXW720967:RXW720969 SHS720967:SHS720969 SRO720967:SRO720969 TBK720967:TBK720969 TLG720967:TLG720969 TVC720967:TVC720969 UEY720967:UEY720969 UOU720967:UOU720969 UYQ720967:UYQ720969 VIM720967:VIM720969 VSI720967:VSI720969 WCE720967:WCE720969 WMA720967:WMA720969 WVW720967:WVW720969 N786503:N786505 JK786503:JK786505 TG786503:TG786505 ADC786503:ADC786505 AMY786503:AMY786505 AWU786503:AWU786505 BGQ786503:BGQ786505 BQM786503:BQM786505 CAI786503:CAI786505 CKE786503:CKE786505 CUA786503:CUA786505 DDW786503:DDW786505 DNS786503:DNS786505 DXO786503:DXO786505 EHK786503:EHK786505 ERG786503:ERG786505 FBC786503:FBC786505 FKY786503:FKY786505 FUU786503:FUU786505 GEQ786503:GEQ786505 GOM786503:GOM786505 GYI786503:GYI786505 HIE786503:HIE786505 HSA786503:HSA786505 IBW786503:IBW786505 ILS786503:ILS786505 IVO786503:IVO786505 JFK786503:JFK786505 JPG786503:JPG786505 JZC786503:JZC786505 KIY786503:KIY786505 KSU786503:KSU786505 LCQ786503:LCQ786505 LMM786503:LMM786505 LWI786503:LWI786505 MGE786503:MGE786505 MQA786503:MQA786505 MZW786503:MZW786505 NJS786503:NJS786505 NTO786503:NTO786505 ODK786503:ODK786505 ONG786503:ONG786505 OXC786503:OXC786505 PGY786503:PGY786505 PQU786503:PQU786505 QAQ786503:QAQ786505 QKM786503:QKM786505 QUI786503:QUI786505 REE786503:REE786505 ROA786503:ROA786505 RXW786503:RXW786505 SHS786503:SHS786505 SRO786503:SRO786505 TBK786503:TBK786505 TLG786503:TLG786505 TVC786503:TVC786505 UEY786503:UEY786505 UOU786503:UOU786505 UYQ786503:UYQ786505 VIM786503:VIM786505 VSI786503:VSI786505 WCE786503:WCE786505 WMA786503:WMA786505 WVW786503:WVW786505 N852039:N852041 JK852039:JK852041 TG852039:TG852041 ADC852039:ADC852041 AMY852039:AMY852041 AWU852039:AWU852041 BGQ852039:BGQ852041 BQM852039:BQM852041 CAI852039:CAI852041 CKE852039:CKE852041 CUA852039:CUA852041 DDW852039:DDW852041 DNS852039:DNS852041 DXO852039:DXO852041 EHK852039:EHK852041 ERG852039:ERG852041 FBC852039:FBC852041 FKY852039:FKY852041 FUU852039:FUU852041 GEQ852039:GEQ852041 GOM852039:GOM852041 GYI852039:GYI852041 HIE852039:HIE852041 HSA852039:HSA852041 IBW852039:IBW852041 ILS852039:ILS852041 IVO852039:IVO852041 JFK852039:JFK852041 JPG852039:JPG852041 JZC852039:JZC852041 KIY852039:KIY852041 KSU852039:KSU852041 LCQ852039:LCQ852041 LMM852039:LMM852041 LWI852039:LWI852041 MGE852039:MGE852041 MQA852039:MQA852041 MZW852039:MZW852041 NJS852039:NJS852041 NTO852039:NTO852041 ODK852039:ODK852041 ONG852039:ONG852041 OXC852039:OXC852041 PGY852039:PGY852041 PQU852039:PQU852041 QAQ852039:QAQ852041 QKM852039:QKM852041 QUI852039:QUI852041 REE852039:REE852041 ROA852039:ROA852041 RXW852039:RXW852041 SHS852039:SHS852041 SRO852039:SRO852041 TBK852039:TBK852041 TLG852039:TLG852041 TVC852039:TVC852041 UEY852039:UEY852041 UOU852039:UOU852041 UYQ852039:UYQ852041 VIM852039:VIM852041 VSI852039:VSI852041 WCE852039:WCE852041 WMA852039:WMA852041 WVW852039:WVW852041 N917575:N917577 JK917575:JK917577 TG917575:TG917577 ADC917575:ADC917577 AMY917575:AMY917577 AWU917575:AWU917577 BGQ917575:BGQ917577 BQM917575:BQM917577 CAI917575:CAI917577 CKE917575:CKE917577 CUA917575:CUA917577 DDW917575:DDW917577 DNS917575:DNS917577 DXO917575:DXO917577 EHK917575:EHK917577 ERG917575:ERG917577 FBC917575:FBC917577 FKY917575:FKY917577 FUU917575:FUU917577 GEQ917575:GEQ917577 GOM917575:GOM917577 GYI917575:GYI917577 HIE917575:HIE917577 HSA917575:HSA917577 IBW917575:IBW917577 ILS917575:ILS917577 IVO917575:IVO917577 JFK917575:JFK917577 JPG917575:JPG917577 JZC917575:JZC917577 KIY917575:KIY917577 KSU917575:KSU917577 LCQ917575:LCQ917577 LMM917575:LMM917577 LWI917575:LWI917577 MGE917575:MGE917577 MQA917575:MQA917577 MZW917575:MZW917577 NJS917575:NJS917577 NTO917575:NTO917577 ODK917575:ODK917577 ONG917575:ONG917577 OXC917575:OXC917577 PGY917575:PGY917577 PQU917575:PQU917577 QAQ917575:QAQ917577 QKM917575:QKM917577 QUI917575:QUI917577 REE917575:REE917577 ROA917575:ROA917577 RXW917575:RXW917577 SHS917575:SHS917577 SRO917575:SRO917577 TBK917575:TBK917577 TLG917575:TLG917577 TVC917575:TVC917577 UEY917575:UEY917577 UOU917575:UOU917577 UYQ917575:UYQ917577 VIM917575:VIM917577 VSI917575:VSI917577 WCE917575:WCE917577 WMA917575:WMA917577 WVW917575:WVW917577 N983111:N983113 JK983111:JK983113 TG983111:TG983113 ADC983111:ADC983113 AMY983111:AMY983113 AWU983111:AWU983113 BGQ983111:BGQ983113 BQM983111:BQM983113 CAI983111:CAI983113 CKE983111:CKE983113 CUA983111:CUA983113 DDW983111:DDW983113 DNS983111:DNS983113 DXO983111:DXO983113 EHK983111:EHK983113 ERG983111:ERG983113 FBC983111:FBC983113 FKY983111:FKY983113 FUU983111:FUU983113 GEQ983111:GEQ983113 GOM983111:GOM983113 GYI983111:GYI983113 HIE983111:HIE983113 HSA983111:HSA983113 IBW983111:IBW983113 ILS983111:ILS983113 IVO983111:IVO983113 JFK983111:JFK983113 JPG983111:JPG983113 JZC983111:JZC983113 KIY983111:KIY983113 KSU983111:KSU983113 LCQ983111:LCQ983113 LMM983111:LMM983113 LWI983111:LWI983113 MGE983111:MGE983113 MQA983111:MQA983113 MZW983111:MZW983113 NJS983111:NJS983113 NTO983111:NTO983113 ODK983111:ODK983113 ONG983111:ONG983113 OXC983111:OXC983113 PGY983111:PGY983113 PQU983111:PQU983113 QAQ983111:QAQ983113 QKM983111:QKM983113 QUI983111:QUI983113 REE983111:REE983113 ROA983111:ROA983113 RXW983111:RXW983113 SHS983111:SHS983113 SRO983111:SRO983113 TBK983111:TBK983113 TLG983111:TLG983113 TVC983111:TVC983113 UEY983111:UEY983113 UOU983111:UOU983113 UYQ983111:UYQ983113 VIM983111:VIM983113 VSI983111:VSI983113 WCE983111:WCE983113 WMA983111:WMA983113 WVW983111:WVW983113 VIM983081:VIM983084 JE53:JE55 TA53:TA55 ACW53:ACW55 AMS53:AMS55 AWO53:AWO55 BGK53:BGK55 BQG53:BQG55 CAC53:CAC55 CJY53:CJY55 CTU53:CTU55 DDQ53:DDQ55 DNM53:DNM55 DXI53:DXI55 EHE53:EHE55 ERA53:ERA55 FAW53:FAW55 FKS53:FKS55 FUO53:FUO55 GEK53:GEK55 GOG53:GOG55 GYC53:GYC55 HHY53:HHY55 HRU53:HRU55 IBQ53:IBQ55 ILM53:ILM55 IVI53:IVI55 JFE53:JFE55 JPA53:JPA55 JYW53:JYW55 KIS53:KIS55 KSO53:KSO55 LCK53:LCK55 LMG53:LMG55 LWC53:LWC55 MFY53:MFY55 MPU53:MPU55 MZQ53:MZQ55 NJM53:NJM55 NTI53:NTI55 ODE53:ODE55 ONA53:ONA55 OWW53:OWW55 PGS53:PGS55 PQO53:PQO55 QAK53:QAK55 QKG53:QKG55 QUC53:QUC55 RDY53:RDY55 RNU53:RNU55 RXQ53:RXQ55 SHM53:SHM55 SRI53:SRI55 TBE53:TBE55 TLA53:TLA55 TUW53:TUW55 UES53:UES55 UOO53:UOO55 UYK53:UYK55 VIG53:VIG55 VSC53:VSC55 WBY53:WBY55 WLU53:WLU55 WVQ53:WVQ55 H65591:H65593 JE65591:JE65593 TA65591:TA65593 ACW65591:ACW65593 AMS65591:AMS65593 AWO65591:AWO65593 BGK65591:BGK65593 BQG65591:BQG65593 CAC65591:CAC65593 CJY65591:CJY65593 CTU65591:CTU65593 DDQ65591:DDQ65593 DNM65591:DNM65593 DXI65591:DXI65593 EHE65591:EHE65593 ERA65591:ERA65593 FAW65591:FAW65593 FKS65591:FKS65593 FUO65591:FUO65593 GEK65591:GEK65593 GOG65591:GOG65593 GYC65591:GYC65593 HHY65591:HHY65593 HRU65591:HRU65593 IBQ65591:IBQ65593 ILM65591:ILM65593 IVI65591:IVI65593 JFE65591:JFE65593 JPA65591:JPA65593 JYW65591:JYW65593 KIS65591:KIS65593 KSO65591:KSO65593 LCK65591:LCK65593 LMG65591:LMG65593 LWC65591:LWC65593 MFY65591:MFY65593 MPU65591:MPU65593 MZQ65591:MZQ65593 NJM65591:NJM65593 NTI65591:NTI65593 ODE65591:ODE65593 ONA65591:ONA65593 OWW65591:OWW65593 PGS65591:PGS65593 PQO65591:PQO65593 QAK65591:QAK65593 QKG65591:QKG65593 QUC65591:QUC65593 RDY65591:RDY65593 RNU65591:RNU65593 RXQ65591:RXQ65593 SHM65591:SHM65593 SRI65591:SRI65593 TBE65591:TBE65593 TLA65591:TLA65593 TUW65591:TUW65593 UES65591:UES65593 UOO65591:UOO65593 UYK65591:UYK65593 VIG65591:VIG65593 VSC65591:VSC65593 WBY65591:WBY65593 WLU65591:WLU65593 WVQ65591:WVQ65593 H131127:H131129 JE131127:JE131129 TA131127:TA131129 ACW131127:ACW131129 AMS131127:AMS131129 AWO131127:AWO131129 BGK131127:BGK131129 BQG131127:BQG131129 CAC131127:CAC131129 CJY131127:CJY131129 CTU131127:CTU131129 DDQ131127:DDQ131129 DNM131127:DNM131129 DXI131127:DXI131129 EHE131127:EHE131129 ERA131127:ERA131129 FAW131127:FAW131129 FKS131127:FKS131129 FUO131127:FUO131129 GEK131127:GEK131129 GOG131127:GOG131129 GYC131127:GYC131129 HHY131127:HHY131129 HRU131127:HRU131129 IBQ131127:IBQ131129 ILM131127:ILM131129 IVI131127:IVI131129 JFE131127:JFE131129 JPA131127:JPA131129 JYW131127:JYW131129 KIS131127:KIS131129 KSO131127:KSO131129 LCK131127:LCK131129 LMG131127:LMG131129 LWC131127:LWC131129 MFY131127:MFY131129 MPU131127:MPU131129 MZQ131127:MZQ131129 NJM131127:NJM131129 NTI131127:NTI131129 ODE131127:ODE131129 ONA131127:ONA131129 OWW131127:OWW131129 PGS131127:PGS131129 PQO131127:PQO131129 QAK131127:QAK131129 QKG131127:QKG131129 QUC131127:QUC131129 RDY131127:RDY131129 RNU131127:RNU131129 RXQ131127:RXQ131129 SHM131127:SHM131129 SRI131127:SRI131129 TBE131127:TBE131129 TLA131127:TLA131129 TUW131127:TUW131129 UES131127:UES131129 UOO131127:UOO131129 UYK131127:UYK131129 VIG131127:VIG131129 VSC131127:VSC131129 WBY131127:WBY131129 WLU131127:WLU131129 WVQ131127:WVQ131129 H196663:H196665 JE196663:JE196665 TA196663:TA196665 ACW196663:ACW196665 AMS196663:AMS196665 AWO196663:AWO196665 BGK196663:BGK196665 BQG196663:BQG196665 CAC196663:CAC196665 CJY196663:CJY196665 CTU196663:CTU196665 DDQ196663:DDQ196665 DNM196663:DNM196665 DXI196663:DXI196665 EHE196663:EHE196665 ERA196663:ERA196665 FAW196663:FAW196665 FKS196663:FKS196665 FUO196663:FUO196665 GEK196663:GEK196665 GOG196663:GOG196665 GYC196663:GYC196665 HHY196663:HHY196665 HRU196663:HRU196665 IBQ196663:IBQ196665 ILM196663:ILM196665 IVI196663:IVI196665 JFE196663:JFE196665 JPA196663:JPA196665 JYW196663:JYW196665 KIS196663:KIS196665 KSO196663:KSO196665 LCK196663:LCK196665 LMG196663:LMG196665 LWC196663:LWC196665 MFY196663:MFY196665 MPU196663:MPU196665 MZQ196663:MZQ196665 NJM196663:NJM196665 NTI196663:NTI196665 ODE196663:ODE196665 ONA196663:ONA196665 OWW196663:OWW196665 PGS196663:PGS196665 PQO196663:PQO196665 QAK196663:QAK196665 QKG196663:QKG196665 QUC196663:QUC196665 RDY196663:RDY196665 RNU196663:RNU196665 RXQ196663:RXQ196665 SHM196663:SHM196665 SRI196663:SRI196665 TBE196663:TBE196665 TLA196663:TLA196665 TUW196663:TUW196665 UES196663:UES196665 UOO196663:UOO196665 UYK196663:UYK196665 VIG196663:VIG196665 VSC196663:VSC196665 WBY196663:WBY196665 WLU196663:WLU196665 WVQ196663:WVQ196665 H262199:H262201 JE262199:JE262201 TA262199:TA262201 ACW262199:ACW262201 AMS262199:AMS262201 AWO262199:AWO262201 BGK262199:BGK262201 BQG262199:BQG262201 CAC262199:CAC262201 CJY262199:CJY262201 CTU262199:CTU262201 DDQ262199:DDQ262201 DNM262199:DNM262201 DXI262199:DXI262201 EHE262199:EHE262201 ERA262199:ERA262201 FAW262199:FAW262201 FKS262199:FKS262201 FUO262199:FUO262201 GEK262199:GEK262201 GOG262199:GOG262201 GYC262199:GYC262201 HHY262199:HHY262201 HRU262199:HRU262201 IBQ262199:IBQ262201 ILM262199:ILM262201 IVI262199:IVI262201 JFE262199:JFE262201 JPA262199:JPA262201 JYW262199:JYW262201 KIS262199:KIS262201 KSO262199:KSO262201 LCK262199:LCK262201 LMG262199:LMG262201 LWC262199:LWC262201 MFY262199:MFY262201 MPU262199:MPU262201 MZQ262199:MZQ262201 NJM262199:NJM262201 NTI262199:NTI262201 ODE262199:ODE262201 ONA262199:ONA262201 OWW262199:OWW262201 PGS262199:PGS262201 PQO262199:PQO262201 QAK262199:QAK262201 QKG262199:QKG262201 QUC262199:QUC262201 RDY262199:RDY262201 RNU262199:RNU262201 RXQ262199:RXQ262201 SHM262199:SHM262201 SRI262199:SRI262201 TBE262199:TBE262201 TLA262199:TLA262201 TUW262199:TUW262201 UES262199:UES262201 UOO262199:UOO262201 UYK262199:UYK262201 VIG262199:VIG262201 VSC262199:VSC262201 WBY262199:WBY262201 WLU262199:WLU262201 WVQ262199:WVQ262201 H327735:H327737 JE327735:JE327737 TA327735:TA327737 ACW327735:ACW327737 AMS327735:AMS327737 AWO327735:AWO327737 BGK327735:BGK327737 BQG327735:BQG327737 CAC327735:CAC327737 CJY327735:CJY327737 CTU327735:CTU327737 DDQ327735:DDQ327737 DNM327735:DNM327737 DXI327735:DXI327737 EHE327735:EHE327737 ERA327735:ERA327737 FAW327735:FAW327737 FKS327735:FKS327737 FUO327735:FUO327737 GEK327735:GEK327737 GOG327735:GOG327737 GYC327735:GYC327737 HHY327735:HHY327737 HRU327735:HRU327737 IBQ327735:IBQ327737 ILM327735:ILM327737 IVI327735:IVI327737 JFE327735:JFE327737 JPA327735:JPA327737 JYW327735:JYW327737 KIS327735:KIS327737 KSO327735:KSO327737 LCK327735:LCK327737 LMG327735:LMG327737 LWC327735:LWC327737 MFY327735:MFY327737 MPU327735:MPU327737 MZQ327735:MZQ327737 NJM327735:NJM327737 NTI327735:NTI327737 ODE327735:ODE327737 ONA327735:ONA327737 OWW327735:OWW327737 PGS327735:PGS327737 PQO327735:PQO327737 QAK327735:QAK327737 QKG327735:QKG327737 QUC327735:QUC327737 RDY327735:RDY327737 RNU327735:RNU327737 RXQ327735:RXQ327737 SHM327735:SHM327737 SRI327735:SRI327737 TBE327735:TBE327737 TLA327735:TLA327737 TUW327735:TUW327737 UES327735:UES327737 UOO327735:UOO327737 UYK327735:UYK327737 VIG327735:VIG327737 VSC327735:VSC327737 WBY327735:WBY327737 WLU327735:WLU327737 WVQ327735:WVQ327737 H393271:H393273 JE393271:JE393273 TA393271:TA393273 ACW393271:ACW393273 AMS393271:AMS393273 AWO393271:AWO393273 BGK393271:BGK393273 BQG393271:BQG393273 CAC393271:CAC393273 CJY393271:CJY393273 CTU393271:CTU393273 DDQ393271:DDQ393273 DNM393271:DNM393273 DXI393271:DXI393273 EHE393271:EHE393273 ERA393271:ERA393273 FAW393271:FAW393273 FKS393271:FKS393273 FUO393271:FUO393273 GEK393271:GEK393273 GOG393271:GOG393273 GYC393271:GYC393273 HHY393271:HHY393273 HRU393271:HRU393273 IBQ393271:IBQ393273 ILM393271:ILM393273 IVI393271:IVI393273 JFE393271:JFE393273 JPA393271:JPA393273 JYW393271:JYW393273 KIS393271:KIS393273 KSO393271:KSO393273 LCK393271:LCK393273 LMG393271:LMG393273 LWC393271:LWC393273 MFY393271:MFY393273 MPU393271:MPU393273 MZQ393271:MZQ393273 NJM393271:NJM393273 NTI393271:NTI393273 ODE393271:ODE393273 ONA393271:ONA393273 OWW393271:OWW393273 PGS393271:PGS393273 PQO393271:PQO393273 QAK393271:QAK393273 QKG393271:QKG393273 QUC393271:QUC393273 RDY393271:RDY393273 RNU393271:RNU393273 RXQ393271:RXQ393273 SHM393271:SHM393273 SRI393271:SRI393273 TBE393271:TBE393273 TLA393271:TLA393273 TUW393271:TUW393273 UES393271:UES393273 UOO393271:UOO393273 UYK393271:UYK393273 VIG393271:VIG393273 VSC393271:VSC393273 WBY393271:WBY393273 WLU393271:WLU393273 WVQ393271:WVQ393273 H458807:H458809 JE458807:JE458809 TA458807:TA458809 ACW458807:ACW458809 AMS458807:AMS458809 AWO458807:AWO458809 BGK458807:BGK458809 BQG458807:BQG458809 CAC458807:CAC458809 CJY458807:CJY458809 CTU458807:CTU458809 DDQ458807:DDQ458809 DNM458807:DNM458809 DXI458807:DXI458809 EHE458807:EHE458809 ERA458807:ERA458809 FAW458807:FAW458809 FKS458807:FKS458809 FUO458807:FUO458809 GEK458807:GEK458809 GOG458807:GOG458809 GYC458807:GYC458809 HHY458807:HHY458809 HRU458807:HRU458809 IBQ458807:IBQ458809 ILM458807:ILM458809 IVI458807:IVI458809 JFE458807:JFE458809 JPA458807:JPA458809 JYW458807:JYW458809 KIS458807:KIS458809 KSO458807:KSO458809 LCK458807:LCK458809 LMG458807:LMG458809 LWC458807:LWC458809 MFY458807:MFY458809 MPU458807:MPU458809 MZQ458807:MZQ458809 NJM458807:NJM458809 NTI458807:NTI458809 ODE458807:ODE458809 ONA458807:ONA458809 OWW458807:OWW458809 PGS458807:PGS458809 PQO458807:PQO458809 QAK458807:QAK458809 QKG458807:QKG458809 QUC458807:QUC458809 RDY458807:RDY458809 RNU458807:RNU458809 RXQ458807:RXQ458809 SHM458807:SHM458809 SRI458807:SRI458809 TBE458807:TBE458809 TLA458807:TLA458809 TUW458807:TUW458809 UES458807:UES458809 UOO458807:UOO458809 UYK458807:UYK458809 VIG458807:VIG458809 VSC458807:VSC458809 WBY458807:WBY458809 WLU458807:WLU458809 WVQ458807:WVQ458809 H524343:H524345 JE524343:JE524345 TA524343:TA524345 ACW524343:ACW524345 AMS524343:AMS524345 AWO524343:AWO524345 BGK524343:BGK524345 BQG524343:BQG524345 CAC524343:CAC524345 CJY524343:CJY524345 CTU524343:CTU524345 DDQ524343:DDQ524345 DNM524343:DNM524345 DXI524343:DXI524345 EHE524343:EHE524345 ERA524343:ERA524345 FAW524343:FAW524345 FKS524343:FKS524345 FUO524343:FUO524345 GEK524343:GEK524345 GOG524343:GOG524345 GYC524343:GYC524345 HHY524343:HHY524345 HRU524343:HRU524345 IBQ524343:IBQ524345 ILM524343:ILM524345 IVI524343:IVI524345 JFE524343:JFE524345 JPA524343:JPA524345 JYW524343:JYW524345 KIS524343:KIS524345 KSO524343:KSO524345 LCK524343:LCK524345 LMG524343:LMG524345 LWC524343:LWC524345 MFY524343:MFY524345 MPU524343:MPU524345 MZQ524343:MZQ524345 NJM524343:NJM524345 NTI524343:NTI524345 ODE524343:ODE524345 ONA524343:ONA524345 OWW524343:OWW524345 PGS524343:PGS524345 PQO524343:PQO524345 QAK524343:QAK524345 QKG524343:QKG524345 QUC524343:QUC524345 RDY524343:RDY524345 RNU524343:RNU524345 RXQ524343:RXQ524345 SHM524343:SHM524345 SRI524343:SRI524345 TBE524343:TBE524345 TLA524343:TLA524345 TUW524343:TUW524345 UES524343:UES524345 UOO524343:UOO524345 UYK524343:UYK524345 VIG524343:VIG524345 VSC524343:VSC524345 WBY524343:WBY524345 WLU524343:WLU524345 WVQ524343:WVQ524345 H589879:H589881 JE589879:JE589881 TA589879:TA589881 ACW589879:ACW589881 AMS589879:AMS589881 AWO589879:AWO589881 BGK589879:BGK589881 BQG589879:BQG589881 CAC589879:CAC589881 CJY589879:CJY589881 CTU589879:CTU589881 DDQ589879:DDQ589881 DNM589879:DNM589881 DXI589879:DXI589881 EHE589879:EHE589881 ERA589879:ERA589881 FAW589879:FAW589881 FKS589879:FKS589881 FUO589879:FUO589881 GEK589879:GEK589881 GOG589879:GOG589881 GYC589879:GYC589881 HHY589879:HHY589881 HRU589879:HRU589881 IBQ589879:IBQ589881 ILM589879:ILM589881 IVI589879:IVI589881 JFE589879:JFE589881 JPA589879:JPA589881 JYW589879:JYW589881 KIS589879:KIS589881 KSO589879:KSO589881 LCK589879:LCK589881 LMG589879:LMG589881 LWC589879:LWC589881 MFY589879:MFY589881 MPU589879:MPU589881 MZQ589879:MZQ589881 NJM589879:NJM589881 NTI589879:NTI589881 ODE589879:ODE589881 ONA589879:ONA589881 OWW589879:OWW589881 PGS589879:PGS589881 PQO589879:PQO589881 QAK589879:QAK589881 QKG589879:QKG589881 QUC589879:QUC589881 RDY589879:RDY589881 RNU589879:RNU589881 RXQ589879:RXQ589881 SHM589879:SHM589881 SRI589879:SRI589881 TBE589879:TBE589881 TLA589879:TLA589881 TUW589879:TUW589881 UES589879:UES589881 UOO589879:UOO589881 UYK589879:UYK589881 VIG589879:VIG589881 VSC589879:VSC589881 WBY589879:WBY589881 WLU589879:WLU589881 WVQ589879:WVQ589881 H655415:H655417 JE655415:JE655417 TA655415:TA655417 ACW655415:ACW655417 AMS655415:AMS655417 AWO655415:AWO655417 BGK655415:BGK655417 BQG655415:BQG655417 CAC655415:CAC655417 CJY655415:CJY655417 CTU655415:CTU655417 DDQ655415:DDQ655417 DNM655415:DNM655417 DXI655415:DXI655417 EHE655415:EHE655417 ERA655415:ERA655417 FAW655415:FAW655417 FKS655415:FKS655417 FUO655415:FUO655417 GEK655415:GEK655417 GOG655415:GOG655417 GYC655415:GYC655417 HHY655415:HHY655417 HRU655415:HRU655417 IBQ655415:IBQ655417 ILM655415:ILM655417 IVI655415:IVI655417 JFE655415:JFE655417 JPA655415:JPA655417 JYW655415:JYW655417 KIS655415:KIS655417 KSO655415:KSO655417 LCK655415:LCK655417 LMG655415:LMG655417 LWC655415:LWC655417 MFY655415:MFY655417 MPU655415:MPU655417 MZQ655415:MZQ655417 NJM655415:NJM655417 NTI655415:NTI655417 ODE655415:ODE655417 ONA655415:ONA655417 OWW655415:OWW655417 PGS655415:PGS655417 PQO655415:PQO655417 QAK655415:QAK655417 QKG655415:QKG655417 QUC655415:QUC655417 RDY655415:RDY655417 RNU655415:RNU655417 RXQ655415:RXQ655417 SHM655415:SHM655417 SRI655415:SRI655417 TBE655415:TBE655417 TLA655415:TLA655417 TUW655415:TUW655417 UES655415:UES655417 UOO655415:UOO655417 UYK655415:UYK655417 VIG655415:VIG655417 VSC655415:VSC655417 WBY655415:WBY655417 WLU655415:WLU655417 WVQ655415:WVQ655417 H720951:H720953 JE720951:JE720953 TA720951:TA720953 ACW720951:ACW720953 AMS720951:AMS720953 AWO720951:AWO720953 BGK720951:BGK720953 BQG720951:BQG720953 CAC720951:CAC720953 CJY720951:CJY720953 CTU720951:CTU720953 DDQ720951:DDQ720953 DNM720951:DNM720953 DXI720951:DXI720953 EHE720951:EHE720953 ERA720951:ERA720953 FAW720951:FAW720953 FKS720951:FKS720953 FUO720951:FUO720953 GEK720951:GEK720953 GOG720951:GOG720953 GYC720951:GYC720953 HHY720951:HHY720953 HRU720951:HRU720953 IBQ720951:IBQ720953 ILM720951:ILM720953 IVI720951:IVI720953 JFE720951:JFE720953 JPA720951:JPA720953 JYW720951:JYW720953 KIS720951:KIS720953 KSO720951:KSO720953 LCK720951:LCK720953 LMG720951:LMG720953 LWC720951:LWC720953 MFY720951:MFY720953 MPU720951:MPU720953 MZQ720951:MZQ720953 NJM720951:NJM720953 NTI720951:NTI720953 ODE720951:ODE720953 ONA720951:ONA720953 OWW720951:OWW720953 PGS720951:PGS720953 PQO720951:PQO720953 QAK720951:QAK720953 QKG720951:QKG720953 QUC720951:QUC720953 RDY720951:RDY720953 RNU720951:RNU720953 RXQ720951:RXQ720953 SHM720951:SHM720953 SRI720951:SRI720953 TBE720951:TBE720953 TLA720951:TLA720953 TUW720951:TUW720953 UES720951:UES720953 UOO720951:UOO720953 UYK720951:UYK720953 VIG720951:VIG720953 VSC720951:VSC720953 WBY720951:WBY720953 WLU720951:WLU720953 WVQ720951:WVQ720953 H786487:H786489 JE786487:JE786489 TA786487:TA786489 ACW786487:ACW786489 AMS786487:AMS786489 AWO786487:AWO786489 BGK786487:BGK786489 BQG786487:BQG786489 CAC786487:CAC786489 CJY786487:CJY786489 CTU786487:CTU786489 DDQ786487:DDQ786489 DNM786487:DNM786489 DXI786487:DXI786489 EHE786487:EHE786489 ERA786487:ERA786489 FAW786487:FAW786489 FKS786487:FKS786489 FUO786487:FUO786489 GEK786487:GEK786489 GOG786487:GOG786489 GYC786487:GYC786489 HHY786487:HHY786489 HRU786487:HRU786489 IBQ786487:IBQ786489 ILM786487:ILM786489 IVI786487:IVI786489 JFE786487:JFE786489 JPA786487:JPA786489 JYW786487:JYW786489 KIS786487:KIS786489 KSO786487:KSO786489 LCK786487:LCK786489 LMG786487:LMG786489 LWC786487:LWC786489 MFY786487:MFY786489 MPU786487:MPU786489 MZQ786487:MZQ786489 NJM786487:NJM786489 NTI786487:NTI786489 ODE786487:ODE786489 ONA786487:ONA786489 OWW786487:OWW786489 PGS786487:PGS786489 PQO786487:PQO786489 QAK786487:QAK786489 QKG786487:QKG786489 QUC786487:QUC786489 RDY786487:RDY786489 RNU786487:RNU786489 RXQ786487:RXQ786489 SHM786487:SHM786489 SRI786487:SRI786489 TBE786487:TBE786489 TLA786487:TLA786489 TUW786487:TUW786489 UES786487:UES786489 UOO786487:UOO786489 UYK786487:UYK786489 VIG786487:VIG786489 VSC786487:VSC786489 WBY786487:WBY786489 WLU786487:WLU786489 WVQ786487:WVQ786489 H852023:H852025 JE852023:JE852025 TA852023:TA852025 ACW852023:ACW852025 AMS852023:AMS852025 AWO852023:AWO852025 BGK852023:BGK852025 BQG852023:BQG852025 CAC852023:CAC852025 CJY852023:CJY852025 CTU852023:CTU852025 DDQ852023:DDQ852025 DNM852023:DNM852025 DXI852023:DXI852025 EHE852023:EHE852025 ERA852023:ERA852025 FAW852023:FAW852025 FKS852023:FKS852025 FUO852023:FUO852025 GEK852023:GEK852025 GOG852023:GOG852025 GYC852023:GYC852025 HHY852023:HHY852025 HRU852023:HRU852025 IBQ852023:IBQ852025 ILM852023:ILM852025 IVI852023:IVI852025 JFE852023:JFE852025 JPA852023:JPA852025 JYW852023:JYW852025 KIS852023:KIS852025 KSO852023:KSO852025 LCK852023:LCK852025 LMG852023:LMG852025 LWC852023:LWC852025 MFY852023:MFY852025 MPU852023:MPU852025 MZQ852023:MZQ852025 NJM852023:NJM852025 NTI852023:NTI852025 ODE852023:ODE852025 ONA852023:ONA852025 OWW852023:OWW852025 PGS852023:PGS852025 PQO852023:PQO852025 QAK852023:QAK852025 QKG852023:QKG852025 QUC852023:QUC852025 RDY852023:RDY852025 RNU852023:RNU852025 RXQ852023:RXQ852025 SHM852023:SHM852025 SRI852023:SRI852025 TBE852023:TBE852025 TLA852023:TLA852025 TUW852023:TUW852025 UES852023:UES852025 UOO852023:UOO852025 UYK852023:UYK852025 VIG852023:VIG852025 VSC852023:VSC852025 WBY852023:WBY852025 WLU852023:WLU852025 WVQ852023:WVQ852025 H917559:H917561 JE917559:JE917561 TA917559:TA917561 ACW917559:ACW917561 AMS917559:AMS917561 AWO917559:AWO917561 BGK917559:BGK917561 BQG917559:BQG917561 CAC917559:CAC917561 CJY917559:CJY917561 CTU917559:CTU917561 DDQ917559:DDQ917561 DNM917559:DNM917561 DXI917559:DXI917561 EHE917559:EHE917561 ERA917559:ERA917561 FAW917559:FAW917561 FKS917559:FKS917561 FUO917559:FUO917561 GEK917559:GEK917561 GOG917559:GOG917561 GYC917559:GYC917561 HHY917559:HHY917561 HRU917559:HRU917561 IBQ917559:IBQ917561 ILM917559:ILM917561 IVI917559:IVI917561 JFE917559:JFE917561 JPA917559:JPA917561 JYW917559:JYW917561 KIS917559:KIS917561 KSO917559:KSO917561 LCK917559:LCK917561 LMG917559:LMG917561 LWC917559:LWC917561 MFY917559:MFY917561 MPU917559:MPU917561 MZQ917559:MZQ917561 NJM917559:NJM917561 NTI917559:NTI917561 ODE917559:ODE917561 ONA917559:ONA917561 OWW917559:OWW917561 PGS917559:PGS917561 PQO917559:PQO917561 QAK917559:QAK917561 QKG917559:QKG917561 QUC917559:QUC917561 RDY917559:RDY917561 RNU917559:RNU917561 RXQ917559:RXQ917561 SHM917559:SHM917561 SRI917559:SRI917561 TBE917559:TBE917561 TLA917559:TLA917561 TUW917559:TUW917561 UES917559:UES917561 UOO917559:UOO917561 UYK917559:UYK917561 VIG917559:VIG917561 VSC917559:VSC917561 WBY917559:WBY917561 WLU917559:WLU917561 WVQ917559:WVQ917561 H983095:H983097 JE983095:JE983097 TA983095:TA983097 ACW983095:ACW983097 AMS983095:AMS983097 AWO983095:AWO983097 BGK983095:BGK983097 BQG983095:BQG983097 CAC983095:CAC983097 CJY983095:CJY983097 CTU983095:CTU983097 DDQ983095:DDQ983097 DNM983095:DNM983097 DXI983095:DXI983097 EHE983095:EHE983097 ERA983095:ERA983097 FAW983095:FAW983097 FKS983095:FKS983097 FUO983095:FUO983097 GEK983095:GEK983097 GOG983095:GOG983097 GYC983095:GYC983097 HHY983095:HHY983097 HRU983095:HRU983097 IBQ983095:IBQ983097 ILM983095:ILM983097 IVI983095:IVI983097 JFE983095:JFE983097 JPA983095:JPA983097 JYW983095:JYW983097 KIS983095:KIS983097 KSO983095:KSO983097 LCK983095:LCK983097 LMG983095:LMG983097 LWC983095:LWC983097 MFY983095:MFY983097 MPU983095:MPU983097 MZQ983095:MZQ983097 NJM983095:NJM983097 NTI983095:NTI983097 ODE983095:ODE983097 ONA983095:ONA983097 OWW983095:OWW983097 PGS983095:PGS983097 PQO983095:PQO983097 QAK983095:QAK983097 QKG983095:QKG983097 QUC983095:QUC983097 RDY983095:RDY983097 RNU983095:RNU983097 RXQ983095:RXQ983097 SHM983095:SHM983097 SRI983095:SRI983097 TBE983095:TBE983097 TLA983095:TLA983097 TUW983095:TUW983097 UES983095:UES983097 UOO983095:UOO983097 UYK983095:UYK983097 VIG983095:VIG983097 VSC983095:VSC983097 WBY983095:WBY983097 WLU983095:WLU983097 WVQ983095:WVQ983097 TVC983081:TVC983084 JE75:JE78 TA75:TA78 ACW75:ACW78 AMS75:AMS78 AWO75:AWO78 BGK75:BGK78 BQG75:BQG78 CAC75:CAC78 CJY75:CJY78 CTU75:CTU78 DDQ75:DDQ78 DNM75:DNM78 DXI75:DXI78 EHE75:EHE78 ERA75:ERA78 FAW75:FAW78 FKS75:FKS78 FUO75:FUO78 GEK75:GEK78 GOG75:GOG78 GYC75:GYC78 HHY75:HHY78 HRU75:HRU78 IBQ75:IBQ78 ILM75:ILM78 IVI75:IVI78 JFE75:JFE78 JPA75:JPA78 JYW75:JYW78 KIS75:KIS78 KSO75:KSO78 LCK75:LCK78 LMG75:LMG78 LWC75:LWC78 MFY75:MFY78 MPU75:MPU78 MZQ75:MZQ78 NJM75:NJM78 NTI75:NTI78 ODE75:ODE78 ONA75:ONA78 OWW75:OWW78 PGS75:PGS78 PQO75:PQO78 QAK75:QAK78 QKG75:QKG78 QUC75:QUC78 RDY75:RDY78 RNU75:RNU78 RXQ75:RXQ78 SHM75:SHM78 SRI75:SRI78 TBE75:TBE78 TLA75:TLA78 TUW75:TUW78 UES75:UES78 UOO75:UOO78 UYK75:UYK78 VIG75:VIG78 VSC75:VSC78 WBY75:WBY78 WLU75:WLU78 WVQ75:WVQ78 H65613:H65616 JE65613:JE65616 TA65613:TA65616 ACW65613:ACW65616 AMS65613:AMS65616 AWO65613:AWO65616 BGK65613:BGK65616 BQG65613:BQG65616 CAC65613:CAC65616 CJY65613:CJY65616 CTU65613:CTU65616 DDQ65613:DDQ65616 DNM65613:DNM65616 DXI65613:DXI65616 EHE65613:EHE65616 ERA65613:ERA65616 FAW65613:FAW65616 FKS65613:FKS65616 FUO65613:FUO65616 GEK65613:GEK65616 GOG65613:GOG65616 GYC65613:GYC65616 HHY65613:HHY65616 HRU65613:HRU65616 IBQ65613:IBQ65616 ILM65613:ILM65616 IVI65613:IVI65616 JFE65613:JFE65616 JPA65613:JPA65616 JYW65613:JYW65616 KIS65613:KIS65616 KSO65613:KSO65616 LCK65613:LCK65616 LMG65613:LMG65616 LWC65613:LWC65616 MFY65613:MFY65616 MPU65613:MPU65616 MZQ65613:MZQ65616 NJM65613:NJM65616 NTI65613:NTI65616 ODE65613:ODE65616 ONA65613:ONA65616 OWW65613:OWW65616 PGS65613:PGS65616 PQO65613:PQO65616 QAK65613:QAK65616 QKG65613:QKG65616 QUC65613:QUC65616 RDY65613:RDY65616 RNU65613:RNU65616 RXQ65613:RXQ65616 SHM65613:SHM65616 SRI65613:SRI65616 TBE65613:TBE65616 TLA65613:TLA65616 TUW65613:TUW65616 UES65613:UES65616 UOO65613:UOO65616 UYK65613:UYK65616 VIG65613:VIG65616 VSC65613:VSC65616 WBY65613:WBY65616 WLU65613:WLU65616 WVQ65613:WVQ65616 H131149:H131152 JE131149:JE131152 TA131149:TA131152 ACW131149:ACW131152 AMS131149:AMS131152 AWO131149:AWO131152 BGK131149:BGK131152 BQG131149:BQG131152 CAC131149:CAC131152 CJY131149:CJY131152 CTU131149:CTU131152 DDQ131149:DDQ131152 DNM131149:DNM131152 DXI131149:DXI131152 EHE131149:EHE131152 ERA131149:ERA131152 FAW131149:FAW131152 FKS131149:FKS131152 FUO131149:FUO131152 GEK131149:GEK131152 GOG131149:GOG131152 GYC131149:GYC131152 HHY131149:HHY131152 HRU131149:HRU131152 IBQ131149:IBQ131152 ILM131149:ILM131152 IVI131149:IVI131152 JFE131149:JFE131152 JPA131149:JPA131152 JYW131149:JYW131152 KIS131149:KIS131152 KSO131149:KSO131152 LCK131149:LCK131152 LMG131149:LMG131152 LWC131149:LWC131152 MFY131149:MFY131152 MPU131149:MPU131152 MZQ131149:MZQ131152 NJM131149:NJM131152 NTI131149:NTI131152 ODE131149:ODE131152 ONA131149:ONA131152 OWW131149:OWW131152 PGS131149:PGS131152 PQO131149:PQO131152 QAK131149:QAK131152 QKG131149:QKG131152 QUC131149:QUC131152 RDY131149:RDY131152 RNU131149:RNU131152 RXQ131149:RXQ131152 SHM131149:SHM131152 SRI131149:SRI131152 TBE131149:TBE131152 TLA131149:TLA131152 TUW131149:TUW131152 UES131149:UES131152 UOO131149:UOO131152 UYK131149:UYK131152 VIG131149:VIG131152 VSC131149:VSC131152 WBY131149:WBY131152 WLU131149:WLU131152 WVQ131149:WVQ131152 H196685:H196688 JE196685:JE196688 TA196685:TA196688 ACW196685:ACW196688 AMS196685:AMS196688 AWO196685:AWO196688 BGK196685:BGK196688 BQG196685:BQG196688 CAC196685:CAC196688 CJY196685:CJY196688 CTU196685:CTU196688 DDQ196685:DDQ196688 DNM196685:DNM196688 DXI196685:DXI196688 EHE196685:EHE196688 ERA196685:ERA196688 FAW196685:FAW196688 FKS196685:FKS196688 FUO196685:FUO196688 GEK196685:GEK196688 GOG196685:GOG196688 GYC196685:GYC196688 HHY196685:HHY196688 HRU196685:HRU196688 IBQ196685:IBQ196688 ILM196685:ILM196688 IVI196685:IVI196688 JFE196685:JFE196688 JPA196685:JPA196688 JYW196685:JYW196688 KIS196685:KIS196688 KSO196685:KSO196688 LCK196685:LCK196688 LMG196685:LMG196688 LWC196685:LWC196688 MFY196685:MFY196688 MPU196685:MPU196688 MZQ196685:MZQ196688 NJM196685:NJM196688 NTI196685:NTI196688 ODE196685:ODE196688 ONA196685:ONA196688 OWW196685:OWW196688 PGS196685:PGS196688 PQO196685:PQO196688 QAK196685:QAK196688 QKG196685:QKG196688 QUC196685:QUC196688 RDY196685:RDY196688 RNU196685:RNU196688 RXQ196685:RXQ196688 SHM196685:SHM196688 SRI196685:SRI196688 TBE196685:TBE196688 TLA196685:TLA196688 TUW196685:TUW196688 UES196685:UES196688 UOO196685:UOO196688 UYK196685:UYK196688 VIG196685:VIG196688 VSC196685:VSC196688 WBY196685:WBY196688 WLU196685:WLU196688 WVQ196685:WVQ196688 H262221:H262224 JE262221:JE262224 TA262221:TA262224 ACW262221:ACW262224 AMS262221:AMS262224 AWO262221:AWO262224 BGK262221:BGK262224 BQG262221:BQG262224 CAC262221:CAC262224 CJY262221:CJY262224 CTU262221:CTU262224 DDQ262221:DDQ262224 DNM262221:DNM262224 DXI262221:DXI262224 EHE262221:EHE262224 ERA262221:ERA262224 FAW262221:FAW262224 FKS262221:FKS262224 FUO262221:FUO262224 GEK262221:GEK262224 GOG262221:GOG262224 GYC262221:GYC262224 HHY262221:HHY262224 HRU262221:HRU262224 IBQ262221:IBQ262224 ILM262221:ILM262224 IVI262221:IVI262224 JFE262221:JFE262224 JPA262221:JPA262224 JYW262221:JYW262224 KIS262221:KIS262224 KSO262221:KSO262224 LCK262221:LCK262224 LMG262221:LMG262224 LWC262221:LWC262224 MFY262221:MFY262224 MPU262221:MPU262224 MZQ262221:MZQ262224 NJM262221:NJM262224 NTI262221:NTI262224 ODE262221:ODE262224 ONA262221:ONA262224 OWW262221:OWW262224 PGS262221:PGS262224 PQO262221:PQO262224 QAK262221:QAK262224 QKG262221:QKG262224 QUC262221:QUC262224 RDY262221:RDY262224 RNU262221:RNU262224 RXQ262221:RXQ262224 SHM262221:SHM262224 SRI262221:SRI262224 TBE262221:TBE262224 TLA262221:TLA262224 TUW262221:TUW262224 UES262221:UES262224 UOO262221:UOO262224 UYK262221:UYK262224 VIG262221:VIG262224 VSC262221:VSC262224 WBY262221:WBY262224 WLU262221:WLU262224 WVQ262221:WVQ262224 H327757:H327760 JE327757:JE327760 TA327757:TA327760 ACW327757:ACW327760 AMS327757:AMS327760 AWO327757:AWO327760 BGK327757:BGK327760 BQG327757:BQG327760 CAC327757:CAC327760 CJY327757:CJY327760 CTU327757:CTU327760 DDQ327757:DDQ327760 DNM327757:DNM327760 DXI327757:DXI327760 EHE327757:EHE327760 ERA327757:ERA327760 FAW327757:FAW327760 FKS327757:FKS327760 FUO327757:FUO327760 GEK327757:GEK327760 GOG327757:GOG327760 GYC327757:GYC327760 HHY327757:HHY327760 HRU327757:HRU327760 IBQ327757:IBQ327760 ILM327757:ILM327760 IVI327757:IVI327760 JFE327757:JFE327760 JPA327757:JPA327760 JYW327757:JYW327760 KIS327757:KIS327760 KSO327757:KSO327760 LCK327757:LCK327760 LMG327757:LMG327760 LWC327757:LWC327760 MFY327757:MFY327760 MPU327757:MPU327760 MZQ327757:MZQ327760 NJM327757:NJM327760 NTI327757:NTI327760 ODE327757:ODE327760 ONA327757:ONA327760 OWW327757:OWW327760 PGS327757:PGS327760 PQO327757:PQO327760 QAK327757:QAK327760 QKG327757:QKG327760 QUC327757:QUC327760 RDY327757:RDY327760 RNU327757:RNU327760 RXQ327757:RXQ327760 SHM327757:SHM327760 SRI327757:SRI327760 TBE327757:TBE327760 TLA327757:TLA327760 TUW327757:TUW327760 UES327757:UES327760 UOO327757:UOO327760 UYK327757:UYK327760 VIG327757:VIG327760 VSC327757:VSC327760 WBY327757:WBY327760 WLU327757:WLU327760 WVQ327757:WVQ327760 H393293:H393296 JE393293:JE393296 TA393293:TA393296 ACW393293:ACW393296 AMS393293:AMS393296 AWO393293:AWO393296 BGK393293:BGK393296 BQG393293:BQG393296 CAC393293:CAC393296 CJY393293:CJY393296 CTU393293:CTU393296 DDQ393293:DDQ393296 DNM393293:DNM393296 DXI393293:DXI393296 EHE393293:EHE393296 ERA393293:ERA393296 FAW393293:FAW393296 FKS393293:FKS393296 FUO393293:FUO393296 GEK393293:GEK393296 GOG393293:GOG393296 GYC393293:GYC393296 HHY393293:HHY393296 HRU393293:HRU393296 IBQ393293:IBQ393296 ILM393293:ILM393296 IVI393293:IVI393296 JFE393293:JFE393296 JPA393293:JPA393296 JYW393293:JYW393296 KIS393293:KIS393296 KSO393293:KSO393296 LCK393293:LCK393296 LMG393293:LMG393296 LWC393293:LWC393296 MFY393293:MFY393296 MPU393293:MPU393296 MZQ393293:MZQ393296 NJM393293:NJM393296 NTI393293:NTI393296 ODE393293:ODE393296 ONA393293:ONA393296 OWW393293:OWW393296 PGS393293:PGS393296 PQO393293:PQO393296 QAK393293:QAK393296 QKG393293:QKG393296 QUC393293:QUC393296 RDY393293:RDY393296 RNU393293:RNU393296 RXQ393293:RXQ393296 SHM393293:SHM393296 SRI393293:SRI393296 TBE393293:TBE393296 TLA393293:TLA393296 TUW393293:TUW393296 UES393293:UES393296 UOO393293:UOO393296 UYK393293:UYK393296 VIG393293:VIG393296 VSC393293:VSC393296 WBY393293:WBY393296 WLU393293:WLU393296 WVQ393293:WVQ393296 H458829:H458832 JE458829:JE458832 TA458829:TA458832 ACW458829:ACW458832 AMS458829:AMS458832 AWO458829:AWO458832 BGK458829:BGK458832 BQG458829:BQG458832 CAC458829:CAC458832 CJY458829:CJY458832 CTU458829:CTU458832 DDQ458829:DDQ458832 DNM458829:DNM458832 DXI458829:DXI458832 EHE458829:EHE458832 ERA458829:ERA458832 FAW458829:FAW458832 FKS458829:FKS458832 FUO458829:FUO458832 GEK458829:GEK458832 GOG458829:GOG458832 GYC458829:GYC458832 HHY458829:HHY458832 HRU458829:HRU458832 IBQ458829:IBQ458832 ILM458829:ILM458832 IVI458829:IVI458832 JFE458829:JFE458832 JPA458829:JPA458832 JYW458829:JYW458832 KIS458829:KIS458832 KSO458829:KSO458832 LCK458829:LCK458832 LMG458829:LMG458832 LWC458829:LWC458832 MFY458829:MFY458832 MPU458829:MPU458832 MZQ458829:MZQ458832 NJM458829:NJM458832 NTI458829:NTI458832 ODE458829:ODE458832 ONA458829:ONA458832 OWW458829:OWW458832 PGS458829:PGS458832 PQO458829:PQO458832 QAK458829:QAK458832 QKG458829:QKG458832 QUC458829:QUC458832 RDY458829:RDY458832 RNU458829:RNU458832 RXQ458829:RXQ458832 SHM458829:SHM458832 SRI458829:SRI458832 TBE458829:TBE458832 TLA458829:TLA458832 TUW458829:TUW458832 UES458829:UES458832 UOO458829:UOO458832 UYK458829:UYK458832 VIG458829:VIG458832 VSC458829:VSC458832 WBY458829:WBY458832 WLU458829:WLU458832 WVQ458829:WVQ458832 H524365:H524368 JE524365:JE524368 TA524365:TA524368 ACW524365:ACW524368 AMS524365:AMS524368 AWO524365:AWO524368 BGK524365:BGK524368 BQG524365:BQG524368 CAC524365:CAC524368 CJY524365:CJY524368 CTU524365:CTU524368 DDQ524365:DDQ524368 DNM524365:DNM524368 DXI524365:DXI524368 EHE524365:EHE524368 ERA524365:ERA524368 FAW524365:FAW524368 FKS524365:FKS524368 FUO524365:FUO524368 GEK524365:GEK524368 GOG524365:GOG524368 GYC524365:GYC524368 HHY524365:HHY524368 HRU524365:HRU524368 IBQ524365:IBQ524368 ILM524365:ILM524368 IVI524365:IVI524368 JFE524365:JFE524368 JPA524365:JPA524368 JYW524365:JYW524368 KIS524365:KIS524368 KSO524365:KSO524368 LCK524365:LCK524368 LMG524365:LMG524368 LWC524365:LWC524368 MFY524365:MFY524368 MPU524365:MPU524368 MZQ524365:MZQ524368 NJM524365:NJM524368 NTI524365:NTI524368 ODE524365:ODE524368 ONA524365:ONA524368 OWW524365:OWW524368 PGS524365:PGS524368 PQO524365:PQO524368 QAK524365:QAK524368 QKG524365:QKG524368 QUC524365:QUC524368 RDY524365:RDY524368 RNU524365:RNU524368 RXQ524365:RXQ524368 SHM524365:SHM524368 SRI524365:SRI524368 TBE524365:TBE524368 TLA524365:TLA524368 TUW524365:TUW524368 UES524365:UES524368 UOO524365:UOO524368 UYK524365:UYK524368 VIG524365:VIG524368 VSC524365:VSC524368 WBY524365:WBY524368 WLU524365:WLU524368 WVQ524365:WVQ524368 H589901:H589904 JE589901:JE589904 TA589901:TA589904 ACW589901:ACW589904 AMS589901:AMS589904 AWO589901:AWO589904 BGK589901:BGK589904 BQG589901:BQG589904 CAC589901:CAC589904 CJY589901:CJY589904 CTU589901:CTU589904 DDQ589901:DDQ589904 DNM589901:DNM589904 DXI589901:DXI589904 EHE589901:EHE589904 ERA589901:ERA589904 FAW589901:FAW589904 FKS589901:FKS589904 FUO589901:FUO589904 GEK589901:GEK589904 GOG589901:GOG589904 GYC589901:GYC589904 HHY589901:HHY589904 HRU589901:HRU589904 IBQ589901:IBQ589904 ILM589901:ILM589904 IVI589901:IVI589904 JFE589901:JFE589904 JPA589901:JPA589904 JYW589901:JYW589904 KIS589901:KIS589904 KSO589901:KSO589904 LCK589901:LCK589904 LMG589901:LMG589904 LWC589901:LWC589904 MFY589901:MFY589904 MPU589901:MPU589904 MZQ589901:MZQ589904 NJM589901:NJM589904 NTI589901:NTI589904 ODE589901:ODE589904 ONA589901:ONA589904 OWW589901:OWW589904 PGS589901:PGS589904 PQO589901:PQO589904 QAK589901:QAK589904 QKG589901:QKG589904 QUC589901:QUC589904 RDY589901:RDY589904 RNU589901:RNU589904 RXQ589901:RXQ589904 SHM589901:SHM589904 SRI589901:SRI589904 TBE589901:TBE589904 TLA589901:TLA589904 TUW589901:TUW589904 UES589901:UES589904 UOO589901:UOO589904 UYK589901:UYK589904 VIG589901:VIG589904 VSC589901:VSC589904 WBY589901:WBY589904 WLU589901:WLU589904 WVQ589901:WVQ589904 H655437:H655440 JE655437:JE655440 TA655437:TA655440 ACW655437:ACW655440 AMS655437:AMS655440 AWO655437:AWO655440 BGK655437:BGK655440 BQG655437:BQG655440 CAC655437:CAC655440 CJY655437:CJY655440 CTU655437:CTU655440 DDQ655437:DDQ655440 DNM655437:DNM655440 DXI655437:DXI655440 EHE655437:EHE655440 ERA655437:ERA655440 FAW655437:FAW655440 FKS655437:FKS655440 FUO655437:FUO655440 GEK655437:GEK655440 GOG655437:GOG655440 GYC655437:GYC655440 HHY655437:HHY655440 HRU655437:HRU655440 IBQ655437:IBQ655440 ILM655437:ILM655440 IVI655437:IVI655440 JFE655437:JFE655440 JPA655437:JPA655440 JYW655437:JYW655440 KIS655437:KIS655440 KSO655437:KSO655440 LCK655437:LCK655440 LMG655437:LMG655440 LWC655437:LWC655440 MFY655437:MFY655440 MPU655437:MPU655440 MZQ655437:MZQ655440 NJM655437:NJM655440 NTI655437:NTI655440 ODE655437:ODE655440 ONA655437:ONA655440 OWW655437:OWW655440 PGS655437:PGS655440 PQO655437:PQO655440 QAK655437:QAK655440 QKG655437:QKG655440 QUC655437:QUC655440 RDY655437:RDY655440 RNU655437:RNU655440 RXQ655437:RXQ655440 SHM655437:SHM655440 SRI655437:SRI655440 TBE655437:TBE655440 TLA655437:TLA655440 TUW655437:TUW655440 UES655437:UES655440 UOO655437:UOO655440 UYK655437:UYK655440 VIG655437:VIG655440 VSC655437:VSC655440 WBY655437:WBY655440 WLU655437:WLU655440 WVQ655437:WVQ655440 H720973:H720976 JE720973:JE720976 TA720973:TA720976 ACW720973:ACW720976 AMS720973:AMS720976 AWO720973:AWO720976 BGK720973:BGK720976 BQG720973:BQG720976 CAC720973:CAC720976 CJY720973:CJY720976 CTU720973:CTU720976 DDQ720973:DDQ720976 DNM720973:DNM720976 DXI720973:DXI720976 EHE720973:EHE720976 ERA720973:ERA720976 FAW720973:FAW720976 FKS720973:FKS720976 FUO720973:FUO720976 GEK720973:GEK720976 GOG720973:GOG720976 GYC720973:GYC720976 HHY720973:HHY720976 HRU720973:HRU720976 IBQ720973:IBQ720976 ILM720973:ILM720976 IVI720973:IVI720976 JFE720973:JFE720976 JPA720973:JPA720976 JYW720973:JYW720976 KIS720973:KIS720976 KSO720973:KSO720976 LCK720973:LCK720976 LMG720973:LMG720976 LWC720973:LWC720976 MFY720973:MFY720976 MPU720973:MPU720976 MZQ720973:MZQ720976 NJM720973:NJM720976 NTI720973:NTI720976 ODE720973:ODE720976 ONA720973:ONA720976 OWW720973:OWW720976 PGS720973:PGS720976 PQO720973:PQO720976 QAK720973:QAK720976 QKG720973:QKG720976 QUC720973:QUC720976 RDY720973:RDY720976 RNU720973:RNU720976 RXQ720973:RXQ720976 SHM720973:SHM720976 SRI720973:SRI720976 TBE720973:TBE720976 TLA720973:TLA720976 TUW720973:TUW720976 UES720973:UES720976 UOO720973:UOO720976 UYK720973:UYK720976 VIG720973:VIG720976 VSC720973:VSC720976 WBY720973:WBY720976 WLU720973:WLU720976 WVQ720973:WVQ720976 H786509:H786512 JE786509:JE786512 TA786509:TA786512 ACW786509:ACW786512 AMS786509:AMS786512 AWO786509:AWO786512 BGK786509:BGK786512 BQG786509:BQG786512 CAC786509:CAC786512 CJY786509:CJY786512 CTU786509:CTU786512 DDQ786509:DDQ786512 DNM786509:DNM786512 DXI786509:DXI786512 EHE786509:EHE786512 ERA786509:ERA786512 FAW786509:FAW786512 FKS786509:FKS786512 FUO786509:FUO786512 GEK786509:GEK786512 GOG786509:GOG786512 GYC786509:GYC786512 HHY786509:HHY786512 HRU786509:HRU786512 IBQ786509:IBQ786512 ILM786509:ILM786512 IVI786509:IVI786512 JFE786509:JFE786512 JPA786509:JPA786512 JYW786509:JYW786512 KIS786509:KIS786512 KSO786509:KSO786512 LCK786509:LCK786512 LMG786509:LMG786512 LWC786509:LWC786512 MFY786509:MFY786512 MPU786509:MPU786512 MZQ786509:MZQ786512 NJM786509:NJM786512 NTI786509:NTI786512 ODE786509:ODE786512 ONA786509:ONA786512 OWW786509:OWW786512 PGS786509:PGS786512 PQO786509:PQO786512 QAK786509:QAK786512 QKG786509:QKG786512 QUC786509:QUC786512 RDY786509:RDY786512 RNU786509:RNU786512 RXQ786509:RXQ786512 SHM786509:SHM786512 SRI786509:SRI786512 TBE786509:TBE786512 TLA786509:TLA786512 TUW786509:TUW786512 UES786509:UES786512 UOO786509:UOO786512 UYK786509:UYK786512 VIG786509:VIG786512 VSC786509:VSC786512 WBY786509:WBY786512 WLU786509:WLU786512 WVQ786509:WVQ786512 H852045:H852048 JE852045:JE852048 TA852045:TA852048 ACW852045:ACW852048 AMS852045:AMS852048 AWO852045:AWO852048 BGK852045:BGK852048 BQG852045:BQG852048 CAC852045:CAC852048 CJY852045:CJY852048 CTU852045:CTU852048 DDQ852045:DDQ852048 DNM852045:DNM852048 DXI852045:DXI852048 EHE852045:EHE852048 ERA852045:ERA852048 FAW852045:FAW852048 FKS852045:FKS852048 FUO852045:FUO852048 GEK852045:GEK852048 GOG852045:GOG852048 GYC852045:GYC852048 HHY852045:HHY852048 HRU852045:HRU852048 IBQ852045:IBQ852048 ILM852045:ILM852048 IVI852045:IVI852048 JFE852045:JFE852048 JPA852045:JPA852048 JYW852045:JYW852048 KIS852045:KIS852048 KSO852045:KSO852048 LCK852045:LCK852048 LMG852045:LMG852048 LWC852045:LWC852048 MFY852045:MFY852048 MPU852045:MPU852048 MZQ852045:MZQ852048 NJM852045:NJM852048 NTI852045:NTI852048 ODE852045:ODE852048 ONA852045:ONA852048 OWW852045:OWW852048 PGS852045:PGS852048 PQO852045:PQO852048 QAK852045:QAK852048 QKG852045:QKG852048 QUC852045:QUC852048 RDY852045:RDY852048 RNU852045:RNU852048 RXQ852045:RXQ852048 SHM852045:SHM852048 SRI852045:SRI852048 TBE852045:TBE852048 TLA852045:TLA852048 TUW852045:TUW852048 UES852045:UES852048 UOO852045:UOO852048 UYK852045:UYK852048 VIG852045:VIG852048 VSC852045:VSC852048 WBY852045:WBY852048 WLU852045:WLU852048 WVQ852045:WVQ852048 H917581:H917584 JE917581:JE917584 TA917581:TA917584 ACW917581:ACW917584 AMS917581:AMS917584 AWO917581:AWO917584 BGK917581:BGK917584 BQG917581:BQG917584 CAC917581:CAC917584 CJY917581:CJY917584 CTU917581:CTU917584 DDQ917581:DDQ917584 DNM917581:DNM917584 DXI917581:DXI917584 EHE917581:EHE917584 ERA917581:ERA917584 FAW917581:FAW917584 FKS917581:FKS917584 FUO917581:FUO917584 GEK917581:GEK917584 GOG917581:GOG917584 GYC917581:GYC917584 HHY917581:HHY917584 HRU917581:HRU917584 IBQ917581:IBQ917584 ILM917581:ILM917584 IVI917581:IVI917584 JFE917581:JFE917584 JPA917581:JPA917584 JYW917581:JYW917584 KIS917581:KIS917584 KSO917581:KSO917584 LCK917581:LCK917584 LMG917581:LMG917584 LWC917581:LWC917584 MFY917581:MFY917584 MPU917581:MPU917584 MZQ917581:MZQ917584 NJM917581:NJM917584 NTI917581:NTI917584 ODE917581:ODE917584 ONA917581:ONA917584 OWW917581:OWW917584 PGS917581:PGS917584 PQO917581:PQO917584 QAK917581:QAK917584 QKG917581:QKG917584 QUC917581:QUC917584 RDY917581:RDY917584 RNU917581:RNU917584 RXQ917581:RXQ917584 SHM917581:SHM917584 SRI917581:SRI917584 TBE917581:TBE917584 TLA917581:TLA917584 TUW917581:TUW917584 UES917581:UES917584 UOO917581:UOO917584 UYK917581:UYK917584 VIG917581:VIG917584 VSC917581:VSC917584 WBY917581:WBY917584 WLU917581:WLU917584 WVQ917581:WVQ917584 H983117:H983120 JE983117:JE983120 TA983117:TA983120 ACW983117:ACW983120 AMS983117:AMS983120 AWO983117:AWO983120 BGK983117:BGK983120 BQG983117:BQG983120 CAC983117:CAC983120 CJY983117:CJY983120 CTU983117:CTU983120 DDQ983117:DDQ983120 DNM983117:DNM983120 DXI983117:DXI983120 EHE983117:EHE983120 ERA983117:ERA983120 FAW983117:FAW983120 FKS983117:FKS983120 FUO983117:FUO983120 GEK983117:GEK983120 GOG983117:GOG983120 GYC983117:GYC983120 HHY983117:HHY983120 HRU983117:HRU983120 IBQ983117:IBQ983120 ILM983117:ILM983120 IVI983117:IVI983120 JFE983117:JFE983120 JPA983117:JPA983120 JYW983117:JYW983120 KIS983117:KIS983120 KSO983117:KSO983120 LCK983117:LCK983120 LMG983117:LMG983120 LWC983117:LWC983120 MFY983117:MFY983120 MPU983117:MPU983120 MZQ983117:MZQ983120 NJM983117:NJM983120 NTI983117:NTI983120 ODE983117:ODE983120 ONA983117:ONA983120 OWW983117:OWW983120 PGS983117:PGS983120 PQO983117:PQO983120 QAK983117:QAK983120 QKG983117:QKG983120 QUC983117:QUC983120 RDY983117:RDY983120 RNU983117:RNU983120 RXQ983117:RXQ983120 SHM983117:SHM983120 SRI983117:SRI983120 TBE983117:TBE983120 TLA983117:TLA983120 TUW983117:TUW983120 UES983117:UES983120 UOO983117:UOO983120 UYK983117:UYK983120 VIG983117:VIG983120 VSC983117:VSC983120 WBY983117:WBY983120 WLU983117:WLU983120 WVQ983117:WVQ983120 UYQ983081:UYQ983084 JK53:JK55 TG53:TG55 ADC53:ADC55 AMY53:AMY55 AWU53:AWU55 BGQ53:BGQ55 BQM53:BQM55 CAI53:CAI55 CKE53:CKE55 CUA53:CUA55 DDW53:DDW55 DNS53:DNS55 DXO53:DXO55 EHK53:EHK55 ERG53:ERG55 FBC53:FBC55 FKY53:FKY55 FUU53:FUU55 GEQ53:GEQ55 GOM53:GOM55 GYI53:GYI55 HIE53:HIE55 HSA53:HSA55 IBW53:IBW55 ILS53:ILS55 IVO53:IVO55 JFK53:JFK55 JPG53:JPG55 JZC53:JZC55 KIY53:KIY55 KSU53:KSU55 LCQ53:LCQ55 LMM53:LMM55 LWI53:LWI55 MGE53:MGE55 MQA53:MQA55 MZW53:MZW55 NJS53:NJS55 NTO53:NTO55 ODK53:ODK55 ONG53:ONG55 OXC53:OXC55 PGY53:PGY55 PQU53:PQU55 QAQ53:QAQ55 QKM53:QKM55 QUI53:QUI55 REE53:REE55 ROA53:ROA55 RXW53:RXW55 SHS53:SHS55 SRO53:SRO55 TBK53:TBK55 TLG53:TLG55 TVC53:TVC55 UEY53:UEY55 UOU53:UOU55 UYQ53:UYQ55 VIM53:VIM55 VSI53:VSI55 WCE53:WCE55 WMA53:WMA55 WVW53:WVW55 N65591:N65593 JK65591:JK65593 TG65591:TG65593 ADC65591:ADC65593 AMY65591:AMY65593 AWU65591:AWU65593 BGQ65591:BGQ65593 BQM65591:BQM65593 CAI65591:CAI65593 CKE65591:CKE65593 CUA65591:CUA65593 DDW65591:DDW65593 DNS65591:DNS65593 DXO65591:DXO65593 EHK65591:EHK65593 ERG65591:ERG65593 FBC65591:FBC65593 FKY65591:FKY65593 FUU65591:FUU65593 GEQ65591:GEQ65593 GOM65591:GOM65593 GYI65591:GYI65593 HIE65591:HIE65593 HSA65591:HSA65593 IBW65591:IBW65593 ILS65591:ILS65593 IVO65591:IVO65593 JFK65591:JFK65593 JPG65591:JPG65593 JZC65591:JZC65593 KIY65591:KIY65593 KSU65591:KSU65593 LCQ65591:LCQ65593 LMM65591:LMM65593 LWI65591:LWI65593 MGE65591:MGE65593 MQA65591:MQA65593 MZW65591:MZW65593 NJS65591:NJS65593 NTO65591:NTO65593 ODK65591:ODK65593 ONG65591:ONG65593 OXC65591:OXC65593 PGY65591:PGY65593 PQU65591:PQU65593 QAQ65591:QAQ65593 QKM65591:QKM65593 QUI65591:QUI65593 REE65591:REE65593 ROA65591:ROA65593 RXW65591:RXW65593 SHS65591:SHS65593 SRO65591:SRO65593 TBK65591:TBK65593 TLG65591:TLG65593 TVC65591:TVC65593 UEY65591:UEY65593 UOU65591:UOU65593 UYQ65591:UYQ65593 VIM65591:VIM65593 VSI65591:VSI65593 WCE65591:WCE65593 WMA65591:WMA65593 WVW65591:WVW65593 N131127:N131129 JK131127:JK131129 TG131127:TG131129 ADC131127:ADC131129 AMY131127:AMY131129 AWU131127:AWU131129 BGQ131127:BGQ131129 BQM131127:BQM131129 CAI131127:CAI131129 CKE131127:CKE131129 CUA131127:CUA131129 DDW131127:DDW131129 DNS131127:DNS131129 DXO131127:DXO131129 EHK131127:EHK131129 ERG131127:ERG131129 FBC131127:FBC131129 FKY131127:FKY131129 FUU131127:FUU131129 GEQ131127:GEQ131129 GOM131127:GOM131129 GYI131127:GYI131129 HIE131127:HIE131129 HSA131127:HSA131129 IBW131127:IBW131129 ILS131127:ILS131129 IVO131127:IVO131129 JFK131127:JFK131129 JPG131127:JPG131129 JZC131127:JZC131129 KIY131127:KIY131129 KSU131127:KSU131129 LCQ131127:LCQ131129 LMM131127:LMM131129 LWI131127:LWI131129 MGE131127:MGE131129 MQA131127:MQA131129 MZW131127:MZW131129 NJS131127:NJS131129 NTO131127:NTO131129 ODK131127:ODK131129 ONG131127:ONG131129 OXC131127:OXC131129 PGY131127:PGY131129 PQU131127:PQU131129 QAQ131127:QAQ131129 QKM131127:QKM131129 QUI131127:QUI131129 REE131127:REE131129 ROA131127:ROA131129 RXW131127:RXW131129 SHS131127:SHS131129 SRO131127:SRO131129 TBK131127:TBK131129 TLG131127:TLG131129 TVC131127:TVC131129 UEY131127:UEY131129 UOU131127:UOU131129 UYQ131127:UYQ131129 VIM131127:VIM131129 VSI131127:VSI131129 WCE131127:WCE131129 WMA131127:WMA131129 WVW131127:WVW131129 N196663:N196665 JK196663:JK196665 TG196663:TG196665 ADC196663:ADC196665 AMY196663:AMY196665 AWU196663:AWU196665 BGQ196663:BGQ196665 BQM196663:BQM196665 CAI196663:CAI196665 CKE196663:CKE196665 CUA196663:CUA196665 DDW196663:DDW196665 DNS196663:DNS196665 DXO196663:DXO196665 EHK196663:EHK196665 ERG196663:ERG196665 FBC196663:FBC196665 FKY196663:FKY196665 FUU196663:FUU196665 GEQ196663:GEQ196665 GOM196663:GOM196665 GYI196663:GYI196665 HIE196663:HIE196665 HSA196663:HSA196665 IBW196663:IBW196665 ILS196663:ILS196665 IVO196663:IVO196665 JFK196663:JFK196665 JPG196663:JPG196665 JZC196663:JZC196665 KIY196663:KIY196665 KSU196663:KSU196665 LCQ196663:LCQ196665 LMM196663:LMM196665 LWI196663:LWI196665 MGE196663:MGE196665 MQA196663:MQA196665 MZW196663:MZW196665 NJS196663:NJS196665 NTO196663:NTO196665 ODK196663:ODK196665 ONG196663:ONG196665 OXC196663:OXC196665 PGY196663:PGY196665 PQU196663:PQU196665 QAQ196663:QAQ196665 QKM196663:QKM196665 QUI196663:QUI196665 REE196663:REE196665 ROA196663:ROA196665 RXW196663:RXW196665 SHS196663:SHS196665 SRO196663:SRO196665 TBK196663:TBK196665 TLG196663:TLG196665 TVC196663:TVC196665 UEY196663:UEY196665 UOU196663:UOU196665 UYQ196663:UYQ196665 VIM196663:VIM196665 VSI196663:VSI196665 WCE196663:WCE196665 WMA196663:WMA196665 WVW196663:WVW196665 N262199:N262201 JK262199:JK262201 TG262199:TG262201 ADC262199:ADC262201 AMY262199:AMY262201 AWU262199:AWU262201 BGQ262199:BGQ262201 BQM262199:BQM262201 CAI262199:CAI262201 CKE262199:CKE262201 CUA262199:CUA262201 DDW262199:DDW262201 DNS262199:DNS262201 DXO262199:DXO262201 EHK262199:EHK262201 ERG262199:ERG262201 FBC262199:FBC262201 FKY262199:FKY262201 FUU262199:FUU262201 GEQ262199:GEQ262201 GOM262199:GOM262201 GYI262199:GYI262201 HIE262199:HIE262201 HSA262199:HSA262201 IBW262199:IBW262201 ILS262199:ILS262201 IVO262199:IVO262201 JFK262199:JFK262201 JPG262199:JPG262201 JZC262199:JZC262201 KIY262199:KIY262201 KSU262199:KSU262201 LCQ262199:LCQ262201 LMM262199:LMM262201 LWI262199:LWI262201 MGE262199:MGE262201 MQA262199:MQA262201 MZW262199:MZW262201 NJS262199:NJS262201 NTO262199:NTO262201 ODK262199:ODK262201 ONG262199:ONG262201 OXC262199:OXC262201 PGY262199:PGY262201 PQU262199:PQU262201 QAQ262199:QAQ262201 QKM262199:QKM262201 QUI262199:QUI262201 REE262199:REE262201 ROA262199:ROA262201 RXW262199:RXW262201 SHS262199:SHS262201 SRO262199:SRO262201 TBK262199:TBK262201 TLG262199:TLG262201 TVC262199:TVC262201 UEY262199:UEY262201 UOU262199:UOU262201 UYQ262199:UYQ262201 VIM262199:VIM262201 VSI262199:VSI262201 WCE262199:WCE262201 WMA262199:WMA262201 WVW262199:WVW262201 N327735:N327737 JK327735:JK327737 TG327735:TG327737 ADC327735:ADC327737 AMY327735:AMY327737 AWU327735:AWU327737 BGQ327735:BGQ327737 BQM327735:BQM327737 CAI327735:CAI327737 CKE327735:CKE327737 CUA327735:CUA327737 DDW327735:DDW327737 DNS327735:DNS327737 DXO327735:DXO327737 EHK327735:EHK327737 ERG327735:ERG327737 FBC327735:FBC327737 FKY327735:FKY327737 FUU327735:FUU327737 GEQ327735:GEQ327737 GOM327735:GOM327737 GYI327735:GYI327737 HIE327735:HIE327737 HSA327735:HSA327737 IBW327735:IBW327737 ILS327735:ILS327737 IVO327735:IVO327737 JFK327735:JFK327737 JPG327735:JPG327737 JZC327735:JZC327737 KIY327735:KIY327737 KSU327735:KSU327737 LCQ327735:LCQ327737 LMM327735:LMM327737 LWI327735:LWI327737 MGE327735:MGE327737 MQA327735:MQA327737 MZW327735:MZW327737 NJS327735:NJS327737 NTO327735:NTO327737 ODK327735:ODK327737 ONG327735:ONG327737 OXC327735:OXC327737 PGY327735:PGY327737 PQU327735:PQU327737 QAQ327735:QAQ327737 QKM327735:QKM327737 QUI327735:QUI327737 REE327735:REE327737 ROA327735:ROA327737 RXW327735:RXW327737 SHS327735:SHS327737 SRO327735:SRO327737 TBK327735:TBK327737 TLG327735:TLG327737 TVC327735:TVC327737 UEY327735:UEY327737 UOU327735:UOU327737 UYQ327735:UYQ327737 VIM327735:VIM327737 VSI327735:VSI327737 WCE327735:WCE327737 WMA327735:WMA327737 WVW327735:WVW327737 N393271:N393273 JK393271:JK393273 TG393271:TG393273 ADC393271:ADC393273 AMY393271:AMY393273 AWU393271:AWU393273 BGQ393271:BGQ393273 BQM393271:BQM393273 CAI393271:CAI393273 CKE393271:CKE393273 CUA393271:CUA393273 DDW393271:DDW393273 DNS393271:DNS393273 DXO393271:DXO393273 EHK393271:EHK393273 ERG393271:ERG393273 FBC393271:FBC393273 FKY393271:FKY393273 FUU393271:FUU393273 GEQ393271:GEQ393273 GOM393271:GOM393273 GYI393271:GYI393273 HIE393271:HIE393273 HSA393271:HSA393273 IBW393271:IBW393273 ILS393271:ILS393273 IVO393271:IVO393273 JFK393271:JFK393273 JPG393271:JPG393273 JZC393271:JZC393273 KIY393271:KIY393273 KSU393271:KSU393273 LCQ393271:LCQ393273 LMM393271:LMM393273 LWI393271:LWI393273 MGE393271:MGE393273 MQA393271:MQA393273 MZW393271:MZW393273 NJS393271:NJS393273 NTO393271:NTO393273 ODK393271:ODK393273 ONG393271:ONG393273 OXC393271:OXC393273 PGY393271:PGY393273 PQU393271:PQU393273 QAQ393271:QAQ393273 QKM393271:QKM393273 QUI393271:QUI393273 REE393271:REE393273 ROA393271:ROA393273 RXW393271:RXW393273 SHS393271:SHS393273 SRO393271:SRO393273 TBK393271:TBK393273 TLG393271:TLG393273 TVC393271:TVC393273 UEY393271:UEY393273 UOU393271:UOU393273 UYQ393271:UYQ393273 VIM393271:VIM393273 VSI393271:VSI393273 WCE393271:WCE393273 WMA393271:WMA393273 WVW393271:WVW393273 N458807:N458809 JK458807:JK458809 TG458807:TG458809 ADC458807:ADC458809 AMY458807:AMY458809 AWU458807:AWU458809 BGQ458807:BGQ458809 BQM458807:BQM458809 CAI458807:CAI458809 CKE458807:CKE458809 CUA458807:CUA458809 DDW458807:DDW458809 DNS458807:DNS458809 DXO458807:DXO458809 EHK458807:EHK458809 ERG458807:ERG458809 FBC458807:FBC458809 FKY458807:FKY458809 FUU458807:FUU458809 GEQ458807:GEQ458809 GOM458807:GOM458809 GYI458807:GYI458809 HIE458807:HIE458809 HSA458807:HSA458809 IBW458807:IBW458809 ILS458807:ILS458809 IVO458807:IVO458809 JFK458807:JFK458809 JPG458807:JPG458809 JZC458807:JZC458809 KIY458807:KIY458809 KSU458807:KSU458809 LCQ458807:LCQ458809 LMM458807:LMM458809 LWI458807:LWI458809 MGE458807:MGE458809 MQA458807:MQA458809 MZW458807:MZW458809 NJS458807:NJS458809 NTO458807:NTO458809 ODK458807:ODK458809 ONG458807:ONG458809 OXC458807:OXC458809 PGY458807:PGY458809 PQU458807:PQU458809 QAQ458807:QAQ458809 QKM458807:QKM458809 QUI458807:QUI458809 REE458807:REE458809 ROA458807:ROA458809 RXW458807:RXW458809 SHS458807:SHS458809 SRO458807:SRO458809 TBK458807:TBK458809 TLG458807:TLG458809 TVC458807:TVC458809 UEY458807:UEY458809 UOU458807:UOU458809 UYQ458807:UYQ458809 VIM458807:VIM458809 VSI458807:VSI458809 WCE458807:WCE458809 WMA458807:WMA458809 WVW458807:WVW458809 N524343:N524345 JK524343:JK524345 TG524343:TG524345 ADC524343:ADC524345 AMY524343:AMY524345 AWU524343:AWU524345 BGQ524343:BGQ524345 BQM524343:BQM524345 CAI524343:CAI524345 CKE524343:CKE524345 CUA524343:CUA524345 DDW524343:DDW524345 DNS524343:DNS524345 DXO524343:DXO524345 EHK524343:EHK524345 ERG524343:ERG524345 FBC524343:FBC524345 FKY524343:FKY524345 FUU524343:FUU524345 GEQ524343:GEQ524345 GOM524343:GOM524345 GYI524343:GYI524345 HIE524343:HIE524345 HSA524343:HSA524345 IBW524343:IBW524345 ILS524343:ILS524345 IVO524343:IVO524345 JFK524343:JFK524345 JPG524343:JPG524345 JZC524343:JZC524345 KIY524343:KIY524345 KSU524343:KSU524345 LCQ524343:LCQ524345 LMM524343:LMM524345 LWI524343:LWI524345 MGE524343:MGE524345 MQA524343:MQA524345 MZW524343:MZW524345 NJS524343:NJS524345 NTO524343:NTO524345 ODK524343:ODK524345 ONG524343:ONG524345 OXC524343:OXC524345 PGY524343:PGY524345 PQU524343:PQU524345 QAQ524343:QAQ524345 QKM524343:QKM524345 QUI524343:QUI524345 REE524343:REE524345 ROA524343:ROA524345 RXW524343:RXW524345 SHS524343:SHS524345 SRO524343:SRO524345 TBK524343:TBK524345 TLG524343:TLG524345 TVC524343:TVC524345 UEY524343:UEY524345 UOU524343:UOU524345 UYQ524343:UYQ524345 VIM524343:VIM524345 VSI524343:VSI524345 WCE524343:WCE524345 WMA524343:WMA524345 WVW524343:WVW524345 N589879:N589881 JK589879:JK589881 TG589879:TG589881 ADC589879:ADC589881 AMY589879:AMY589881 AWU589879:AWU589881 BGQ589879:BGQ589881 BQM589879:BQM589881 CAI589879:CAI589881 CKE589879:CKE589881 CUA589879:CUA589881 DDW589879:DDW589881 DNS589879:DNS589881 DXO589879:DXO589881 EHK589879:EHK589881 ERG589879:ERG589881 FBC589879:FBC589881 FKY589879:FKY589881 FUU589879:FUU589881 GEQ589879:GEQ589881 GOM589879:GOM589881 GYI589879:GYI589881 HIE589879:HIE589881 HSA589879:HSA589881 IBW589879:IBW589881 ILS589879:ILS589881 IVO589879:IVO589881 JFK589879:JFK589881 JPG589879:JPG589881 JZC589879:JZC589881 KIY589879:KIY589881 KSU589879:KSU589881 LCQ589879:LCQ589881 LMM589879:LMM589881 LWI589879:LWI589881 MGE589879:MGE589881 MQA589879:MQA589881 MZW589879:MZW589881 NJS589879:NJS589881 NTO589879:NTO589881 ODK589879:ODK589881 ONG589879:ONG589881 OXC589879:OXC589881 PGY589879:PGY589881 PQU589879:PQU589881 QAQ589879:QAQ589881 QKM589879:QKM589881 QUI589879:QUI589881 REE589879:REE589881 ROA589879:ROA589881 RXW589879:RXW589881 SHS589879:SHS589881 SRO589879:SRO589881 TBK589879:TBK589881 TLG589879:TLG589881 TVC589879:TVC589881 UEY589879:UEY589881 UOU589879:UOU589881 UYQ589879:UYQ589881 VIM589879:VIM589881 VSI589879:VSI589881 WCE589879:WCE589881 WMA589879:WMA589881 WVW589879:WVW589881 N655415:N655417 JK655415:JK655417 TG655415:TG655417 ADC655415:ADC655417 AMY655415:AMY655417 AWU655415:AWU655417 BGQ655415:BGQ655417 BQM655415:BQM655417 CAI655415:CAI655417 CKE655415:CKE655417 CUA655415:CUA655417 DDW655415:DDW655417 DNS655415:DNS655417 DXO655415:DXO655417 EHK655415:EHK655417 ERG655415:ERG655417 FBC655415:FBC655417 FKY655415:FKY655417 FUU655415:FUU655417 GEQ655415:GEQ655417 GOM655415:GOM655417 GYI655415:GYI655417 HIE655415:HIE655417 HSA655415:HSA655417 IBW655415:IBW655417 ILS655415:ILS655417 IVO655415:IVO655417 JFK655415:JFK655417 JPG655415:JPG655417 JZC655415:JZC655417 KIY655415:KIY655417 KSU655415:KSU655417 LCQ655415:LCQ655417 LMM655415:LMM655417 LWI655415:LWI655417 MGE655415:MGE655417 MQA655415:MQA655417 MZW655415:MZW655417 NJS655415:NJS655417 NTO655415:NTO655417 ODK655415:ODK655417 ONG655415:ONG655417 OXC655415:OXC655417 PGY655415:PGY655417 PQU655415:PQU655417 QAQ655415:QAQ655417 QKM655415:QKM655417 QUI655415:QUI655417 REE655415:REE655417 ROA655415:ROA655417 RXW655415:RXW655417 SHS655415:SHS655417 SRO655415:SRO655417 TBK655415:TBK655417 TLG655415:TLG655417 TVC655415:TVC655417 UEY655415:UEY655417 UOU655415:UOU655417 UYQ655415:UYQ655417 VIM655415:VIM655417 VSI655415:VSI655417 WCE655415:WCE655417 WMA655415:WMA655417 WVW655415:WVW655417 N720951:N720953 JK720951:JK720953 TG720951:TG720953 ADC720951:ADC720953 AMY720951:AMY720953 AWU720951:AWU720953 BGQ720951:BGQ720953 BQM720951:BQM720953 CAI720951:CAI720953 CKE720951:CKE720953 CUA720951:CUA720953 DDW720951:DDW720953 DNS720951:DNS720953 DXO720951:DXO720953 EHK720951:EHK720953 ERG720951:ERG720953 FBC720951:FBC720953 FKY720951:FKY720953 FUU720951:FUU720953 GEQ720951:GEQ720953 GOM720951:GOM720953 GYI720951:GYI720953 HIE720951:HIE720953 HSA720951:HSA720953 IBW720951:IBW720953 ILS720951:ILS720953 IVO720951:IVO720953 JFK720951:JFK720953 JPG720951:JPG720953 JZC720951:JZC720953 KIY720951:KIY720953 KSU720951:KSU720953 LCQ720951:LCQ720953 LMM720951:LMM720953 LWI720951:LWI720953 MGE720951:MGE720953 MQA720951:MQA720953 MZW720951:MZW720953 NJS720951:NJS720953 NTO720951:NTO720953 ODK720951:ODK720953 ONG720951:ONG720953 OXC720951:OXC720953 PGY720951:PGY720953 PQU720951:PQU720953 QAQ720951:QAQ720953 QKM720951:QKM720953 QUI720951:QUI720953 REE720951:REE720953 ROA720951:ROA720953 RXW720951:RXW720953 SHS720951:SHS720953 SRO720951:SRO720953 TBK720951:TBK720953 TLG720951:TLG720953 TVC720951:TVC720953 UEY720951:UEY720953 UOU720951:UOU720953 UYQ720951:UYQ720953 VIM720951:VIM720953 VSI720951:VSI720953 WCE720951:WCE720953 WMA720951:WMA720953 WVW720951:WVW720953 N786487:N786489 JK786487:JK786489 TG786487:TG786489 ADC786487:ADC786489 AMY786487:AMY786489 AWU786487:AWU786489 BGQ786487:BGQ786489 BQM786487:BQM786489 CAI786487:CAI786489 CKE786487:CKE786489 CUA786487:CUA786489 DDW786487:DDW786489 DNS786487:DNS786489 DXO786487:DXO786489 EHK786487:EHK786489 ERG786487:ERG786489 FBC786487:FBC786489 FKY786487:FKY786489 FUU786487:FUU786489 GEQ786487:GEQ786489 GOM786487:GOM786489 GYI786487:GYI786489 HIE786487:HIE786489 HSA786487:HSA786489 IBW786487:IBW786489 ILS786487:ILS786489 IVO786487:IVO786489 JFK786487:JFK786489 JPG786487:JPG786489 JZC786487:JZC786489 KIY786487:KIY786489 KSU786487:KSU786489 LCQ786487:LCQ786489 LMM786487:LMM786489 LWI786487:LWI786489 MGE786487:MGE786489 MQA786487:MQA786489 MZW786487:MZW786489 NJS786487:NJS786489 NTO786487:NTO786489 ODK786487:ODK786489 ONG786487:ONG786489 OXC786487:OXC786489 PGY786487:PGY786489 PQU786487:PQU786489 QAQ786487:QAQ786489 QKM786487:QKM786489 QUI786487:QUI786489 REE786487:REE786489 ROA786487:ROA786489 RXW786487:RXW786489 SHS786487:SHS786489 SRO786487:SRO786489 TBK786487:TBK786489 TLG786487:TLG786489 TVC786487:TVC786489 UEY786487:UEY786489 UOU786487:UOU786489 UYQ786487:UYQ786489 VIM786487:VIM786489 VSI786487:VSI786489 WCE786487:WCE786489 WMA786487:WMA786489 WVW786487:WVW786489 N852023:N852025 JK852023:JK852025 TG852023:TG852025 ADC852023:ADC852025 AMY852023:AMY852025 AWU852023:AWU852025 BGQ852023:BGQ852025 BQM852023:BQM852025 CAI852023:CAI852025 CKE852023:CKE852025 CUA852023:CUA852025 DDW852023:DDW852025 DNS852023:DNS852025 DXO852023:DXO852025 EHK852023:EHK852025 ERG852023:ERG852025 FBC852023:FBC852025 FKY852023:FKY852025 FUU852023:FUU852025 GEQ852023:GEQ852025 GOM852023:GOM852025 GYI852023:GYI852025 HIE852023:HIE852025 HSA852023:HSA852025 IBW852023:IBW852025 ILS852023:ILS852025 IVO852023:IVO852025 JFK852023:JFK852025 JPG852023:JPG852025 JZC852023:JZC852025 KIY852023:KIY852025 KSU852023:KSU852025 LCQ852023:LCQ852025 LMM852023:LMM852025 LWI852023:LWI852025 MGE852023:MGE852025 MQA852023:MQA852025 MZW852023:MZW852025 NJS852023:NJS852025 NTO852023:NTO852025 ODK852023:ODK852025 ONG852023:ONG852025 OXC852023:OXC852025 PGY852023:PGY852025 PQU852023:PQU852025 QAQ852023:QAQ852025 QKM852023:QKM852025 QUI852023:QUI852025 REE852023:REE852025 ROA852023:ROA852025 RXW852023:RXW852025 SHS852023:SHS852025 SRO852023:SRO852025 TBK852023:TBK852025 TLG852023:TLG852025 TVC852023:TVC852025 UEY852023:UEY852025 UOU852023:UOU852025 UYQ852023:UYQ852025 VIM852023:VIM852025 VSI852023:VSI852025 WCE852023:WCE852025 WMA852023:WMA852025 WVW852023:WVW852025 N917559:N917561 JK917559:JK917561 TG917559:TG917561 ADC917559:ADC917561 AMY917559:AMY917561 AWU917559:AWU917561 BGQ917559:BGQ917561 BQM917559:BQM917561 CAI917559:CAI917561 CKE917559:CKE917561 CUA917559:CUA917561 DDW917559:DDW917561 DNS917559:DNS917561 DXO917559:DXO917561 EHK917559:EHK917561 ERG917559:ERG917561 FBC917559:FBC917561 FKY917559:FKY917561 FUU917559:FUU917561 GEQ917559:GEQ917561 GOM917559:GOM917561 GYI917559:GYI917561 HIE917559:HIE917561 HSA917559:HSA917561 IBW917559:IBW917561 ILS917559:ILS917561 IVO917559:IVO917561 JFK917559:JFK917561 JPG917559:JPG917561 JZC917559:JZC917561 KIY917559:KIY917561 KSU917559:KSU917561 LCQ917559:LCQ917561 LMM917559:LMM917561 LWI917559:LWI917561 MGE917559:MGE917561 MQA917559:MQA917561 MZW917559:MZW917561 NJS917559:NJS917561 NTO917559:NTO917561 ODK917559:ODK917561 ONG917559:ONG917561 OXC917559:OXC917561 PGY917559:PGY917561 PQU917559:PQU917561 QAQ917559:QAQ917561 QKM917559:QKM917561 QUI917559:QUI917561 REE917559:REE917561 ROA917559:ROA917561 RXW917559:RXW917561 SHS917559:SHS917561 SRO917559:SRO917561 TBK917559:TBK917561 TLG917559:TLG917561 TVC917559:TVC917561 UEY917559:UEY917561 UOU917559:UOU917561 UYQ917559:UYQ917561 VIM917559:VIM917561 VSI917559:VSI917561 WCE917559:WCE917561 WMA917559:WMA917561 WVW917559:WVW917561 N983095:N983097 JK983095:JK983097 TG983095:TG983097 ADC983095:ADC983097 AMY983095:AMY983097 AWU983095:AWU983097 BGQ983095:BGQ983097 BQM983095:BQM983097 CAI983095:CAI983097 CKE983095:CKE983097 CUA983095:CUA983097 DDW983095:DDW983097 DNS983095:DNS983097 DXO983095:DXO983097 EHK983095:EHK983097 ERG983095:ERG983097 FBC983095:FBC983097 FKY983095:FKY983097 FUU983095:FUU983097 GEQ983095:GEQ983097 GOM983095:GOM983097 GYI983095:GYI983097 HIE983095:HIE983097 HSA983095:HSA983097 IBW983095:IBW983097 ILS983095:ILS983097 IVO983095:IVO983097 JFK983095:JFK983097 JPG983095:JPG983097 JZC983095:JZC983097 KIY983095:KIY983097 KSU983095:KSU983097 LCQ983095:LCQ983097 LMM983095:LMM983097 LWI983095:LWI983097 MGE983095:MGE983097 MQA983095:MQA983097 MZW983095:MZW983097 NJS983095:NJS983097 NTO983095:NTO983097 ODK983095:ODK983097 ONG983095:ONG983097 OXC983095:OXC983097 PGY983095:PGY983097 PQU983095:PQU983097 QAQ983095:QAQ983097 QKM983095:QKM983097 QUI983095:QUI983097 REE983095:REE983097 ROA983095:ROA983097 RXW983095:RXW983097 SHS983095:SHS983097 SRO983095:SRO983097 TBK983095:TBK983097 TLG983095:TLG983097 TVC983095:TVC983097 UEY983095:UEY983097 UOU983095:UOU983097 UYQ983095:UYQ983097 VIM983095:VIM983097 VSI983095:VSI983097 WCE983095:WCE983097 WMA983095:WMA983097 WVW983095:WVW983097 WMA983081:WMA983084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N65568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N131104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N196640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N262176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N327712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N393248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N458784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N524320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N589856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N655392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N720928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N786464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N852000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N917536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N983072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WCE983081:WCE983084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N65572:N65573 JK65572:JK65573 TG65572:TG65573 ADC65572:ADC65573 AMY65572:AMY65573 AWU65572:AWU65573 BGQ65572:BGQ65573 BQM65572:BQM65573 CAI65572:CAI65573 CKE65572:CKE65573 CUA65572:CUA65573 DDW65572:DDW65573 DNS65572:DNS65573 DXO65572:DXO65573 EHK65572:EHK65573 ERG65572:ERG65573 FBC65572:FBC65573 FKY65572:FKY65573 FUU65572:FUU65573 GEQ65572:GEQ65573 GOM65572:GOM65573 GYI65572:GYI65573 HIE65572:HIE65573 HSA65572:HSA65573 IBW65572:IBW65573 ILS65572:ILS65573 IVO65572:IVO65573 JFK65572:JFK65573 JPG65572:JPG65573 JZC65572:JZC65573 KIY65572:KIY65573 KSU65572:KSU65573 LCQ65572:LCQ65573 LMM65572:LMM65573 LWI65572:LWI65573 MGE65572:MGE65573 MQA65572:MQA65573 MZW65572:MZW65573 NJS65572:NJS65573 NTO65572:NTO65573 ODK65572:ODK65573 ONG65572:ONG65573 OXC65572:OXC65573 PGY65572:PGY65573 PQU65572:PQU65573 QAQ65572:QAQ65573 QKM65572:QKM65573 QUI65572:QUI65573 REE65572:REE65573 ROA65572:ROA65573 RXW65572:RXW65573 SHS65572:SHS65573 SRO65572:SRO65573 TBK65572:TBK65573 TLG65572:TLG65573 TVC65572:TVC65573 UEY65572:UEY65573 UOU65572:UOU65573 UYQ65572:UYQ65573 VIM65572:VIM65573 VSI65572:VSI65573 WCE65572:WCE65573 WMA65572:WMA65573 WVW65572:WVW65573 N131108:N131109 JK131108:JK131109 TG131108:TG131109 ADC131108:ADC131109 AMY131108:AMY131109 AWU131108:AWU131109 BGQ131108:BGQ131109 BQM131108:BQM131109 CAI131108:CAI131109 CKE131108:CKE131109 CUA131108:CUA131109 DDW131108:DDW131109 DNS131108:DNS131109 DXO131108:DXO131109 EHK131108:EHK131109 ERG131108:ERG131109 FBC131108:FBC131109 FKY131108:FKY131109 FUU131108:FUU131109 GEQ131108:GEQ131109 GOM131108:GOM131109 GYI131108:GYI131109 HIE131108:HIE131109 HSA131108:HSA131109 IBW131108:IBW131109 ILS131108:ILS131109 IVO131108:IVO131109 JFK131108:JFK131109 JPG131108:JPG131109 JZC131108:JZC131109 KIY131108:KIY131109 KSU131108:KSU131109 LCQ131108:LCQ131109 LMM131108:LMM131109 LWI131108:LWI131109 MGE131108:MGE131109 MQA131108:MQA131109 MZW131108:MZW131109 NJS131108:NJS131109 NTO131108:NTO131109 ODK131108:ODK131109 ONG131108:ONG131109 OXC131108:OXC131109 PGY131108:PGY131109 PQU131108:PQU131109 QAQ131108:QAQ131109 QKM131108:QKM131109 QUI131108:QUI131109 REE131108:REE131109 ROA131108:ROA131109 RXW131108:RXW131109 SHS131108:SHS131109 SRO131108:SRO131109 TBK131108:TBK131109 TLG131108:TLG131109 TVC131108:TVC131109 UEY131108:UEY131109 UOU131108:UOU131109 UYQ131108:UYQ131109 VIM131108:VIM131109 VSI131108:VSI131109 WCE131108:WCE131109 WMA131108:WMA131109 WVW131108:WVW131109 N196644:N196645 JK196644:JK196645 TG196644:TG196645 ADC196644:ADC196645 AMY196644:AMY196645 AWU196644:AWU196645 BGQ196644:BGQ196645 BQM196644:BQM196645 CAI196644:CAI196645 CKE196644:CKE196645 CUA196644:CUA196645 DDW196644:DDW196645 DNS196644:DNS196645 DXO196644:DXO196645 EHK196644:EHK196645 ERG196644:ERG196645 FBC196644:FBC196645 FKY196644:FKY196645 FUU196644:FUU196645 GEQ196644:GEQ196645 GOM196644:GOM196645 GYI196644:GYI196645 HIE196644:HIE196645 HSA196644:HSA196645 IBW196644:IBW196645 ILS196644:ILS196645 IVO196644:IVO196645 JFK196644:JFK196645 JPG196644:JPG196645 JZC196644:JZC196645 KIY196644:KIY196645 KSU196644:KSU196645 LCQ196644:LCQ196645 LMM196644:LMM196645 LWI196644:LWI196645 MGE196644:MGE196645 MQA196644:MQA196645 MZW196644:MZW196645 NJS196644:NJS196645 NTO196644:NTO196645 ODK196644:ODK196645 ONG196644:ONG196645 OXC196644:OXC196645 PGY196644:PGY196645 PQU196644:PQU196645 QAQ196644:QAQ196645 QKM196644:QKM196645 QUI196644:QUI196645 REE196644:REE196645 ROA196644:ROA196645 RXW196644:RXW196645 SHS196644:SHS196645 SRO196644:SRO196645 TBK196644:TBK196645 TLG196644:TLG196645 TVC196644:TVC196645 UEY196644:UEY196645 UOU196644:UOU196645 UYQ196644:UYQ196645 VIM196644:VIM196645 VSI196644:VSI196645 WCE196644:WCE196645 WMA196644:WMA196645 WVW196644:WVW196645 N262180:N262181 JK262180:JK262181 TG262180:TG262181 ADC262180:ADC262181 AMY262180:AMY262181 AWU262180:AWU262181 BGQ262180:BGQ262181 BQM262180:BQM262181 CAI262180:CAI262181 CKE262180:CKE262181 CUA262180:CUA262181 DDW262180:DDW262181 DNS262180:DNS262181 DXO262180:DXO262181 EHK262180:EHK262181 ERG262180:ERG262181 FBC262180:FBC262181 FKY262180:FKY262181 FUU262180:FUU262181 GEQ262180:GEQ262181 GOM262180:GOM262181 GYI262180:GYI262181 HIE262180:HIE262181 HSA262180:HSA262181 IBW262180:IBW262181 ILS262180:ILS262181 IVO262180:IVO262181 JFK262180:JFK262181 JPG262180:JPG262181 JZC262180:JZC262181 KIY262180:KIY262181 KSU262180:KSU262181 LCQ262180:LCQ262181 LMM262180:LMM262181 LWI262180:LWI262181 MGE262180:MGE262181 MQA262180:MQA262181 MZW262180:MZW262181 NJS262180:NJS262181 NTO262180:NTO262181 ODK262180:ODK262181 ONG262180:ONG262181 OXC262180:OXC262181 PGY262180:PGY262181 PQU262180:PQU262181 QAQ262180:QAQ262181 QKM262180:QKM262181 QUI262180:QUI262181 REE262180:REE262181 ROA262180:ROA262181 RXW262180:RXW262181 SHS262180:SHS262181 SRO262180:SRO262181 TBK262180:TBK262181 TLG262180:TLG262181 TVC262180:TVC262181 UEY262180:UEY262181 UOU262180:UOU262181 UYQ262180:UYQ262181 VIM262180:VIM262181 VSI262180:VSI262181 WCE262180:WCE262181 WMA262180:WMA262181 WVW262180:WVW262181 N327716:N327717 JK327716:JK327717 TG327716:TG327717 ADC327716:ADC327717 AMY327716:AMY327717 AWU327716:AWU327717 BGQ327716:BGQ327717 BQM327716:BQM327717 CAI327716:CAI327717 CKE327716:CKE327717 CUA327716:CUA327717 DDW327716:DDW327717 DNS327716:DNS327717 DXO327716:DXO327717 EHK327716:EHK327717 ERG327716:ERG327717 FBC327716:FBC327717 FKY327716:FKY327717 FUU327716:FUU327717 GEQ327716:GEQ327717 GOM327716:GOM327717 GYI327716:GYI327717 HIE327716:HIE327717 HSA327716:HSA327717 IBW327716:IBW327717 ILS327716:ILS327717 IVO327716:IVO327717 JFK327716:JFK327717 JPG327716:JPG327717 JZC327716:JZC327717 KIY327716:KIY327717 KSU327716:KSU327717 LCQ327716:LCQ327717 LMM327716:LMM327717 LWI327716:LWI327717 MGE327716:MGE327717 MQA327716:MQA327717 MZW327716:MZW327717 NJS327716:NJS327717 NTO327716:NTO327717 ODK327716:ODK327717 ONG327716:ONG327717 OXC327716:OXC327717 PGY327716:PGY327717 PQU327716:PQU327717 QAQ327716:QAQ327717 QKM327716:QKM327717 QUI327716:QUI327717 REE327716:REE327717 ROA327716:ROA327717 RXW327716:RXW327717 SHS327716:SHS327717 SRO327716:SRO327717 TBK327716:TBK327717 TLG327716:TLG327717 TVC327716:TVC327717 UEY327716:UEY327717 UOU327716:UOU327717 UYQ327716:UYQ327717 VIM327716:VIM327717 VSI327716:VSI327717 WCE327716:WCE327717 WMA327716:WMA327717 WVW327716:WVW327717 N393252:N393253 JK393252:JK393253 TG393252:TG393253 ADC393252:ADC393253 AMY393252:AMY393253 AWU393252:AWU393253 BGQ393252:BGQ393253 BQM393252:BQM393253 CAI393252:CAI393253 CKE393252:CKE393253 CUA393252:CUA393253 DDW393252:DDW393253 DNS393252:DNS393253 DXO393252:DXO393253 EHK393252:EHK393253 ERG393252:ERG393253 FBC393252:FBC393253 FKY393252:FKY393253 FUU393252:FUU393253 GEQ393252:GEQ393253 GOM393252:GOM393253 GYI393252:GYI393253 HIE393252:HIE393253 HSA393252:HSA393253 IBW393252:IBW393253 ILS393252:ILS393253 IVO393252:IVO393253 JFK393252:JFK393253 JPG393252:JPG393253 JZC393252:JZC393253 KIY393252:KIY393253 KSU393252:KSU393253 LCQ393252:LCQ393253 LMM393252:LMM393253 LWI393252:LWI393253 MGE393252:MGE393253 MQA393252:MQA393253 MZW393252:MZW393253 NJS393252:NJS393253 NTO393252:NTO393253 ODK393252:ODK393253 ONG393252:ONG393253 OXC393252:OXC393253 PGY393252:PGY393253 PQU393252:PQU393253 QAQ393252:QAQ393253 QKM393252:QKM393253 QUI393252:QUI393253 REE393252:REE393253 ROA393252:ROA393253 RXW393252:RXW393253 SHS393252:SHS393253 SRO393252:SRO393253 TBK393252:TBK393253 TLG393252:TLG393253 TVC393252:TVC393253 UEY393252:UEY393253 UOU393252:UOU393253 UYQ393252:UYQ393253 VIM393252:VIM393253 VSI393252:VSI393253 WCE393252:WCE393253 WMA393252:WMA393253 WVW393252:WVW393253 N458788:N458789 JK458788:JK458789 TG458788:TG458789 ADC458788:ADC458789 AMY458788:AMY458789 AWU458788:AWU458789 BGQ458788:BGQ458789 BQM458788:BQM458789 CAI458788:CAI458789 CKE458788:CKE458789 CUA458788:CUA458789 DDW458788:DDW458789 DNS458788:DNS458789 DXO458788:DXO458789 EHK458788:EHK458789 ERG458788:ERG458789 FBC458788:FBC458789 FKY458788:FKY458789 FUU458788:FUU458789 GEQ458788:GEQ458789 GOM458788:GOM458789 GYI458788:GYI458789 HIE458788:HIE458789 HSA458788:HSA458789 IBW458788:IBW458789 ILS458788:ILS458789 IVO458788:IVO458789 JFK458788:JFK458789 JPG458788:JPG458789 JZC458788:JZC458789 KIY458788:KIY458789 KSU458788:KSU458789 LCQ458788:LCQ458789 LMM458788:LMM458789 LWI458788:LWI458789 MGE458788:MGE458789 MQA458788:MQA458789 MZW458788:MZW458789 NJS458788:NJS458789 NTO458788:NTO458789 ODK458788:ODK458789 ONG458788:ONG458789 OXC458788:OXC458789 PGY458788:PGY458789 PQU458788:PQU458789 QAQ458788:QAQ458789 QKM458788:QKM458789 QUI458788:QUI458789 REE458788:REE458789 ROA458788:ROA458789 RXW458788:RXW458789 SHS458788:SHS458789 SRO458788:SRO458789 TBK458788:TBK458789 TLG458788:TLG458789 TVC458788:TVC458789 UEY458788:UEY458789 UOU458788:UOU458789 UYQ458788:UYQ458789 VIM458788:VIM458789 VSI458788:VSI458789 WCE458788:WCE458789 WMA458788:WMA458789 WVW458788:WVW458789 N524324:N524325 JK524324:JK524325 TG524324:TG524325 ADC524324:ADC524325 AMY524324:AMY524325 AWU524324:AWU524325 BGQ524324:BGQ524325 BQM524324:BQM524325 CAI524324:CAI524325 CKE524324:CKE524325 CUA524324:CUA524325 DDW524324:DDW524325 DNS524324:DNS524325 DXO524324:DXO524325 EHK524324:EHK524325 ERG524324:ERG524325 FBC524324:FBC524325 FKY524324:FKY524325 FUU524324:FUU524325 GEQ524324:GEQ524325 GOM524324:GOM524325 GYI524324:GYI524325 HIE524324:HIE524325 HSA524324:HSA524325 IBW524324:IBW524325 ILS524324:ILS524325 IVO524324:IVO524325 JFK524324:JFK524325 JPG524324:JPG524325 JZC524324:JZC524325 KIY524324:KIY524325 KSU524324:KSU524325 LCQ524324:LCQ524325 LMM524324:LMM524325 LWI524324:LWI524325 MGE524324:MGE524325 MQA524324:MQA524325 MZW524324:MZW524325 NJS524324:NJS524325 NTO524324:NTO524325 ODK524324:ODK524325 ONG524324:ONG524325 OXC524324:OXC524325 PGY524324:PGY524325 PQU524324:PQU524325 QAQ524324:QAQ524325 QKM524324:QKM524325 QUI524324:QUI524325 REE524324:REE524325 ROA524324:ROA524325 RXW524324:RXW524325 SHS524324:SHS524325 SRO524324:SRO524325 TBK524324:TBK524325 TLG524324:TLG524325 TVC524324:TVC524325 UEY524324:UEY524325 UOU524324:UOU524325 UYQ524324:UYQ524325 VIM524324:VIM524325 VSI524324:VSI524325 WCE524324:WCE524325 WMA524324:WMA524325 WVW524324:WVW524325 N589860:N589861 JK589860:JK589861 TG589860:TG589861 ADC589860:ADC589861 AMY589860:AMY589861 AWU589860:AWU589861 BGQ589860:BGQ589861 BQM589860:BQM589861 CAI589860:CAI589861 CKE589860:CKE589861 CUA589860:CUA589861 DDW589860:DDW589861 DNS589860:DNS589861 DXO589860:DXO589861 EHK589860:EHK589861 ERG589860:ERG589861 FBC589860:FBC589861 FKY589860:FKY589861 FUU589860:FUU589861 GEQ589860:GEQ589861 GOM589860:GOM589861 GYI589860:GYI589861 HIE589860:HIE589861 HSA589860:HSA589861 IBW589860:IBW589861 ILS589860:ILS589861 IVO589860:IVO589861 JFK589860:JFK589861 JPG589860:JPG589861 JZC589860:JZC589861 KIY589860:KIY589861 KSU589860:KSU589861 LCQ589860:LCQ589861 LMM589860:LMM589861 LWI589860:LWI589861 MGE589860:MGE589861 MQA589860:MQA589861 MZW589860:MZW589861 NJS589860:NJS589861 NTO589860:NTO589861 ODK589860:ODK589861 ONG589860:ONG589861 OXC589860:OXC589861 PGY589860:PGY589861 PQU589860:PQU589861 QAQ589860:QAQ589861 QKM589860:QKM589861 QUI589860:QUI589861 REE589860:REE589861 ROA589860:ROA589861 RXW589860:RXW589861 SHS589860:SHS589861 SRO589860:SRO589861 TBK589860:TBK589861 TLG589860:TLG589861 TVC589860:TVC589861 UEY589860:UEY589861 UOU589860:UOU589861 UYQ589860:UYQ589861 VIM589860:VIM589861 VSI589860:VSI589861 WCE589860:WCE589861 WMA589860:WMA589861 WVW589860:WVW589861 N655396:N655397 JK655396:JK655397 TG655396:TG655397 ADC655396:ADC655397 AMY655396:AMY655397 AWU655396:AWU655397 BGQ655396:BGQ655397 BQM655396:BQM655397 CAI655396:CAI655397 CKE655396:CKE655397 CUA655396:CUA655397 DDW655396:DDW655397 DNS655396:DNS655397 DXO655396:DXO655397 EHK655396:EHK655397 ERG655396:ERG655397 FBC655396:FBC655397 FKY655396:FKY655397 FUU655396:FUU655397 GEQ655396:GEQ655397 GOM655396:GOM655397 GYI655396:GYI655397 HIE655396:HIE655397 HSA655396:HSA655397 IBW655396:IBW655397 ILS655396:ILS655397 IVO655396:IVO655397 JFK655396:JFK655397 JPG655396:JPG655397 JZC655396:JZC655397 KIY655396:KIY655397 KSU655396:KSU655397 LCQ655396:LCQ655397 LMM655396:LMM655397 LWI655396:LWI655397 MGE655396:MGE655397 MQA655396:MQA655397 MZW655396:MZW655397 NJS655396:NJS655397 NTO655396:NTO655397 ODK655396:ODK655397 ONG655396:ONG655397 OXC655396:OXC655397 PGY655396:PGY655397 PQU655396:PQU655397 QAQ655396:QAQ655397 QKM655396:QKM655397 QUI655396:QUI655397 REE655396:REE655397 ROA655396:ROA655397 RXW655396:RXW655397 SHS655396:SHS655397 SRO655396:SRO655397 TBK655396:TBK655397 TLG655396:TLG655397 TVC655396:TVC655397 UEY655396:UEY655397 UOU655396:UOU655397 UYQ655396:UYQ655397 VIM655396:VIM655397 VSI655396:VSI655397 WCE655396:WCE655397 WMA655396:WMA655397 WVW655396:WVW655397 N720932:N720933 JK720932:JK720933 TG720932:TG720933 ADC720932:ADC720933 AMY720932:AMY720933 AWU720932:AWU720933 BGQ720932:BGQ720933 BQM720932:BQM720933 CAI720932:CAI720933 CKE720932:CKE720933 CUA720932:CUA720933 DDW720932:DDW720933 DNS720932:DNS720933 DXO720932:DXO720933 EHK720932:EHK720933 ERG720932:ERG720933 FBC720932:FBC720933 FKY720932:FKY720933 FUU720932:FUU720933 GEQ720932:GEQ720933 GOM720932:GOM720933 GYI720932:GYI720933 HIE720932:HIE720933 HSA720932:HSA720933 IBW720932:IBW720933 ILS720932:ILS720933 IVO720932:IVO720933 JFK720932:JFK720933 JPG720932:JPG720933 JZC720932:JZC720933 KIY720932:KIY720933 KSU720932:KSU720933 LCQ720932:LCQ720933 LMM720932:LMM720933 LWI720932:LWI720933 MGE720932:MGE720933 MQA720932:MQA720933 MZW720932:MZW720933 NJS720932:NJS720933 NTO720932:NTO720933 ODK720932:ODK720933 ONG720932:ONG720933 OXC720932:OXC720933 PGY720932:PGY720933 PQU720932:PQU720933 QAQ720932:QAQ720933 QKM720932:QKM720933 QUI720932:QUI720933 REE720932:REE720933 ROA720932:ROA720933 RXW720932:RXW720933 SHS720932:SHS720933 SRO720932:SRO720933 TBK720932:TBK720933 TLG720932:TLG720933 TVC720932:TVC720933 UEY720932:UEY720933 UOU720932:UOU720933 UYQ720932:UYQ720933 VIM720932:VIM720933 VSI720932:VSI720933 WCE720932:WCE720933 WMA720932:WMA720933 WVW720932:WVW720933 N786468:N786469 JK786468:JK786469 TG786468:TG786469 ADC786468:ADC786469 AMY786468:AMY786469 AWU786468:AWU786469 BGQ786468:BGQ786469 BQM786468:BQM786469 CAI786468:CAI786469 CKE786468:CKE786469 CUA786468:CUA786469 DDW786468:DDW786469 DNS786468:DNS786469 DXO786468:DXO786469 EHK786468:EHK786469 ERG786468:ERG786469 FBC786468:FBC786469 FKY786468:FKY786469 FUU786468:FUU786469 GEQ786468:GEQ786469 GOM786468:GOM786469 GYI786468:GYI786469 HIE786468:HIE786469 HSA786468:HSA786469 IBW786468:IBW786469 ILS786468:ILS786469 IVO786468:IVO786469 JFK786468:JFK786469 JPG786468:JPG786469 JZC786468:JZC786469 KIY786468:KIY786469 KSU786468:KSU786469 LCQ786468:LCQ786469 LMM786468:LMM786469 LWI786468:LWI786469 MGE786468:MGE786469 MQA786468:MQA786469 MZW786468:MZW786469 NJS786468:NJS786469 NTO786468:NTO786469 ODK786468:ODK786469 ONG786468:ONG786469 OXC786468:OXC786469 PGY786468:PGY786469 PQU786468:PQU786469 QAQ786468:QAQ786469 QKM786468:QKM786469 QUI786468:QUI786469 REE786468:REE786469 ROA786468:ROA786469 RXW786468:RXW786469 SHS786468:SHS786469 SRO786468:SRO786469 TBK786468:TBK786469 TLG786468:TLG786469 TVC786468:TVC786469 UEY786468:UEY786469 UOU786468:UOU786469 UYQ786468:UYQ786469 VIM786468:VIM786469 VSI786468:VSI786469 WCE786468:WCE786469 WMA786468:WMA786469 WVW786468:WVW786469 N852004:N852005 JK852004:JK852005 TG852004:TG852005 ADC852004:ADC852005 AMY852004:AMY852005 AWU852004:AWU852005 BGQ852004:BGQ852005 BQM852004:BQM852005 CAI852004:CAI852005 CKE852004:CKE852005 CUA852004:CUA852005 DDW852004:DDW852005 DNS852004:DNS852005 DXO852004:DXO852005 EHK852004:EHK852005 ERG852004:ERG852005 FBC852004:FBC852005 FKY852004:FKY852005 FUU852004:FUU852005 GEQ852004:GEQ852005 GOM852004:GOM852005 GYI852004:GYI852005 HIE852004:HIE852005 HSA852004:HSA852005 IBW852004:IBW852005 ILS852004:ILS852005 IVO852004:IVO852005 JFK852004:JFK852005 JPG852004:JPG852005 JZC852004:JZC852005 KIY852004:KIY852005 KSU852004:KSU852005 LCQ852004:LCQ852005 LMM852004:LMM852005 LWI852004:LWI852005 MGE852004:MGE852005 MQA852004:MQA852005 MZW852004:MZW852005 NJS852004:NJS852005 NTO852004:NTO852005 ODK852004:ODK852005 ONG852004:ONG852005 OXC852004:OXC852005 PGY852004:PGY852005 PQU852004:PQU852005 QAQ852004:QAQ852005 QKM852004:QKM852005 QUI852004:QUI852005 REE852004:REE852005 ROA852004:ROA852005 RXW852004:RXW852005 SHS852004:SHS852005 SRO852004:SRO852005 TBK852004:TBK852005 TLG852004:TLG852005 TVC852004:TVC852005 UEY852004:UEY852005 UOU852004:UOU852005 UYQ852004:UYQ852005 VIM852004:VIM852005 VSI852004:VSI852005 WCE852004:WCE852005 WMA852004:WMA852005 WVW852004:WVW852005 N917540:N917541 JK917540:JK917541 TG917540:TG917541 ADC917540:ADC917541 AMY917540:AMY917541 AWU917540:AWU917541 BGQ917540:BGQ917541 BQM917540:BQM917541 CAI917540:CAI917541 CKE917540:CKE917541 CUA917540:CUA917541 DDW917540:DDW917541 DNS917540:DNS917541 DXO917540:DXO917541 EHK917540:EHK917541 ERG917540:ERG917541 FBC917540:FBC917541 FKY917540:FKY917541 FUU917540:FUU917541 GEQ917540:GEQ917541 GOM917540:GOM917541 GYI917540:GYI917541 HIE917540:HIE917541 HSA917540:HSA917541 IBW917540:IBW917541 ILS917540:ILS917541 IVO917540:IVO917541 JFK917540:JFK917541 JPG917540:JPG917541 JZC917540:JZC917541 KIY917540:KIY917541 KSU917540:KSU917541 LCQ917540:LCQ917541 LMM917540:LMM917541 LWI917540:LWI917541 MGE917540:MGE917541 MQA917540:MQA917541 MZW917540:MZW917541 NJS917540:NJS917541 NTO917540:NTO917541 ODK917540:ODK917541 ONG917540:ONG917541 OXC917540:OXC917541 PGY917540:PGY917541 PQU917540:PQU917541 QAQ917540:QAQ917541 QKM917540:QKM917541 QUI917540:QUI917541 REE917540:REE917541 ROA917540:ROA917541 RXW917540:RXW917541 SHS917540:SHS917541 SRO917540:SRO917541 TBK917540:TBK917541 TLG917540:TLG917541 TVC917540:TVC917541 UEY917540:UEY917541 UOU917540:UOU917541 UYQ917540:UYQ917541 VIM917540:VIM917541 VSI917540:VSI917541 WCE917540:WCE917541 WMA917540:WMA917541 WVW917540:WVW917541 N983076:N983077 JK983076:JK983077 TG983076:TG983077 ADC983076:ADC983077 AMY983076:AMY983077 AWU983076:AWU983077 BGQ983076:BGQ983077 BQM983076:BQM983077 CAI983076:CAI983077 CKE983076:CKE983077 CUA983076:CUA983077 DDW983076:DDW983077 DNS983076:DNS983077 DXO983076:DXO983077 EHK983076:EHK983077 ERG983076:ERG983077 FBC983076:FBC983077 FKY983076:FKY983077 FUU983076:FUU983077 GEQ983076:GEQ983077 GOM983076:GOM983077 GYI983076:GYI983077 HIE983076:HIE983077 HSA983076:HSA983077 IBW983076:IBW983077 ILS983076:ILS983077 IVO983076:IVO983077 JFK983076:JFK983077 JPG983076:JPG983077 JZC983076:JZC983077 KIY983076:KIY983077 KSU983076:KSU983077 LCQ983076:LCQ983077 LMM983076:LMM983077 LWI983076:LWI983077 MGE983076:MGE983077 MQA983076:MQA983077 MZW983076:MZW983077 NJS983076:NJS983077 NTO983076:NTO983077 ODK983076:ODK983077 ONG983076:ONG983077 OXC983076:OXC983077 PGY983076:PGY983077 PQU983076:PQU983077 QAQ983076:QAQ983077 QKM983076:QKM983077 QUI983076:QUI983077 REE983076:REE983077 ROA983076:ROA983077 RXW983076:RXW983077 SHS983076:SHS983077 SRO983076:SRO983077 TBK983076:TBK983077 TLG983076:TLG983077 TVC983076:TVC983077 UEY983076:UEY983077 UOU983076:UOU983077 UYQ983076:UYQ983077 VIM983076:VIM983077 VSI983076:VSI983077 WCE983076:WCE983077 WMA983076:WMA983077 WVW983076:WVW983077 TLG983081:TLG983084 JK75:JK77 TG75:TG77 ADC75:ADC77 AMY75:AMY77 AWU75:AWU77 BGQ75:BGQ77 BQM75:BQM77 CAI75:CAI77 CKE75:CKE77 CUA75:CUA77 DDW75:DDW77 DNS75:DNS77 DXO75:DXO77 EHK75:EHK77 ERG75:ERG77 FBC75:FBC77 FKY75:FKY77 FUU75:FUU77 GEQ75:GEQ77 GOM75:GOM77 GYI75:GYI77 HIE75:HIE77 HSA75:HSA77 IBW75:IBW77 ILS75:ILS77 IVO75:IVO77 JFK75:JFK77 JPG75:JPG77 JZC75:JZC77 KIY75:KIY77 KSU75:KSU77 LCQ75:LCQ77 LMM75:LMM77 LWI75:LWI77 MGE75:MGE77 MQA75:MQA77 MZW75:MZW77 NJS75:NJS77 NTO75:NTO77 ODK75:ODK77 ONG75:ONG77 OXC75:OXC77 PGY75:PGY77 PQU75:PQU77 QAQ75:QAQ77 QKM75:QKM77 QUI75:QUI77 REE75:REE77 ROA75:ROA77 RXW75:RXW77 SHS75:SHS77 SRO75:SRO77 TBK75:TBK77 TLG75:TLG77 TVC75:TVC77 UEY75:UEY77 UOU75:UOU77 UYQ75:UYQ77 VIM75:VIM77 VSI75:VSI77 WCE75:WCE77 WMA75:WMA77 WVW75:WVW77 N65613:N65615 JK65613:JK65615 TG65613:TG65615 ADC65613:ADC65615 AMY65613:AMY65615 AWU65613:AWU65615 BGQ65613:BGQ65615 BQM65613:BQM65615 CAI65613:CAI65615 CKE65613:CKE65615 CUA65613:CUA65615 DDW65613:DDW65615 DNS65613:DNS65615 DXO65613:DXO65615 EHK65613:EHK65615 ERG65613:ERG65615 FBC65613:FBC65615 FKY65613:FKY65615 FUU65613:FUU65615 GEQ65613:GEQ65615 GOM65613:GOM65615 GYI65613:GYI65615 HIE65613:HIE65615 HSA65613:HSA65615 IBW65613:IBW65615 ILS65613:ILS65615 IVO65613:IVO65615 JFK65613:JFK65615 JPG65613:JPG65615 JZC65613:JZC65615 KIY65613:KIY65615 KSU65613:KSU65615 LCQ65613:LCQ65615 LMM65613:LMM65615 LWI65613:LWI65615 MGE65613:MGE65615 MQA65613:MQA65615 MZW65613:MZW65615 NJS65613:NJS65615 NTO65613:NTO65615 ODK65613:ODK65615 ONG65613:ONG65615 OXC65613:OXC65615 PGY65613:PGY65615 PQU65613:PQU65615 QAQ65613:QAQ65615 QKM65613:QKM65615 QUI65613:QUI65615 REE65613:REE65615 ROA65613:ROA65615 RXW65613:RXW65615 SHS65613:SHS65615 SRO65613:SRO65615 TBK65613:TBK65615 TLG65613:TLG65615 TVC65613:TVC65615 UEY65613:UEY65615 UOU65613:UOU65615 UYQ65613:UYQ65615 VIM65613:VIM65615 VSI65613:VSI65615 WCE65613:WCE65615 WMA65613:WMA65615 WVW65613:WVW65615 N131149:N131151 JK131149:JK131151 TG131149:TG131151 ADC131149:ADC131151 AMY131149:AMY131151 AWU131149:AWU131151 BGQ131149:BGQ131151 BQM131149:BQM131151 CAI131149:CAI131151 CKE131149:CKE131151 CUA131149:CUA131151 DDW131149:DDW131151 DNS131149:DNS131151 DXO131149:DXO131151 EHK131149:EHK131151 ERG131149:ERG131151 FBC131149:FBC131151 FKY131149:FKY131151 FUU131149:FUU131151 GEQ131149:GEQ131151 GOM131149:GOM131151 GYI131149:GYI131151 HIE131149:HIE131151 HSA131149:HSA131151 IBW131149:IBW131151 ILS131149:ILS131151 IVO131149:IVO131151 JFK131149:JFK131151 JPG131149:JPG131151 JZC131149:JZC131151 KIY131149:KIY131151 KSU131149:KSU131151 LCQ131149:LCQ131151 LMM131149:LMM131151 LWI131149:LWI131151 MGE131149:MGE131151 MQA131149:MQA131151 MZW131149:MZW131151 NJS131149:NJS131151 NTO131149:NTO131151 ODK131149:ODK131151 ONG131149:ONG131151 OXC131149:OXC131151 PGY131149:PGY131151 PQU131149:PQU131151 QAQ131149:QAQ131151 QKM131149:QKM131151 QUI131149:QUI131151 REE131149:REE131151 ROA131149:ROA131151 RXW131149:RXW131151 SHS131149:SHS131151 SRO131149:SRO131151 TBK131149:TBK131151 TLG131149:TLG131151 TVC131149:TVC131151 UEY131149:UEY131151 UOU131149:UOU131151 UYQ131149:UYQ131151 VIM131149:VIM131151 VSI131149:VSI131151 WCE131149:WCE131151 WMA131149:WMA131151 WVW131149:WVW131151 N196685:N196687 JK196685:JK196687 TG196685:TG196687 ADC196685:ADC196687 AMY196685:AMY196687 AWU196685:AWU196687 BGQ196685:BGQ196687 BQM196685:BQM196687 CAI196685:CAI196687 CKE196685:CKE196687 CUA196685:CUA196687 DDW196685:DDW196687 DNS196685:DNS196687 DXO196685:DXO196687 EHK196685:EHK196687 ERG196685:ERG196687 FBC196685:FBC196687 FKY196685:FKY196687 FUU196685:FUU196687 GEQ196685:GEQ196687 GOM196685:GOM196687 GYI196685:GYI196687 HIE196685:HIE196687 HSA196685:HSA196687 IBW196685:IBW196687 ILS196685:ILS196687 IVO196685:IVO196687 JFK196685:JFK196687 JPG196685:JPG196687 JZC196685:JZC196687 KIY196685:KIY196687 KSU196685:KSU196687 LCQ196685:LCQ196687 LMM196685:LMM196687 LWI196685:LWI196687 MGE196685:MGE196687 MQA196685:MQA196687 MZW196685:MZW196687 NJS196685:NJS196687 NTO196685:NTO196687 ODK196685:ODK196687 ONG196685:ONG196687 OXC196685:OXC196687 PGY196685:PGY196687 PQU196685:PQU196687 QAQ196685:QAQ196687 QKM196685:QKM196687 QUI196685:QUI196687 REE196685:REE196687 ROA196685:ROA196687 RXW196685:RXW196687 SHS196685:SHS196687 SRO196685:SRO196687 TBK196685:TBK196687 TLG196685:TLG196687 TVC196685:TVC196687 UEY196685:UEY196687 UOU196685:UOU196687 UYQ196685:UYQ196687 VIM196685:VIM196687 VSI196685:VSI196687 WCE196685:WCE196687 WMA196685:WMA196687 WVW196685:WVW196687 N262221:N262223 JK262221:JK262223 TG262221:TG262223 ADC262221:ADC262223 AMY262221:AMY262223 AWU262221:AWU262223 BGQ262221:BGQ262223 BQM262221:BQM262223 CAI262221:CAI262223 CKE262221:CKE262223 CUA262221:CUA262223 DDW262221:DDW262223 DNS262221:DNS262223 DXO262221:DXO262223 EHK262221:EHK262223 ERG262221:ERG262223 FBC262221:FBC262223 FKY262221:FKY262223 FUU262221:FUU262223 GEQ262221:GEQ262223 GOM262221:GOM262223 GYI262221:GYI262223 HIE262221:HIE262223 HSA262221:HSA262223 IBW262221:IBW262223 ILS262221:ILS262223 IVO262221:IVO262223 JFK262221:JFK262223 JPG262221:JPG262223 JZC262221:JZC262223 KIY262221:KIY262223 KSU262221:KSU262223 LCQ262221:LCQ262223 LMM262221:LMM262223 LWI262221:LWI262223 MGE262221:MGE262223 MQA262221:MQA262223 MZW262221:MZW262223 NJS262221:NJS262223 NTO262221:NTO262223 ODK262221:ODK262223 ONG262221:ONG262223 OXC262221:OXC262223 PGY262221:PGY262223 PQU262221:PQU262223 QAQ262221:QAQ262223 QKM262221:QKM262223 QUI262221:QUI262223 REE262221:REE262223 ROA262221:ROA262223 RXW262221:RXW262223 SHS262221:SHS262223 SRO262221:SRO262223 TBK262221:TBK262223 TLG262221:TLG262223 TVC262221:TVC262223 UEY262221:UEY262223 UOU262221:UOU262223 UYQ262221:UYQ262223 VIM262221:VIM262223 VSI262221:VSI262223 WCE262221:WCE262223 WMA262221:WMA262223 WVW262221:WVW262223 N327757:N327759 JK327757:JK327759 TG327757:TG327759 ADC327757:ADC327759 AMY327757:AMY327759 AWU327757:AWU327759 BGQ327757:BGQ327759 BQM327757:BQM327759 CAI327757:CAI327759 CKE327757:CKE327759 CUA327757:CUA327759 DDW327757:DDW327759 DNS327757:DNS327759 DXO327757:DXO327759 EHK327757:EHK327759 ERG327757:ERG327759 FBC327757:FBC327759 FKY327757:FKY327759 FUU327757:FUU327759 GEQ327757:GEQ327759 GOM327757:GOM327759 GYI327757:GYI327759 HIE327757:HIE327759 HSA327757:HSA327759 IBW327757:IBW327759 ILS327757:ILS327759 IVO327757:IVO327759 JFK327757:JFK327759 JPG327757:JPG327759 JZC327757:JZC327759 KIY327757:KIY327759 KSU327757:KSU327759 LCQ327757:LCQ327759 LMM327757:LMM327759 LWI327757:LWI327759 MGE327757:MGE327759 MQA327757:MQA327759 MZW327757:MZW327759 NJS327757:NJS327759 NTO327757:NTO327759 ODK327757:ODK327759 ONG327757:ONG327759 OXC327757:OXC327759 PGY327757:PGY327759 PQU327757:PQU327759 QAQ327757:QAQ327759 QKM327757:QKM327759 QUI327757:QUI327759 REE327757:REE327759 ROA327757:ROA327759 RXW327757:RXW327759 SHS327757:SHS327759 SRO327757:SRO327759 TBK327757:TBK327759 TLG327757:TLG327759 TVC327757:TVC327759 UEY327757:UEY327759 UOU327757:UOU327759 UYQ327757:UYQ327759 VIM327757:VIM327759 VSI327757:VSI327759 WCE327757:WCE327759 WMA327757:WMA327759 WVW327757:WVW327759 N393293:N393295 JK393293:JK393295 TG393293:TG393295 ADC393293:ADC393295 AMY393293:AMY393295 AWU393293:AWU393295 BGQ393293:BGQ393295 BQM393293:BQM393295 CAI393293:CAI393295 CKE393293:CKE393295 CUA393293:CUA393295 DDW393293:DDW393295 DNS393293:DNS393295 DXO393293:DXO393295 EHK393293:EHK393295 ERG393293:ERG393295 FBC393293:FBC393295 FKY393293:FKY393295 FUU393293:FUU393295 GEQ393293:GEQ393295 GOM393293:GOM393295 GYI393293:GYI393295 HIE393293:HIE393295 HSA393293:HSA393295 IBW393293:IBW393295 ILS393293:ILS393295 IVO393293:IVO393295 JFK393293:JFK393295 JPG393293:JPG393295 JZC393293:JZC393295 KIY393293:KIY393295 KSU393293:KSU393295 LCQ393293:LCQ393295 LMM393293:LMM393295 LWI393293:LWI393295 MGE393293:MGE393295 MQA393293:MQA393295 MZW393293:MZW393295 NJS393293:NJS393295 NTO393293:NTO393295 ODK393293:ODK393295 ONG393293:ONG393295 OXC393293:OXC393295 PGY393293:PGY393295 PQU393293:PQU393295 QAQ393293:QAQ393295 QKM393293:QKM393295 QUI393293:QUI393295 REE393293:REE393295 ROA393293:ROA393295 RXW393293:RXW393295 SHS393293:SHS393295 SRO393293:SRO393295 TBK393293:TBK393295 TLG393293:TLG393295 TVC393293:TVC393295 UEY393293:UEY393295 UOU393293:UOU393295 UYQ393293:UYQ393295 VIM393293:VIM393295 VSI393293:VSI393295 WCE393293:WCE393295 WMA393293:WMA393295 WVW393293:WVW393295 N458829:N458831 JK458829:JK458831 TG458829:TG458831 ADC458829:ADC458831 AMY458829:AMY458831 AWU458829:AWU458831 BGQ458829:BGQ458831 BQM458829:BQM458831 CAI458829:CAI458831 CKE458829:CKE458831 CUA458829:CUA458831 DDW458829:DDW458831 DNS458829:DNS458831 DXO458829:DXO458831 EHK458829:EHK458831 ERG458829:ERG458831 FBC458829:FBC458831 FKY458829:FKY458831 FUU458829:FUU458831 GEQ458829:GEQ458831 GOM458829:GOM458831 GYI458829:GYI458831 HIE458829:HIE458831 HSA458829:HSA458831 IBW458829:IBW458831 ILS458829:ILS458831 IVO458829:IVO458831 JFK458829:JFK458831 JPG458829:JPG458831 JZC458829:JZC458831 KIY458829:KIY458831 KSU458829:KSU458831 LCQ458829:LCQ458831 LMM458829:LMM458831 LWI458829:LWI458831 MGE458829:MGE458831 MQA458829:MQA458831 MZW458829:MZW458831 NJS458829:NJS458831 NTO458829:NTO458831 ODK458829:ODK458831 ONG458829:ONG458831 OXC458829:OXC458831 PGY458829:PGY458831 PQU458829:PQU458831 QAQ458829:QAQ458831 QKM458829:QKM458831 QUI458829:QUI458831 REE458829:REE458831 ROA458829:ROA458831 RXW458829:RXW458831 SHS458829:SHS458831 SRO458829:SRO458831 TBK458829:TBK458831 TLG458829:TLG458831 TVC458829:TVC458831 UEY458829:UEY458831 UOU458829:UOU458831 UYQ458829:UYQ458831 VIM458829:VIM458831 VSI458829:VSI458831 WCE458829:WCE458831 WMA458829:WMA458831 WVW458829:WVW458831 N524365:N524367 JK524365:JK524367 TG524365:TG524367 ADC524365:ADC524367 AMY524365:AMY524367 AWU524365:AWU524367 BGQ524365:BGQ524367 BQM524365:BQM524367 CAI524365:CAI524367 CKE524365:CKE524367 CUA524365:CUA524367 DDW524365:DDW524367 DNS524365:DNS524367 DXO524365:DXO524367 EHK524365:EHK524367 ERG524365:ERG524367 FBC524365:FBC524367 FKY524365:FKY524367 FUU524365:FUU524367 GEQ524365:GEQ524367 GOM524365:GOM524367 GYI524365:GYI524367 HIE524365:HIE524367 HSA524365:HSA524367 IBW524365:IBW524367 ILS524365:ILS524367 IVO524365:IVO524367 JFK524365:JFK524367 JPG524365:JPG524367 JZC524365:JZC524367 KIY524365:KIY524367 KSU524365:KSU524367 LCQ524365:LCQ524367 LMM524365:LMM524367 LWI524365:LWI524367 MGE524365:MGE524367 MQA524365:MQA524367 MZW524365:MZW524367 NJS524365:NJS524367 NTO524365:NTO524367 ODK524365:ODK524367 ONG524365:ONG524367 OXC524365:OXC524367 PGY524365:PGY524367 PQU524365:PQU524367 QAQ524365:QAQ524367 QKM524365:QKM524367 QUI524365:QUI524367 REE524365:REE524367 ROA524365:ROA524367 RXW524365:RXW524367 SHS524365:SHS524367 SRO524365:SRO524367 TBK524365:TBK524367 TLG524365:TLG524367 TVC524365:TVC524367 UEY524365:UEY524367 UOU524365:UOU524367 UYQ524365:UYQ524367 VIM524365:VIM524367 VSI524365:VSI524367 WCE524365:WCE524367 WMA524365:WMA524367 WVW524365:WVW524367 N589901:N589903 JK589901:JK589903 TG589901:TG589903 ADC589901:ADC589903 AMY589901:AMY589903 AWU589901:AWU589903 BGQ589901:BGQ589903 BQM589901:BQM589903 CAI589901:CAI589903 CKE589901:CKE589903 CUA589901:CUA589903 DDW589901:DDW589903 DNS589901:DNS589903 DXO589901:DXO589903 EHK589901:EHK589903 ERG589901:ERG589903 FBC589901:FBC589903 FKY589901:FKY589903 FUU589901:FUU589903 GEQ589901:GEQ589903 GOM589901:GOM589903 GYI589901:GYI589903 HIE589901:HIE589903 HSA589901:HSA589903 IBW589901:IBW589903 ILS589901:ILS589903 IVO589901:IVO589903 JFK589901:JFK589903 JPG589901:JPG589903 JZC589901:JZC589903 KIY589901:KIY589903 KSU589901:KSU589903 LCQ589901:LCQ589903 LMM589901:LMM589903 LWI589901:LWI589903 MGE589901:MGE589903 MQA589901:MQA589903 MZW589901:MZW589903 NJS589901:NJS589903 NTO589901:NTO589903 ODK589901:ODK589903 ONG589901:ONG589903 OXC589901:OXC589903 PGY589901:PGY589903 PQU589901:PQU589903 QAQ589901:QAQ589903 QKM589901:QKM589903 QUI589901:QUI589903 REE589901:REE589903 ROA589901:ROA589903 RXW589901:RXW589903 SHS589901:SHS589903 SRO589901:SRO589903 TBK589901:TBK589903 TLG589901:TLG589903 TVC589901:TVC589903 UEY589901:UEY589903 UOU589901:UOU589903 UYQ589901:UYQ589903 VIM589901:VIM589903 VSI589901:VSI589903 WCE589901:WCE589903 WMA589901:WMA589903 WVW589901:WVW589903 N655437:N655439 JK655437:JK655439 TG655437:TG655439 ADC655437:ADC655439 AMY655437:AMY655439 AWU655437:AWU655439 BGQ655437:BGQ655439 BQM655437:BQM655439 CAI655437:CAI655439 CKE655437:CKE655439 CUA655437:CUA655439 DDW655437:DDW655439 DNS655437:DNS655439 DXO655437:DXO655439 EHK655437:EHK655439 ERG655437:ERG655439 FBC655437:FBC655439 FKY655437:FKY655439 FUU655437:FUU655439 GEQ655437:GEQ655439 GOM655437:GOM655439 GYI655437:GYI655439 HIE655437:HIE655439 HSA655437:HSA655439 IBW655437:IBW655439 ILS655437:ILS655439 IVO655437:IVO655439 JFK655437:JFK655439 JPG655437:JPG655439 JZC655437:JZC655439 KIY655437:KIY655439 KSU655437:KSU655439 LCQ655437:LCQ655439 LMM655437:LMM655439 LWI655437:LWI655439 MGE655437:MGE655439 MQA655437:MQA655439 MZW655437:MZW655439 NJS655437:NJS655439 NTO655437:NTO655439 ODK655437:ODK655439 ONG655437:ONG655439 OXC655437:OXC655439 PGY655437:PGY655439 PQU655437:PQU655439 QAQ655437:QAQ655439 QKM655437:QKM655439 QUI655437:QUI655439 REE655437:REE655439 ROA655437:ROA655439 RXW655437:RXW655439 SHS655437:SHS655439 SRO655437:SRO655439 TBK655437:TBK655439 TLG655437:TLG655439 TVC655437:TVC655439 UEY655437:UEY655439 UOU655437:UOU655439 UYQ655437:UYQ655439 VIM655437:VIM655439 VSI655437:VSI655439 WCE655437:WCE655439 WMA655437:WMA655439 WVW655437:WVW655439 N720973:N720975 JK720973:JK720975 TG720973:TG720975 ADC720973:ADC720975 AMY720973:AMY720975 AWU720973:AWU720975 BGQ720973:BGQ720975 BQM720973:BQM720975 CAI720973:CAI720975 CKE720973:CKE720975 CUA720973:CUA720975 DDW720973:DDW720975 DNS720973:DNS720975 DXO720973:DXO720975 EHK720973:EHK720975 ERG720973:ERG720975 FBC720973:FBC720975 FKY720973:FKY720975 FUU720973:FUU720975 GEQ720973:GEQ720975 GOM720973:GOM720975 GYI720973:GYI720975 HIE720973:HIE720975 HSA720973:HSA720975 IBW720973:IBW720975 ILS720973:ILS720975 IVO720973:IVO720975 JFK720973:JFK720975 JPG720973:JPG720975 JZC720973:JZC720975 KIY720973:KIY720975 KSU720973:KSU720975 LCQ720973:LCQ720975 LMM720973:LMM720975 LWI720973:LWI720975 MGE720973:MGE720975 MQA720973:MQA720975 MZW720973:MZW720975 NJS720973:NJS720975 NTO720973:NTO720975 ODK720973:ODK720975 ONG720973:ONG720975 OXC720973:OXC720975 PGY720973:PGY720975 PQU720973:PQU720975 QAQ720973:QAQ720975 QKM720973:QKM720975 QUI720973:QUI720975 REE720973:REE720975 ROA720973:ROA720975 RXW720973:RXW720975 SHS720973:SHS720975 SRO720973:SRO720975 TBK720973:TBK720975 TLG720973:TLG720975 TVC720973:TVC720975 UEY720973:UEY720975 UOU720973:UOU720975 UYQ720973:UYQ720975 VIM720973:VIM720975 VSI720973:VSI720975 WCE720973:WCE720975 WMA720973:WMA720975 WVW720973:WVW720975 N786509:N786511 JK786509:JK786511 TG786509:TG786511 ADC786509:ADC786511 AMY786509:AMY786511 AWU786509:AWU786511 BGQ786509:BGQ786511 BQM786509:BQM786511 CAI786509:CAI786511 CKE786509:CKE786511 CUA786509:CUA786511 DDW786509:DDW786511 DNS786509:DNS786511 DXO786509:DXO786511 EHK786509:EHK786511 ERG786509:ERG786511 FBC786509:FBC786511 FKY786509:FKY786511 FUU786509:FUU786511 GEQ786509:GEQ786511 GOM786509:GOM786511 GYI786509:GYI786511 HIE786509:HIE786511 HSA786509:HSA786511 IBW786509:IBW786511 ILS786509:ILS786511 IVO786509:IVO786511 JFK786509:JFK786511 JPG786509:JPG786511 JZC786509:JZC786511 KIY786509:KIY786511 KSU786509:KSU786511 LCQ786509:LCQ786511 LMM786509:LMM786511 LWI786509:LWI786511 MGE786509:MGE786511 MQA786509:MQA786511 MZW786509:MZW786511 NJS786509:NJS786511 NTO786509:NTO786511 ODK786509:ODK786511 ONG786509:ONG786511 OXC786509:OXC786511 PGY786509:PGY786511 PQU786509:PQU786511 QAQ786509:QAQ786511 QKM786509:QKM786511 QUI786509:QUI786511 REE786509:REE786511 ROA786509:ROA786511 RXW786509:RXW786511 SHS786509:SHS786511 SRO786509:SRO786511 TBK786509:TBK786511 TLG786509:TLG786511 TVC786509:TVC786511 UEY786509:UEY786511 UOU786509:UOU786511 UYQ786509:UYQ786511 VIM786509:VIM786511 VSI786509:VSI786511 WCE786509:WCE786511 WMA786509:WMA786511 WVW786509:WVW786511 N852045:N852047 JK852045:JK852047 TG852045:TG852047 ADC852045:ADC852047 AMY852045:AMY852047 AWU852045:AWU852047 BGQ852045:BGQ852047 BQM852045:BQM852047 CAI852045:CAI852047 CKE852045:CKE852047 CUA852045:CUA852047 DDW852045:DDW852047 DNS852045:DNS852047 DXO852045:DXO852047 EHK852045:EHK852047 ERG852045:ERG852047 FBC852045:FBC852047 FKY852045:FKY852047 FUU852045:FUU852047 GEQ852045:GEQ852047 GOM852045:GOM852047 GYI852045:GYI852047 HIE852045:HIE852047 HSA852045:HSA852047 IBW852045:IBW852047 ILS852045:ILS852047 IVO852045:IVO852047 JFK852045:JFK852047 JPG852045:JPG852047 JZC852045:JZC852047 KIY852045:KIY852047 KSU852045:KSU852047 LCQ852045:LCQ852047 LMM852045:LMM852047 LWI852045:LWI852047 MGE852045:MGE852047 MQA852045:MQA852047 MZW852045:MZW852047 NJS852045:NJS852047 NTO852045:NTO852047 ODK852045:ODK852047 ONG852045:ONG852047 OXC852045:OXC852047 PGY852045:PGY852047 PQU852045:PQU852047 QAQ852045:QAQ852047 QKM852045:QKM852047 QUI852045:QUI852047 REE852045:REE852047 ROA852045:ROA852047 RXW852045:RXW852047 SHS852045:SHS852047 SRO852045:SRO852047 TBK852045:TBK852047 TLG852045:TLG852047 TVC852045:TVC852047 UEY852045:UEY852047 UOU852045:UOU852047 UYQ852045:UYQ852047 VIM852045:VIM852047 VSI852045:VSI852047 WCE852045:WCE852047 WMA852045:WMA852047 WVW852045:WVW852047 N917581:N917583 JK917581:JK917583 TG917581:TG917583 ADC917581:ADC917583 AMY917581:AMY917583 AWU917581:AWU917583 BGQ917581:BGQ917583 BQM917581:BQM917583 CAI917581:CAI917583 CKE917581:CKE917583 CUA917581:CUA917583 DDW917581:DDW917583 DNS917581:DNS917583 DXO917581:DXO917583 EHK917581:EHK917583 ERG917581:ERG917583 FBC917581:FBC917583 FKY917581:FKY917583 FUU917581:FUU917583 GEQ917581:GEQ917583 GOM917581:GOM917583 GYI917581:GYI917583 HIE917581:HIE917583 HSA917581:HSA917583 IBW917581:IBW917583 ILS917581:ILS917583 IVO917581:IVO917583 JFK917581:JFK917583 JPG917581:JPG917583 JZC917581:JZC917583 KIY917581:KIY917583 KSU917581:KSU917583 LCQ917581:LCQ917583 LMM917581:LMM917583 LWI917581:LWI917583 MGE917581:MGE917583 MQA917581:MQA917583 MZW917581:MZW917583 NJS917581:NJS917583 NTO917581:NTO917583 ODK917581:ODK917583 ONG917581:ONG917583 OXC917581:OXC917583 PGY917581:PGY917583 PQU917581:PQU917583 QAQ917581:QAQ917583 QKM917581:QKM917583 QUI917581:QUI917583 REE917581:REE917583 ROA917581:ROA917583 RXW917581:RXW917583 SHS917581:SHS917583 SRO917581:SRO917583 TBK917581:TBK917583 TLG917581:TLG917583 TVC917581:TVC917583 UEY917581:UEY917583 UOU917581:UOU917583 UYQ917581:UYQ917583 VIM917581:VIM917583 VSI917581:VSI917583 WCE917581:WCE917583 WMA917581:WMA917583 WVW917581:WVW917583 N983117:N983119 JK983117:JK983119 TG983117:TG983119 ADC983117:ADC983119 AMY983117:AMY983119 AWU983117:AWU983119 BGQ983117:BGQ983119 BQM983117:BQM983119 CAI983117:CAI983119 CKE983117:CKE983119 CUA983117:CUA983119 DDW983117:DDW983119 DNS983117:DNS983119 DXO983117:DXO983119 EHK983117:EHK983119 ERG983117:ERG983119 FBC983117:FBC983119 FKY983117:FKY983119 FUU983117:FUU983119 GEQ983117:GEQ983119 GOM983117:GOM983119 GYI983117:GYI983119 HIE983117:HIE983119 HSA983117:HSA983119 IBW983117:IBW983119 ILS983117:ILS983119 IVO983117:IVO983119 JFK983117:JFK983119 JPG983117:JPG983119 JZC983117:JZC983119 KIY983117:KIY983119 KSU983117:KSU983119 LCQ983117:LCQ983119 LMM983117:LMM983119 LWI983117:LWI983119 MGE983117:MGE983119 MQA983117:MQA983119 MZW983117:MZW983119 NJS983117:NJS983119 NTO983117:NTO983119 ODK983117:ODK983119 ONG983117:ONG983119 OXC983117:OXC983119 PGY983117:PGY983119 PQU983117:PQU983119 QAQ983117:QAQ983119 QKM983117:QKM983119 QUI983117:QUI983119 REE983117:REE983119 ROA983117:ROA983119 RXW983117:RXW983119 SHS983117:SHS983119 SRO983117:SRO983119 TBK983117:TBK983119 TLG983117:TLG983119 TVC983117:TVC983119 UEY983117:UEY983119 UOU983117:UOU983119 UYQ983117:UYQ983119 VIM983117:VIM983119 VSI983117:VSI983119 WCE983117:WCE983119 WMA983117:WMA983119 WVW983117:WVW983119 UOU983081:UOU983084 JK60:JK61 TG60:TG61 ADC60:ADC61 AMY60:AMY61 AWU60:AWU61 BGQ60:BGQ61 BQM60:BQM61 CAI60:CAI61 CKE60:CKE61 CUA60:CUA61 DDW60:DDW61 DNS60:DNS61 DXO60:DXO61 EHK60:EHK61 ERG60:ERG61 FBC60:FBC61 FKY60:FKY61 FUU60:FUU61 GEQ60:GEQ61 GOM60:GOM61 GYI60:GYI61 HIE60:HIE61 HSA60:HSA61 IBW60:IBW61 ILS60:ILS61 IVO60:IVO61 JFK60:JFK61 JPG60:JPG61 JZC60:JZC61 KIY60:KIY61 KSU60:KSU61 LCQ60:LCQ61 LMM60:LMM61 LWI60:LWI61 MGE60:MGE61 MQA60:MQA61 MZW60:MZW61 NJS60:NJS61 NTO60:NTO61 ODK60:ODK61 ONG60:ONG61 OXC60:OXC61 PGY60:PGY61 PQU60:PQU61 QAQ60:QAQ61 QKM60:QKM61 QUI60:QUI61 REE60:REE61 ROA60:ROA61 RXW60:RXW61 SHS60:SHS61 SRO60:SRO61 TBK60:TBK61 TLG60:TLG61 TVC60:TVC61 UEY60:UEY61 UOU60:UOU61 UYQ60:UYQ61 VIM60:VIM61 VSI60:VSI61 WCE60:WCE61 WMA60:WMA61 WVW60:WVW61 N65598:N65599 JK65598:JK65599 TG65598:TG65599 ADC65598:ADC65599 AMY65598:AMY65599 AWU65598:AWU65599 BGQ65598:BGQ65599 BQM65598:BQM65599 CAI65598:CAI65599 CKE65598:CKE65599 CUA65598:CUA65599 DDW65598:DDW65599 DNS65598:DNS65599 DXO65598:DXO65599 EHK65598:EHK65599 ERG65598:ERG65599 FBC65598:FBC65599 FKY65598:FKY65599 FUU65598:FUU65599 GEQ65598:GEQ65599 GOM65598:GOM65599 GYI65598:GYI65599 HIE65598:HIE65599 HSA65598:HSA65599 IBW65598:IBW65599 ILS65598:ILS65599 IVO65598:IVO65599 JFK65598:JFK65599 JPG65598:JPG65599 JZC65598:JZC65599 KIY65598:KIY65599 KSU65598:KSU65599 LCQ65598:LCQ65599 LMM65598:LMM65599 LWI65598:LWI65599 MGE65598:MGE65599 MQA65598:MQA65599 MZW65598:MZW65599 NJS65598:NJS65599 NTO65598:NTO65599 ODK65598:ODK65599 ONG65598:ONG65599 OXC65598:OXC65599 PGY65598:PGY65599 PQU65598:PQU65599 QAQ65598:QAQ65599 QKM65598:QKM65599 QUI65598:QUI65599 REE65598:REE65599 ROA65598:ROA65599 RXW65598:RXW65599 SHS65598:SHS65599 SRO65598:SRO65599 TBK65598:TBK65599 TLG65598:TLG65599 TVC65598:TVC65599 UEY65598:UEY65599 UOU65598:UOU65599 UYQ65598:UYQ65599 VIM65598:VIM65599 VSI65598:VSI65599 WCE65598:WCE65599 WMA65598:WMA65599 WVW65598:WVW65599 N131134:N131135 JK131134:JK131135 TG131134:TG131135 ADC131134:ADC131135 AMY131134:AMY131135 AWU131134:AWU131135 BGQ131134:BGQ131135 BQM131134:BQM131135 CAI131134:CAI131135 CKE131134:CKE131135 CUA131134:CUA131135 DDW131134:DDW131135 DNS131134:DNS131135 DXO131134:DXO131135 EHK131134:EHK131135 ERG131134:ERG131135 FBC131134:FBC131135 FKY131134:FKY131135 FUU131134:FUU131135 GEQ131134:GEQ131135 GOM131134:GOM131135 GYI131134:GYI131135 HIE131134:HIE131135 HSA131134:HSA131135 IBW131134:IBW131135 ILS131134:ILS131135 IVO131134:IVO131135 JFK131134:JFK131135 JPG131134:JPG131135 JZC131134:JZC131135 KIY131134:KIY131135 KSU131134:KSU131135 LCQ131134:LCQ131135 LMM131134:LMM131135 LWI131134:LWI131135 MGE131134:MGE131135 MQA131134:MQA131135 MZW131134:MZW131135 NJS131134:NJS131135 NTO131134:NTO131135 ODK131134:ODK131135 ONG131134:ONG131135 OXC131134:OXC131135 PGY131134:PGY131135 PQU131134:PQU131135 QAQ131134:QAQ131135 QKM131134:QKM131135 QUI131134:QUI131135 REE131134:REE131135 ROA131134:ROA131135 RXW131134:RXW131135 SHS131134:SHS131135 SRO131134:SRO131135 TBK131134:TBK131135 TLG131134:TLG131135 TVC131134:TVC131135 UEY131134:UEY131135 UOU131134:UOU131135 UYQ131134:UYQ131135 VIM131134:VIM131135 VSI131134:VSI131135 WCE131134:WCE131135 WMA131134:WMA131135 WVW131134:WVW131135 N196670:N196671 JK196670:JK196671 TG196670:TG196671 ADC196670:ADC196671 AMY196670:AMY196671 AWU196670:AWU196671 BGQ196670:BGQ196671 BQM196670:BQM196671 CAI196670:CAI196671 CKE196670:CKE196671 CUA196670:CUA196671 DDW196670:DDW196671 DNS196670:DNS196671 DXO196670:DXO196671 EHK196670:EHK196671 ERG196670:ERG196671 FBC196670:FBC196671 FKY196670:FKY196671 FUU196670:FUU196671 GEQ196670:GEQ196671 GOM196670:GOM196671 GYI196670:GYI196671 HIE196670:HIE196671 HSA196670:HSA196671 IBW196670:IBW196671 ILS196670:ILS196671 IVO196670:IVO196671 JFK196670:JFK196671 JPG196670:JPG196671 JZC196670:JZC196671 KIY196670:KIY196671 KSU196670:KSU196671 LCQ196670:LCQ196671 LMM196670:LMM196671 LWI196670:LWI196671 MGE196670:MGE196671 MQA196670:MQA196671 MZW196670:MZW196671 NJS196670:NJS196671 NTO196670:NTO196671 ODK196670:ODK196671 ONG196670:ONG196671 OXC196670:OXC196671 PGY196670:PGY196671 PQU196670:PQU196671 QAQ196670:QAQ196671 QKM196670:QKM196671 QUI196670:QUI196671 REE196670:REE196671 ROA196670:ROA196671 RXW196670:RXW196671 SHS196670:SHS196671 SRO196670:SRO196671 TBK196670:TBK196671 TLG196670:TLG196671 TVC196670:TVC196671 UEY196670:UEY196671 UOU196670:UOU196671 UYQ196670:UYQ196671 VIM196670:VIM196671 VSI196670:VSI196671 WCE196670:WCE196671 WMA196670:WMA196671 WVW196670:WVW196671 N262206:N262207 JK262206:JK262207 TG262206:TG262207 ADC262206:ADC262207 AMY262206:AMY262207 AWU262206:AWU262207 BGQ262206:BGQ262207 BQM262206:BQM262207 CAI262206:CAI262207 CKE262206:CKE262207 CUA262206:CUA262207 DDW262206:DDW262207 DNS262206:DNS262207 DXO262206:DXO262207 EHK262206:EHK262207 ERG262206:ERG262207 FBC262206:FBC262207 FKY262206:FKY262207 FUU262206:FUU262207 GEQ262206:GEQ262207 GOM262206:GOM262207 GYI262206:GYI262207 HIE262206:HIE262207 HSA262206:HSA262207 IBW262206:IBW262207 ILS262206:ILS262207 IVO262206:IVO262207 JFK262206:JFK262207 JPG262206:JPG262207 JZC262206:JZC262207 KIY262206:KIY262207 KSU262206:KSU262207 LCQ262206:LCQ262207 LMM262206:LMM262207 LWI262206:LWI262207 MGE262206:MGE262207 MQA262206:MQA262207 MZW262206:MZW262207 NJS262206:NJS262207 NTO262206:NTO262207 ODK262206:ODK262207 ONG262206:ONG262207 OXC262206:OXC262207 PGY262206:PGY262207 PQU262206:PQU262207 QAQ262206:QAQ262207 QKM262206:QKM262207 QUI262206:QUI262207 REE262206:REE262207 ROA262206:ROA262207 RXW262206:RXW262207 SHS262206:SHS262207 SRO262206:SRO262207 TBK262206:TBK262207 TLG262206:TLG262207 TVC262206:TVC262207 UEY262206:UEY262207 UOU262206:UOU262207 UYQ262206:UYQ262207 VIM262206:VIM262207 VSI262206:VSI262207 WCE262206:WCE262207 WMA262206:WMA262207 WVW262206:WVW262207 N327742:N327743 JK327742:JK327743 TG327742:TG327743 ADC327742:ADC327743 AMY327742:AMY327743 AWU327742:AWU327743 BGQ327742:BGQ327743 BQM327742:BQM327743 CAI327742:CAI327743 CKE327742:CKE327743 CUA327742:CUA327743 DDW327742:DDW327743 DNS327742:DNS327743 DXO327742:DXO327743 EHK327742:EHK327743 ERG327742:ERG327743 FBC327742:FBC327743 FKY327742:FKY327743 FUU327742:FUU327743 GEQ327742:GEQ327743 GOM327742:GOM327743 GYI327742:GYI327743 HIE327742:HIE327743 HSA327742:HSA327743 IBW327742:IBW327743 ILS327742:ILS327743 IVO327742:IVO327743 JFK327742:JFK327743 JPG327742:JPG327743 JZC327742:JZC327743 KIY327742:KIY327743 KSU327742:KSU327743 LCQ327742:LCQ327743 LMM327742:LMM327743 LWI327742:LWI327743 MGE327742:MGE327743 MQA327742:MQA327743 MZW327742:MZW327743 NJS327742:NJS327743 NTO327742:NTO327743 ODK327742:ODK327743 ONG327742:ONG327743 OXC327742:OXC327743 PGY327742:PGY327743 PQU327742:PQU327743 QAQ327742:QAQ327743 QKM327742:QKM327743 QUI327742:QUI327743 REE327742:REE327743 ROA327742:ROA327743 RXW327742:RXW327743 SHS327742:SHS327743 SRO327742:SRO327743 TBK327742:TBK327743 TLG327742:TLG327743 TVC327742:TVC327743 UEY327742:UEY327743 UOU327742:UOU327743 UYQ327742:UYQ327743 VIM327742:VIM327743 VSI327742:VSI327743 WCE327742:WCE327743 WMA327742:WMA327743 WVW327742:WVW327743 N393278:N393279 JK393278:JK393279 TG393278:TG393279 ADC393278:ADC393279 AMY393278:AMY393279 AWU393278:AWU393279 BGQ393278:BGQ393279 BQM393278:BQM393279 CAI393278:CAI393279 CKE393278:CKE393279 CUA393278:CUA393279 DDW393278:DDW393279 DNS393278:DNS393279 DXO393278:DXO393279 EHK393278:EHK393279 ERG393278:ERG393279 FBC393278:FBC393279 FKY393278:FKY393279 FUU393278:FUU393279 GEQ393278:GEQ393279 GOM393278:GOM393279 GYI393278:GYI393279 HIE393278:HIE393279 HSA393278:HSA393279 IBW393278:IBW393279 ILS393278:ILS393279 IVO393278:IVO393279 JFK393278:JFK393279 JPG393278:JPG393279 JZC393278:JZC393279 KIY393278:KIY393279 KSU393278:KSU393279 LCQ393278:LCQ393279 LMM393278:LMM393279 LWI393278:LWI393279 MGE393278:MGE393279 MQA393278:MQA393279 MZW393278:MZW393279 NJS393278:NJS393279 NTO393278:NTO393279 ODK393278:ODK393279 ONG393278:ONG393279 OXC393278:OXC393279 PGY393278:PGY393279 PQU393278:PQU393279 QAQ393278:QAQ393279 QKM393278:QKM393279 QUI393278:QUI393279 REE393278:REE393279 ROA393278:ROA393279 RXW393278:RXW393279 SHS393278:SHS393279 SRO393278:SRO393279 TBK393278:TBK393279 TLG393278:TLG393279 TVC393278:TVC393279 UEY393278:UEY393279 UOU393278:UOU393279 UYQ393278:UYQ393279 VIM393278:VIM393279 VSI393278:VSI393279 WCE393278:WCE393279 WMA393278:WMA393279 WVW393278:WVW393279 N458814:N458815 JK458814:JK458815 TG458814:TG458815 ADC458814:ADC458815 AMY458814:AMY458815 AWU458814:AWU458815 BGQ458814:BGQ458815 BQM458814:BQM458815 CAI458814:CAI458815 CKE458814:CKE458815 CUA458814:CUA458815 DDW458814:DDW458815 DNS458814:DNS458815 DXO458814:DXO458815 EHK458814:EHK458815 ERG458814:ERG458815 FBC458814:FBC458815 FKY458814:FKY458815 FUU458814:FUU458815 GEQ458814:GEQ458815 GOM458814:GOM458815 GYI458814:GYI458815 HIE458814:HIE458815 HSA458814:HSA458815 IBW458814:IBW458815 ILS458814:ILS458815 IVO458814:IVO458815 JFK458814:JFK458815 JPG458814:JPG458815 JZC458814:JZC458815 KIY458814:KIY458815 KSU458814:KSU458815 LCQ458814:LCQ458815 LMM458814:LMM458815 LWI458814:LWI458815 MGE458814:MGE458815 MQA458814:MQA458815 MZW458814:MZW458815 NJS458814:NJS458815 NTO458814:NTO458815 ODK458814:ODK458815 ONG458814:ONG458815 OXC458814:OXC458815 PGY458814:PGY458815 PQU458814:PQU458815 QAQ458814:QAQ458815 QKM458814:QKM458815 QUI458814:QUI458815 REE458814:REE458815 ROA458814:ROA458815 RXW458814:RXW458815 SHS458814:SHS458815 SRO458814:SRO458815 TBK458814:TBK458815 TLG458814:TLG458815 TVC458814:TVC458815 UEY458814:UEY458815 UOU458814:UOU458815 UYQ458814:UYQ458815 VIM458814:VIM458815 VSI458814:VSI458815 WCE458814:WCE458815 WMA458814:WMA458815 WVW458814:WVW458815 N524350:N524351 JK524350:JK524351 TG524350:TG524351 ADC524350:ADC524351 AMY524350:AMY524351 AWU524350:AWU524351 BGQ524350:BGQ524351 BQM524350:BQM524351 CAI524350:CAI524351 CKE524350:CKE524351 CUA524350:CUA524351 DDW524350:DDW524351 DNS524350:DNS524351 DXO524350:DXO524351 EHK524350:EHK524351 ERG524350:ERG524351 FBC524350:FBC524351 FKY524350:FKY524351 FUU524350:FUU524351 GEQ524350:GEQ524351 GOM524350:GOM524351 GYI524350:GYI524351 HIE524350:HIE524351 HSA524350:HSA524351 IBW524350:IBW524351 ILS524350:ILS524351 IVO524350:IVO524351 JFK524350:JFK524351 JPG524350:JPG524351 JZC524350:JZC524351 KIY524350:KIY524351 KSU524350:KSU524351 LCQ524350:LCQ524351 LMM524350:LMM524351 LWI524350:LWI524351 MGE524350:MGE524351 MQA524350:MQA524351 MZW524350:MZW524351 NJS524350:NJS524351 NTO524350:NTO524351 ODK524350:ODK524351 ONG524350:ONG524351 OXC524350:OXC524351 PGY524350:PGY524351 PQU524350:PQU524351 QAQ524350:QAQ524351 QKM524350:QKM524351 QUI524350:QUI524351 REE524350:REE524351 ROA524350:ROA524351 RXW524350:RXW524351 SHS524350:SHS524351 SRO524350:SRO524351 TBK524350:TBK524351 TLG524350:TLG524351 TVC524350:TVC524351 UEY524350:UEY524351 UOU524350:UOU524351 UYQ524350:UYQ524351 VIM524350:VIM524351 VSI524350:VSI524351 WCE524350:WCE524351 WMA524350:WMA524351 WVW524350:WVW524351 N589886:N589887 JK589886:JK589887 TG589886:TG589887 ADC589886:ADC589887 AMY589886:AMY589887 AWU589886:AWU589887 BGQ589886:BGQ589887 BQM589886:BQM589887 CAI589886:CAI589887 CKE589886:CKE589887 CUA589886:CUA589887 DDW589886:DDW589887 DNS589886:DNS589887 DXO589886:DXO589887 EHK589886:EHK589887 ERG589886:ERG589887 FBC589886:FBC589887 FKY589886:FKY589887 FUU589886:FUU589887 GEQ589886:GEQ589887 GOM589886:GOM589887 GYI589886:GYI589887 HIE589886:HIE589887 HSA589886:HSA589887 IBW589886:IBW589887 ILS589886:ILS589887 IVO589886:IVO589887 JFK589886:JFK589887 JPG589886:JPG589887 JZC589886:JZC589887 KIY589886:KIY589887 KSU589886:KSU589887 LCQ589886:LCQ589887 LMM589886:LMM589887 LWI589886:LWI589887 MGE589886:MGE589887 MQA589886:MQA589887 MZW589886:MZW589887 NJS589886:NJS589887 NTO589886:NTO589887 ODK589886:ODK589887 ONG589886:ONG589887 OXC589886:OXC589887 PGY589886:PGY589887 PQU589886:PQU589887 QAQ589886:QAQ589887 QKM589886:QKM589887 QUI589886:QUI589887 REE589886:REE589887 ROA589886:ROA589887 RXW589886:RXW589887 SHS589886:SHS589887 SRO589886:SRO589887 TBK589886:TBK589887 TLG589886:TLG589887 TVC589886:TVC589887 UEY589886:UEY589887 UOU589886:UOU589887 UYQ589886:UYQ589887 VIM589886:VIM589887 VSI589886:VSI589887 WCE589886:WCE589887 WMA589886:WMA589887 WVW589886:WVW589887 N655422:N655423 JK655422:JK655423 TG655422:TG655423 ADC655422:ADC655423 AMY655422:AMY655423 AWU655422:AWU655423 BGQ655422:BGQ655423 BQM655422:BQM655423 CAI655422:CAI655423 CKE655422:CKE655423 CUA655422:CUA655423 DDW655422:DDW655423 DNS655422:DNS655423 DXO655422:DXO655423 EHK655422:EHK655423 ERG655422:ERG655423 FBC655422:FBC655423 FKY655422:FKY655423 FUU655422:FUU655423 GEQ655422:GEQ655423 GOM655422:GOM655423 GYI655422:GYI655423 HIE655422:HIE655423 HSA655422:HSA655423 IBW655422:IBW655423 ILS655422:ILS655423 IVO655422:IVO655423 JFK655422:JFK655423 JPG655422:JPG655423 JZC655422:JZC655423 KIY655422:KIY655423 KSU655422:KSU655423 LCQ655422:LCQ655423 LMM655422:LMM655423 LWI655422:LWI655423 MGE655422:MGE655423 MQA655422:MQA655423 MZW655422:MZW655423 NJS655422:NJS655423 NTO655422:NTO655423 ODK655422:ODK655423 ONG655422:ONG655423 OXC655422:OXC655423 PGY655422:PGY655423 PQU655422:PQU655423 QAQ655422:QAQ655423 QKM655422:QKM655423 QUI655422:QUI655423 REE655422:REE655423 ROA655422:ROA655423 RXW655422:RXW655423 SHS655422:SHS655423 SRO655422:SRO655423 TBK655422:TBK655423 TLG655422:TLG655423 TVC655422:TVC655423 UEY655422:UEY655423 UOU655422:UOU655423 UYQ655422:UYQ655423 VIM655422:VIM655423 VSI655422:VSI655423 WCE655422:WCE655423 WMA655422:WMA655423 WVW655422:WVW655423 N720958:N720959 JK720958:JK720959 TG720958:TG720959 ADC720958:ADC720959 AMY720958:AMY720959 AWU720958:AWU720959 BGQ720958:BGQ720959 BQM720958:BQM720959 CAI720958:CAI720959 CKE720958:CKE720959 CUA720958:CUA720959 DDW720958:DDW720959 DNS720958:DNS720959 DXO720958:DXO720959 EHK720958:EHK720959 ERG720958:ERG720959 FBC720958:FBC720959 FKY720958:FKY720959 FUU720958:FUU720959 GEQ720958:GEQ720959 GOM720958:GOM720959 GYI720958:GYI720959 HIE720958:HIE720959 HSA720958:HSA720959 IBW720958:IBW720959 ILS720958:ILS720959 IVO720958:IVO720959 JFK720958:JFK720959 JPG720958:JPG720959 JZC720958:JZC720959 KIY720958:KIY720959 KSU720958:KSU720959 LCQ720958:LCQ720959 LMM720958:LMM720959 LWI720958:LWI720959 MGE720958:MGE720959 MQA720958:MQA720959 MZW720958:MZW720959 NJS720958:NJS720959 NTO720958:NTO720959 ODK720958:ODK720959 ONG720958:ONG720959 OXC720958:OXC720959 PGY720958:PGY720959 PQU720958:PQU720959 QAQ720958:QAQ720959 QKM720958:QKM720959 QUI720958:QUI720959 REE720958:REE720959 ROA720958:ROA720959 RXW720958:RXW720959 SHS720958:SHS720959 SRO720958:SRO720959 TBK720958:TBK720959 TLG720958:TLG720959 TVC720958:TVC720959 UEY720958:UEY720959 UOU720958:UOU720959 UYQ720958:UYQ720959 VIM720958:VIM720959 VSI720958:VSI720959 WCE720958:WCE720959 WMA720958:WMA720959 WVW720958:WVW720959 N786494:N786495 JK786494:JK786495 TG786494:TG786495 ADC786494:ADC786495 AMY786494:AMY786495 AWU786494:AWU786495 BGQ786494:BGQ786495 BQM786494:BQM786495 CAI786494:CAI786495 CKE786494:CKE786495 CUA786494:CUA786495 DDW786494:DDW786495 DNS786494:DNS786495 DXO786494:DXO786495 EHK786494:EHK786495 ERG786494:ERG786495 FBC786494:FBC786495 FKY786494:FKY786495 FUU786494:FUU786495 GEQ786494:GEQ786495 GOM786494:GOM786495 GYI786494:GYI786495 HIE786494:HIE786495 HSA786494:HSA786495 IBW786494:IBW786495 ILS786494:ILS786495 IVO786494:IVO786495 JFK786494:JFK786495 JPG786494:JPG786495 JZC786494:JZC786495 KIY786494:KIY786495 KSU786494:KSU786495 LCQ786494:LCQ786495 LMM786494:LMM786495 LWI786494:LWI786495 MGE786494:MGE786495 MQA786494:MQA786495 MZW786494:MZW786495 NJS786494:NJS786495 NTO786494:NTO786495 ODK786494:ODK786495 ONG786494:ONG786495 OXC786494:OXC786495 PGY786494:PGY786495 PQU786494:PQU786495 QAQ786494:QAQ786495 QKM786494:QKM786495 QUI786494:QUI786495 REE786494:REE786495 ROA786494:ROA786495 RXW786494:RXW786495 SHS786494:SHS786495 SRO786494:SRO786495 TBK786494:TBK786495 TLG786494:TLG786495 TVC786494:TVC786495 UEY786494:UEY786495 UOU786494:UOU786495 UYQ786494:UYQ786495 VIM786494:VIM786495 VSI786494:VSI786495 WCE786494:WCE786495 WMA786494:WMA786495 WVW786494:WVW786495 N852030:N852031 JK852030:JK852031 TG852030:TG852031 ADC852030:ADC852031 AMY852030:AMY852031 AWU852030:AWU852031 BGQ852030:BGQ852031 BQM852030:BQM852031 CAI852030:CAI852031 CKE852030:CKE852031 CUA852030:CUA852031 DDW852030:DDW852031 DNS852030:DNS852031 DXO852030:DXO852031 EHK852030:EHK852031 ERG852030:ERG852031 FBC852030:FBC852031 FKY852030:FKY852031 FUU852030:FUU852031 GEQ852030:GEQ852031 GOM852030:GOM852031 GYI852030:GYI852031 HIE852030:HIE852031 HSA852030:HSA852031 IBW852030:IBW852031 ILS852030:ILS852031 IVO852030:IVO852031 JFK852030:JFK852031 JPG852030:JPG852031 JZC852030:JZC852031 KIY852030:KIY852031 KSU852030:KSU852031 LCQ852030:LCQ852031 LMM852030:LMM852031 LWI852030:LWI852031 MGE852030:MGE852031 MQA852030:MQA852031 MZW852030:MZW852031 NJS852030:NJS852031 NTO852030:NTO852031 ODK852030:ODK852031 ONG852030:ONG852031 OXC852030:OXC852031 PGY852030:PGY852031 PQU852030:PQU852031 QAQ852030:QAQ852031 QKM852030:QKM852031 QUI852030:QUI852031 REE852030:REE852031 ROA852030:ROA852031 RXW852030:RXW852031 SHS852030:SHS852031 SRO852030:SRO852031 TBK852030:TBK852031 TLG852030:TLG852031 TVC852030:TVC852031 UEY852030:UEY852031 UOU852030:UOU852031 UYQ852030:UYQ852031 VIM852030:VIM852031 VSI852030:VSI852031 WCE852030:WCE852031 WMA852030:WMA852031 WVW852030:WVW852031 N917566:N917567 JK917566:JK917567 TG917566:TG917567 ADC917566:ADC917567 AMY917566:AMY917567 AWU917566:AWU917567 BGQ917566:BGQ917567 BQM917566:BQM917567 CAI917566:CAI917567 CKE917566:CKE917567 CUA917566:CUA917567 DDW917566:DDW917567 DNS917566:DNS917567 DXO917566:DXO917567 EHK917566:EHK917567 ERG917566:ERG917567 FBC917566:FBC917567 FKY917566:FKY917567 FUU917566:FUU917567 GEQ917566:GEQ917567 GOM917566:GOM917567 GYI917566:GYI917567 HIE917566:HIE917567 HSA917566:HSA917567 IBW917566:IBW917567 ILS917566:ILS917567 IVO917566:IVO917567 JFK917566:JFK917567 JPG917566:JPG917567 JZC917566:JZC917567 KIY917566:KIY917567 KSU917566:KSU917567 LCQ917566:LCQ917567 LMM917566:LMM917567 LWI917566:LWI917567 MGE917566:MGE917567 MQA917566:MQA917567 MZW917566:MZW917567 NJS917566:NJS917567 NTO917566:NTO917567 ODK917566:ODK917567 ONG917566:ONG917567 OXC917566:OXC917567 PGY917566:PGY917567 PQU917566:PQU917567 QAQ917566:QAQ917567 QKM917566:QKM917567 QUI917566:QUI917567 REE917566:REE917567 ROA917566:ROA917567 RXW917566:RXW917567 SHS917566:SHS917567 SRO917566:SRO917567 TBK917566:TBK917567 TLG917566:TLG917567 TVC917566:TVC917567 UEY917566:UEY917567 UOU917566:UOU917567 UYQ917566:UYQ917567 VIM917566:VIM917567 VSI917566:VSI917567 WCE917566:WCE917567 WMA917566:WMA917567 WVW917566:WVW917567 N983102:N983103 JK983102:JK983103 TG983102:TG983103 ADC983102:ADC983103 AMY983102:AMY983103 AWU983102:AWU983103 BGQ983102:BGQ983103 BQM983102:BQM983103 CAI983102:CAI983103 CKE983102:CKE983103 CUA983102:CUA983103 DDW983102:DDW983103 DNS983102:DNS983103 DXO983102:DXO983103 EHK983102:EHK983103 ERG983102:ERG983103 FBC983102:FBC983103 FKY983102:FKY983103 FUU983102:FUU983103 GEQ983102:GEQ983103 GOM983102:GOM983103 GYI983102:GYI983103 HIE983102:HIE983103 HSA983102:HSA983103 IBW983102:IBW983103 ILS983102:ILS983103 IVO983102:IVO983103 JFK983102:JFK983103 JPG983102:JPG983103 JZC983102:JZC983103 KIY983102:KIY983103 KSU983102:KSU983103 LCQ983102:LCQ983103 LMM983102:LMM983103 LWI983102:LWI983103 MGE983102:MGE983103 MQA983102:MQA983103 MZW983102:MZW983103 NJS983102:NJS983103 NTO983102:NTO983103 ODK983102:ODK983103 ONG983102:ONG983103 OXC983102:OXC983103 PGY983102:PGY983103 PQU983102:PQU983103 QAQ983102:QAQ983103 QKM983102:QKM983103 QUI983102:QUI983103 REE983102:REE983103 ROA983102:ROA983103 RXW983102:RXW983103 SHS983102:SHS983103 SRO983102:SRO983103 TBK983102:TBK983103 TLG983102:TLG983103 TVC983102:TVC983103 UEY983102:UEY983103 UOU983102:UOU983103 UYQ983102:UYQ983103 VIM983102:VIM983103 VSI983102:VSI983103 WCE983102:WCE983103 WMA983102:WMA983103 WVW983102:WVW983103 WVW983081:WVW983084 JE30:JE34 TA30:TA34 ACW30:ACW34 AMS30:AMS34 AWO30:AWO34 BGK30:BGK34 BQG30:BQG34 CAC30:CAC34 CJY30:CJY34 CTU30:CTU34 DDQ30:DDQ34 DNM30:DNM34 DXI30:DXI34 EHE30:EHE34 ERA30:ERA34 FAW30:FAW34 FKS30:FKS34 FUO30:FUO34 GEK30:GEK34 GOG30:GOG34 GYC30:GYC34 HHY30:HHY34 HRU30:HRU34 IBQ30:IBQ34 ILM30:ILM34 IVI30:IVI34 JFE30:JFE34 JPA30:JPA34 JYW30:JYW34 KIS30:KIS34 KSO30:KSO34 LCK30:LCK34 LMG30:LMG34 LWC30:LWC34 MFY30:MFY34 MPU30:MPU34 MZQ30:MZQ34 NJM30:NJM34 NTI30:NTI34 ODE30:ODE34 ONA30:ONA34 OWW30:OWW34 PGS30:PGS34 PQO30:PQO34 QAK30:QAK34 QKG30:QKG34 QUC30:QUC34 RDY30:RDY34 RNU30:RNU34 RXQ30:RXQ34 SHM30:SHM34 SRI30:SRI34 TBE30:TBE34 TLA30:TLA34 TUW30:TUW34 UES30:UES34 UOO30:UOO34 UYK30:UYK34 VIG30:VIG34 VSC30:VSC34 WBY30:WBY34 WLU30:WLU34 WVQ30:WVQ34 H65568:H65572 JE65568:JE65572 TA65568:TA65572 ACW65568:ACW65572 AMS65568:AMS65572 AWO65568:AWO65572 BGK65568:BGK65572 BQG65568:BQG65572 CAC65568:CAC65572 CJY65568:CJY65572 CTU65568:CTU65572 DDQ65568:DDQ65572 DNM65568:DNM65572 DXI65568:DXI65572 EHE65568:EHE65572 ERA65568:ERA65572 FAW65568:FAW65572 FKS65568:FKS65572 FUO65568:FUO65572 GEK65568:GEK65572 GOG65568:GOG65572 GYC65568:GYC65572 HHY65568:HHY65572 HRU65568:HRU65572 IBQ65568:IBQ65572 ILM65568:ILM65572 IVI65568:IVI65572 JFE65568:JFE65572 JPA65568:JPA65572 JYW65568:JYW65572 KIS65568:KIS65572 KSO65568:KSO65572 LCK65568:LCK65572 LMG65568:LMG65572 LWC65568:LWC65572 MFY65568:MFY65572 MPU65568:MPU65572 MZQ65568:MZQ65572 NJM65568:NJM65572 NTI65568:NTI65572 ODE65568:ODE65572 ONA65568:ONA65572 OWW65568:OWW65572 PGS65568:PGS65572 PQO65568:PQO65572 QAK65568:QAK65572 QKG65568:QKG65572 QUC65568:QUC65572 RDY65568:RDY65572 RNU65568:RNU65572 RXQ65568:RXQ65572 SHM65568:SHM65572 SRI65568:SRI65572 TBE65568:TBE65572 TLA65568:TLA65572 TUW65568:TUW65572 UES65568:UES65572 UOO65568:UOO65572 UYK65568:UYK65572 VIG65568:VIG65572 VSC65568:VSC65572 WBY65568:WBY65572 WLU65568:WLU65572 WVQ65568:WVQ65572 H131104:H131108 JE131104:JE131108 TA131104:TA131108 ACW131104:ACW131108 AMS131104:AMS131108 AWO131104:AWO131108 BGK131104:BGK131108 BQG131104:BQG131108 CAC131104:CAC131108 CJY131104:CJY131108 CTU131104:CTU131108 DDQ131104:DDQ131108 DNM131104:DNM131108 DXI131104:DXI131108 EHE131104:EHE131108 ERA131104:ERA131108 FAW131104:FAW131108 FKS131104:FKS131108 FUO131104:FUO131108 GEK131104:GEK131108 GOG131104:GOG131108 GYC131104:GYC131108 HHY131104:HHY131108 HRU131104:HRU131108 IBQ131104:IBQ131108 ILM131104:ILM131108 IVI131104:IVI131108 JFE131104:JFE131108 JPA131104:JPA131108 JYW131104:JYW131108 KIS131104:KIS131108 KSO131104:KSO131108 LCK131104:LCK131108 LMG131104:LMG131108 LWC131104:LWC131108 MFY131104:MFY131108 MPU131104:MPU131108 MZQ131104:MZQ131108 NJM131104:NJM131108 NTI131104:NTI131108 ODE131104:ODE131108 ONA131104:ONA131108 OWW131104:OWW131108 PGS131104:PGS131108 PQO131104:PQO131108 QAK131104:QAK131108 QKG131104:QKG131108 QUC131104:QUC131108 RDY131104:RDY131108 RNU131104:RNU131108 RXQ131104:RXQ131108 SHM131104:SHM131108 SRI131104:SRI131108 TBE131104:TBE131108 TLA131104:TLA131108 TUW131104:TUW131108 UES131104:UES131108 UOO131104:UOO131108 UYK131104:UYK131108 VIG131104:VIG131108 VSC131104:VSC131108 WBY131104:WBY131108 WLU131104:WLU131108 WVQ131104:WVQ131108 H196640:H196644 JE196640:JE196644 TA196640:TA196644 ACW196640:ACW196644 AMS196640:AMS196644 AWO196640:AWO196644 BGK196640:BGK196644 BQG196640:BQG196644 CAC196640:CAC196644 CJY196640:CJY196644 CTU196640:CTU196644 DDQ196640:DDQ196644 DNM196640:DNM196644 DXI196640:DXI196644 EHE196640:EHE196644 ERA196640:ERA196644 FAW196640:FAW196644 FKS196640:FKS196644 FUO196640:FUO196644 GEK196640:GEK196644 GOG196640:GOG196644 GYC196640:GYC196644 HHY196640:HHY196644 HRU196640:HRU196644 IBQ196640:IBQ196644 ILM196640:ILM196644 IVI196640:IVI196644 JFE196640:JFE196644 JPA196640:JPA196644 JYW196640:JYW196644 KIS196640:KIS196644 KSO196640:KSO196644 LCK196640:LCK196644 LMG196640:LMG196644 LWC196640:LWC196644 MFY196640:MFY196644 MPU196640:MPU196644 MZQ196640:MZQ196644 NJM196640:NJM196644 NTI196640:NTI196644 ODE196640:ODE196644 ONA196640:ONA196644 OWW196640:OWW196644 PGS196640:PGS196644 PQO196640:PQO196644 QAK196640:QAK196644 QKG196640:QKG196644 QUC196640:QUC196644 RDY196640:RDY196644 RNU196640:RNU196644 RXQ196640:RXQ196644 SHM196640:SHM196644 SRI196640:SRI196644 TBE196640:TBE196644 TLA196640:TLA196644 TUW196640:TUW196644 UES196640:UES196644 UOO196640:UOO196644 UYK196640:UYK196644 VIG196640:VIG196644 VSC196640:VSC196644 WBY196640:WBY196644 WLU196640:WLU196644 WVQ196640:WVQ196644 H262176:H262180 JE262176:JE262180 TA262176:TA262180 ACW262176:ACW262180 AMS262176:AMS262180 AWO262176:AWO262180 BGK262176:BGK262180 BQG262176:BQG262180 CAC262176:CAC262180 CJY262176:CJY262180 CTU262176:CTU262180 DDQ262176:DDQ262180 DNM262176:DNM262180 DXI262176:DXI262180 EHE262176:EHE262180 ERA262176:ERA262180 FAW262176:FAW262180 FKS262176:FKS262180 FUO262176:FUO262180 GEK262176:GEK262180 GOG262176:GOG262180 GYC262176:GYC262180 HHY262176:HHY262180 HRU262176:HRU262180 IBQ262176:IBQ262180 ILM262176:ILM262180 IVI262176:IVI262180 JFE262176:JFE262180 JPA262176:JPA262180 JYW262176:JYW262180 KIS262176:KIS262180 KSO262176:KSO262180 LCK262176:LCK262180 LMG262176:LMG262180 LWC262176:LWC262180 MFY262176:MFY262180 MPU262176:MPU262180 MZQ262176:MZQ262180 NJM262176:NJM262180 NTI262176:NTI262180 ODE262176:ODE262180 ONA262176:ONA262180 OWW262176:OWW262180 PGS262176:PGS262180 PQO262176:PQO262180 QAK262176:QAK262180 QKG262176:QKG262180 QUC262176:QUC262180 RDY262176:RDY262180 RNU262176:RNU262180 RXQ262176:RXQ262180 SHM262176:SHM262180 SRI262176:SRI262180 TBE262176:TBE262180 TLA262176:TLA262180 TUW262176:TUW262180 UES262176:UES262180 UOO262176:UOO262180 UYK262176:UYK262180 VIG262176:VIG262180 VSC262176:VSC262180 WBY262176:WBY262180 WLU262176:WLU262180 WVQ262176:WVQ262180 H327712:H327716 JE327712:JE327716 TA327712:TA327716 ACW327712:ACW327716 AMS327712:AMS327716 AWO327712:AWO327716 BGK327712:BGK327716 BQG327712:BQG327716 CAC327712:CAC327716 CJY327712:CJY327716 CTU327712:CTU327716 DDQ327712:DDQ327716 DNM327712:DNM327716 DXI327712:DXI327716 EHE327712:EHE327716 ERA327712:ERA327716 FAW327712:FAW327716 FKS327712:FKS327716 FUO327712:FUO327716 GEK327712:GEK327716 GOG327712:GOG327716 GYC327712:GYC327716 HHY327712:HHY327716 HRU327712:HRU327716 IBQ327712:IBQ327716 ILM327712:ILM327716 IVI327712:IVI327716 JFE327712:JFE327716 JPA327712:JPA327716 JYW327712:JYW327716 KIS327712:KIS327716 KSO327712:KSO327716 LCK327712:LCK327716 LMG327712:LMG327716 LWC327712:LWC327716 MFY327712:MFY327716 MPU327712:MPU327716 MZQ327712:MZQ327716 NJM327712:NJM327716 NTI327712:NTI327716 ODE327712:ODE327716 ONA327712:ONA327716 OWW327712:OWW327716 PGS327712:PGS327716 PQO327712:PQO327716 QAK327712:QAK327716 QKG327712:QKG327716 QUC327712:QUC327716 RDY327712:RDY327716 RNU327712:RNU327716 RXQ327712:RXQ327716 SHM327712:SHM327716 SRI327712:SRI327716 TBE327712:TBE327716 TLA327712:TLA327716 TUW327712:TUW327716 UES327712:UES327716 UOO327712:UOO327716 UYK327712:UYK327716 VIG327712:VIG327716 VSC327712:VSC327716 WBY327712:WBY327716 WLU327712:WLU327716 WVQ327712:WVQ327716 H393248:H393252 JE393248:JE393252 TA393248:TA393252 ACW393248:ACW393252 AMS393248:AMS393252 AWO393248:AWO393252 BGK393248:BGK393252 BQG393248:BQG393252 CAC393248:CAC393252 CJY393248:CJY393252 CTU393248:CTU393252 DDQ393248:DDQ393252 DNM393248:DNM393252 DXI393248:DXI393252 EHE393248:EHE393252 ERA393248:ERA393252 FAW393248:FAW393252 FKS393248:FKS393252 FUO393248:FUO393252 GEK393248:GEK393252 GOG393248:GOG393252 GYC393248:GYC393252 HHY393248:HHY393252 HRU393248:HRU393252 IBQ393248:IBQ393252 ILM393248:ILM393252 IVI393248:IVI393252 JFE393248:JFE393252 JPA393248:JPA393252 JYW393248:JYW393252 KIS393248:KIS393252 KSO393248:KSO393252 LCK393248:LCK393252 LMG393248:LMG393252 LWC393248:LWC393252 MFY393248:MFY393252 MPU393248:MPU393252 MZQ393248:MZQ393252 NJM393248:NJM393252 NTI393248:NTI393252 ODE393248:ODE393252 ONA393248:ONA393252 OWW393248:OWW393252 PGS393248:PGS393252 PQO393248:PQO393252 QAK393248:QAK393252 QKG393248:QKG393252 QUC393248:QUC393252 RDY393248:RDY393252 RNU393248:RNU393252 RXQ393248:RXQ393252 SHM393248:SHM393252 SRI393248:SRI393252 TBE393248:TBE393252 TLA393248:TLA393252 TUW393248:TUW393252 UES393248:UES393252 UOO393248:UOO393252 UYK393248:UYK393252 VIG393248:VIG393252 VSC393248:VSC393252 WBY393248:WBY393252 WLU393248:WLU393252 WVQ393248:WVQ393252 H458784:H458788 JE458784:JE458788 TA458784:TA458788 ACW458784:ACW458788 AMS458784:AMS458788 AWO458784:AWO458788 BGK458784:BGK458788 BQG458784:BQG458788 CAC458784:CAC458788 CJY458784:CJY458788 CTU458784:CTU458788 DDQ458784:DDQ458788 DNM458784:DNM458788 DXI458784:DXI458788 EHE458784:EHE458788 ERA458784:ERA458788 FAW458784:FAW458788 FKS458784:FKS458788 FUO458784:FUO458788 GEK458784:GEK458788 GOG458784:GOG458788 GYC458784:GYC458788 HHY458784:HHY458788 HRU458784:HRU458788 IBQ458784:IBQ458788 ILM458784:ILM458788 IVI458784:IVI458788 JFE458784:JFE458788 JPA458784:JPA458788 JYW458784:JYW458788 KIS458784:KIS458788 KSO458784:KSO458788 LCK458784:LCK458788 LMG458784:LMG458788 LWC458784:LWC458788 MFY458784:MFY458788 MPU458784:MPU458788 MZQ458784:MZQ458788 NJM458784:NJM458788 NTI458784:NTI458788 ODE458784:ODE458788 ONA458784:ONA458788 OWW458784:OWW458788 PGS458784:PGS458788 PQO458784:PQO458788 QAK458784:QAK458788 QKG458784:QKG458788 QUC458784:QUC458788 RDY458784:RDY458788 RNU458784:RNU458788 RXQ458784:RXQ458788 SHM458784:SHM458788 SRI458784:SRI458788 TBE458784:TBE458788 TLA458784:TLA458788 TUW458784:TUW458788 UES458784:UES458788 UOO458784:UOO458788 UYK458784:UYK458788 VIG458784:VIG458788 VSC458784:VSC458788 WBY458784:WBY458788 WLU458784:WLU458788 WVQ458784:WVQ458788 H524320:H524324 JE524320:JE524324 TA524320:TA524324 ACW524320:ACW524324 AMS524320:AMS524324 AWO524320:AWO524324 BGK524320:BGK524324 BQG524320:BQG524324 CAC524320:CAC524324 CJY524320:CJY524324 CTU524320:CTU524324 DDQ524320:DDQ524324 DNM524320:DNM524324 DXI524320:DXI524324 EHE524320:EHE524324 ERA524320:ERA524324 FAW524320:FAW524324 FKS524320:FKS524324 FUO524320:FUO524324 GEK524320:GEK524324 GOG524320:GOG524324 GYC524320:GYC524324 HHY524320:HHY524324 HRU524320:HRU524324 IBQ524320:IBQ524324 ILM524320:ILM524324 IVI524320:IVI524324 JFE524320:JFE524324 JPA524320:JPA524324 JYW524320:JYW524324 KIS524320:KIS524324 KSO524320:KSO524324 LCK524320:LCK524324 LMG524320:LMG524324 LWC524320:LWC524324 MFY524320:MFY524324 MPU524320:MPU524324 MZQ524320:MZQ524324 NJM524320:NJM524324 NTI524320:NTI524324 ODE524320:ODE524324 ONA524320:ONA524324 OWW524320:OWW524324 PGS524320:PGS524324 PQO524320:PQO524324 QAK524320:QAK524324 QKG524320:QKG524324 QUC524320:QUC524324 RDY524320:RDY524324 RNU524320:RNU524324 RXQ524320:RXQ524324 SHM524320:SHM524324 SRI524320:SRI524324 TBE524320:TBE524324 TLA524320:TLA524324 TUW524320:TUW524324 UES524320:UES524324 UOO524320:UOO524324 UYK524320:UYK524324 VIG524320:VIG524324 VSC524320:VSC524324 WBY524320:WBY524324 WLU524320:WLU524324 WVQ524320:WVQ524324 H589856:H589860 JE589856:JE589860 TA589856:TA589860 ACW589856:ACW589860 AMS589856:AMS589860 AWO589856:AWO589860 BGK589856:BGK589860 BQG589856:BQG589860 CAC589856:CAC589860 CJY589856:CJY589860 CTU589856:CTU589860 DDQ589856:DDQ589860 DNM589856:DNM589860 DXI589856:DXI589860 EHE589856:EHE589860 ERA589856:ERA589860 FAW589856:FAW589860 FKS589856:FKS589860 FUO589856:FUO589860 GEK589856:GEK589860 GOG589856:GOG589860 GYC589856:GYC589860 HHY589856:HHY589860 HRU589856:HRU589860 IBQ589856:IBQ589860 ILM589856:ILM589860 IVI589856:IVI589860 JFE589856:JFE589860 JPA589856:JPA589860 JYW589856:JYW589860 KIS589856:KIS589860 KSO589856:KSO589860 LCK589856:LCK589860 LMG589856:LMG589860 LWC589856:LWC589860 MFY589856:MFY589860 MPU589856:MPU589860 MZQ589856:MZQ589860 NJM589856:NJM589860 NTI589856:NTI589860 ODE589856:ODE589860 ONA589856:ONA589860 OWW589856:OWW589860 PGS589856:PGS589860 PQO589856:PQO589860 QAK589856:QAK589860 QKG589856:QKG589860 QUC589856:QUC589860 RDY589856:RDY589860 RNU589856:RNU589860 RXQ589856:RXQ589860 SHM589856:SHM589860 SRI589856:SRI589860 TBE589856:TBE589860 TLA589856:TLA589860 TUW589856:TUW589860 UES589856:UES589860 UOO589856:UOO589860 UYK589856:UYK589860 VIG589856:VIG589860 VSC589856:VSC589860 WBY589856:WBY589860 WLU589856:WLU589860 WVQ589856:WVQ589860 H655392:H655396 JE655392:JE655396 TA655392:TA655396 ACW655392:ACW655396 AMS655392:AMS655396 AWO655392:AWO655396 BGK655392:BGK655396 BQG655392:BQG655396 CAC655392:CAC655396 CJY655392:CJY655396 CTU655392:CTU655396 DDQ655392:DDQ655396 DNM655392:DNM655396 DXI655392:DXI655396 EHE655392:EHE655396 ERA655392:ERA655396 FAW655392:FAW655396 FKS655392:FKS655396 FUO655392:FUO655396 GEK655392:GEK655396 GOG655392:GOG655396 GYC655392:GYC655396 HHY655392:HHY655396 HRU655392:HRU655396 IBQ655392:IBQ655396 ILM655392:ILM655396 IVI655392:IVI655396 JFE655392:JFE655396 JPA655392:JPA655396 JYW655392:JYW655396 KIS655392:KIS655396 KSO655392:KSO655396 LCK655392:LCK655396 LMG655392:LMG655396 LWC655392:LWC655396 MFY655392:MFY655396 MPU655392:MPU655396 MZQ655392:MZQ655396 NJM655392:NJM655396 NTI655392:NTI655396 ODE655392:ODE655396 ONA655392:ONA655396 OWW655392:OWW655396 PGS655392:PGS655396 PQO655392:PQO655396 QAK655392:QAK655396 QKG655392:QKG655396 QUC655392:QUC655396 RDY655392:RDY655396 RNU655392:RNU655396 RXQ655392:RXQ655396 SHM655392:SHM655396 SRI655392:SRI655396 TBE655392:TBE655396 TLA655392:TLA655396 TUW655392:TUW655396 UES655392:UES655396 UOO655392:UOO655396 UYK655392:UYK655396 VIG655392:VIG655396 VSC655392:VSC655396 WBY655392:WBY655396 WLU655392:WLU655396 WVQ655392:WVQ655396 H720928:H720932 JE720928:JE720932 TA720928:TA720932 ACW720928:ACW720932 AMS720928:AMS720932 AWO720928:AWO720932 BGK720928:BGK720932 BQG720928:BQG720932 CAC720928:CAC720932 CJY720928:CJY720932 CTU720928:CTU720932 DDQ720928:DDQ720932 DNM720928:DNM720932 DXI720928:DXI720932 EHE720928:EHE720932 ERA720928:ERA720932 FAW720928:FAW720932 FKS720928:FKS720932 FUO720928:FUO720932 GEK720928:GEK720932 GOG720928:GOG720932 GYC720928:GYC720932 HHY720928:HHY720932 HRU720928:HRU720932 IBQ720928:IBQ720932 ILM720928:ILM720932 IVI720928:IVI720932 JFE720928:JFE720932 JPA720928:JPA720932 JYW720928:JYW720932 KIS720928:KIS720932 KSO720928:KSO720932 LCK720928:LCK720932 LMG720928:LMG720932 LWC720928:LWC720932 MFY720928:MFY720932 MPU720928:MPU720932 MZQ720928:MZQ720932 NJM720928:NJM720932 NTI720928:NTI720932 ODE720928:ODE720932 ONA720928:ONA720932 OWW720928:OWW720932 PGS720928:PGS720932 PQO720928:PQO720932 QAK720928:QAK720932 QKG720928:QKG720932 QUC720928:QUC720932 RDY720928:RDY720932 RNU720928:RNU720932 RXQ720928:RXQ720932 SHM720928:SHM720932 SRI720928:SRI720932 TBE720928:TBE720932 TLA720928:TLA720932 TUW720928:TUW720932 UES720928:UES720932 UOO720928:UOO720932 UYK720928:UYK720932 VIG720928:VIG720932 VSC720928:VSC720932 WBY720928:WBY720932 WLU720928:WLU720932 WVQ720928:WVQ720932 H786464:H786468 JE786464:JE786468 TA786464:TA786468 ACW786464:ACW786468 AMS786464:AMS786468 AWO786464:AWO786468 BGK786464:BGK786468 BQG786464:BQG786468 CAC786464:CAC786468 CJY786464:CJY786468 CTU786464:CTU786468 DDQ786464:DDQ786468 DNM786464:DNM786468 DXI786464:DXI786468 EHE786464:EHE786468 ERA786464:ERA786468 FAW786464:FAW786468 FKS786464:FKS786468 FUO786464:FUO786468 GEK786464:GEK786468 GOG786464:GOG786468 GYC786464:GYC786468 HHY786464:HHY786468 HRU786464:HRU786468 IBQ786464:IBQ786468 ILM786464:ILM786468 IVI786464:IVI786468 JFE786464:JFE786468 JPA786464:JPA786468 JYW786464:JYW786468 KIS786464:KIS786468 KSO786464:KSO786468 LCK786464:LCK786468 LMG786464:LMG786468 LWC786464:LWC786468 MFY786464:MFY786468 MPU786464:MPU786468 MZQ786464:MZQ786468 NJM786464:NJM786468 NTI786464:NTI786468 ODE786464:ODE786468 ONA786464:ONA786468 OWW786464:OWW786468 PGS786464:PGS786468 PQO786464:PQO786468 QAK786464:QAK786468 QKG786464:QKG786468 QUC786464:QUC786468 RDY786464:RDY786468 RNU786464:RNU786468 RXQ786464:RXQ786468 SHM786464:SHM786468 SRI786464:SRI786468 TBE786464:TBE786468 TLA786464:TLA786468 TUW786464:TUW786468 UES786464:UES786468 UOO786464:UOO786468 UYK786464:UYK786468 VIG786464:VIG786468 VSC786464:VSC786468 WBY786464:WBY786468 WLU786464:WLU786468 WVQ786464:WVQ786468 H852000:H852004 JE852000:JE852004 TA852000:TA852004 ACW852000:ACW852004 AMS852000:AMS852004 AWO852000:AWO852004 BGK852000:BGK852004 BQG852000:BQG852004 CAC852000:CAC852004 CJY852000:CJY852004 CTU852000:CTU852004 DDQ852000:DDQ852004 DNM852000:DNM852004 DXI852000:DXI852004 EHE852000:EHE852004 ERA852000:ERA852004 FAW852000:FAW852004 FKS852000:FKS852004 FUO852000:FUO852004 GEK852000:GEK852004 GOG852000:GOG852004 GYC852000:GYC852004 HHY852000:HHY852004 HRU852000:HRU852004 IBQ852000:IBQ852004 ILM852000:ILM852004 IVI852000:IVI852004 JFE852000:JFE852004 JPA852000:JPA852004 JYW852000:JYW852004 KIS852000:KIS852004 KSO852000:KSO852004 LCK852000:LCK852004 LMG852000:LMG852004 LWC852000:LWC852004 MFY852000:MFY852004 MPU852000:MPU852004 MZQ852000:MZQ852004 NJM852000:NJM852004 NTI852000:NTI852004 ODE852000:ODE852004 ONA852000:ONA852004 OWW852000:OWW852004 PGS852000:PGS852004 PQO852000:PQO852004 QAK852000:QAK852004 QKG852000:QKG852004 QUC852000:QUC852004 RDY852000:RDY852004 RNU852000:RNU852004 RXQ852000:RXQ852004 SHM852000:SHM852004 SRI852000:SRI852004 TBE852000:TBE852004 TLA852000:TLA852004 TUW852000:TUW852004 UES852000:UES852004 UOO852000:UOO852004 UYK852000:UYK852004 VIG852000:VIG852004 VSC852000:VSC852004 WBY852000:WBY852004 WLU852000:WLU852004 WVQ852000:WVQ852004 H917536:H917540 JE917536:JE917540 TA917536:TA917540 ACW917536:ACW917540 AMS917536:AMS917540 AWO917536:AWO917540 BGK917536:BGK917540 BQG917536:BQG917540 CAC917536:CAC917540 CJY917536:CJY917540 CTU917536:CTU917540 DDQ917536:DDQ917540 DNM917536:DNM917540 DXI917536:DXI917540 EHE917536:EHE917540 ERA917536:ERA917540 FAW917536:FAW917540 FKS917536:FKS917540 FUO917536:FUO917540 GEK917536:GEK917540 GOG917536:GOG917540 GYC917536:GYC917540 HHY917536:HHY917540 HRU917536:HRU917540 IBQ917536:IBQ917540 ILM917536:ILM917540 IVI917536:IVI917540 JFE917536:JFE917540 JPA917536:JPA917540 JYW917536:JYW917540 KIS917536:KIS917540 KSO917536:KSO917540 LCK917536:LCK917540 LMG917536:LMG917540 LWC917536:LWC917540 MFY917536:MFY917540 MPU917536:MPU917540 MZQ917536:MZQ917540 NJM917536:NJM917540 NTI917536:NTI917540 ODE917536:ODE917540 ONA917536:ONA917540 OWW917536:OWW917540 PGS917536:PGS917540 PQO917536:PQO917540 QAK917536:QAK917540 QKG917536:QKG917540 QUC917536:QUC917540 RDY917536:RDY917540 RNU917536:RNU917540 RXQ917536:RXQ917540 SHM917536:SHM917540 SRI917536:SRI917540 TBE917536:TBE917540 TLA917536:TLA917540 TUW917536:TUW917540 UES917536:UES917540 UOO917536:UOO917540 UYK917536:UYK917540 VIG917536:VIG917540 VSC917536:VSC917540 WBY917536:WBY917540 WLU917536:WLU917540 WVQ917536:WVQ917540 H983072:H983076 JE983072:JE983076 TA983072:TA983076 ACW983072:ACW983076 AMS983072:AMS983076 AWO983072:AWO983076 BGK983072:BGK983076 BQG983072:BQG983076 CAC983072:CAC983076 CJY983072:CJY983076 CTU983072:CTU983076 DDQ983072:DDQ983076 DNM983072:DNM983076 DXI983072:DXI983076 EHE983072:EHE983076 ERA983072:ERA983076 FAW983072:FAW983076 FKS983072:FKS983076 FUO983072:FUO983076 GEK983072:GEK983076 GOG983072:GOG983076 GYC983072:GYC983076 HHY983072:HHY983076 HRU983072:HRU983076 IBQ983072:IBQ983076 ILM983072:ILM983076 IVI983072:IVI983076 JFE983072:JFE983076 JPA983072:JPA983076 JYW983072:JYW983076 KIS983072:KIS983076 KSO983072:KSO983076 LCK983072:LCK983076 LMG983072:LMG983076 LWC983072:LWC983076 MFY983072:MFY983076 MPU983072:MPU983076 MZQ983072:MZQ983076 NJM983072:NJM983076 NTI983072:NTI983076 ODE983072:ODE983076 ONA983072:ONA983076 OWW983072:OWW983076 PGS983072:PGS983076 PQO983072:PQO983076 QAK983072:QAK983076 QKG983072:QKG983076 QUC983072:QUC983076 RDY983072:RDY983076 RNU983072:RNU983076 RXQ983072:RXQ983076 SHM983072:SHM983076 SRI983072:SRI983076 TBE983072:TBE983076 TLA983072:TLA983076 TUW983072:TUW983076 UES983072:UES983076 UOO983072:UOO983076 UYK983072:UYK983076 VIG983072:VIG983076 VSC983072:VSC983076 WBY983072:WBY983076 WLU983072:WLU983076 WVQ983072:WVQ983076 VSI983081:VSI983084 JK39:JK42 TG39:TG42 ADC39:ADC42 AMY39:AMY42 AWU39:AWU42 BGQ39:BGQ42 BQM39:BQM42 CAI39:CAI42 CKE39:CKE42 CUA39:CUA42 DDW39:DDW42 DNS39:DNS42 DXO39:DXO42 EHK39:EHK42 ERG39:ERG42 FBC39:FBC42 FKY39:FKY42 FUU39:FUU42 GEQ39:GEQ42 GOM39:GOM42 GYI39:GYI42 HIE39:HIE42 HSA39:HSA42 IBW39:IBW42 ILS39:ILS42 IVO39:IVO42 JFK39:JFK42 JPG39:JPG42 JZC39:JZC42 KIY39:KIY42 KSU39:KSU42 LCQ39:LCQ42 LMM39:LMM42 LWI39:LWI42 MGE39:MGE42 MQA39:MQA42 MZW39:MZW42 NJS39:NJS42 NTO39:NTO42 ODK39:ODK42 ONG39:ONG42 OXC39:OXC42 PGY39:PGY42 PQU39:PQU42 QAQ39:QAQ42 QKM39:QKM42 QUI39:QUI42 REE39:REE42 ROA39:ROA42 RXW39:RXW42 SHS39:SHS42 SRO39:SRO42 TBK39:TBK42 TLG39:TLG42 TVC39:TVC42 UEY39:UEY42 UOU39:UOU42 UYQ39:UYQ42 VIM39:VIM42 VSI39:VSI42 WCE39:WCE42 WMA39:WMA42 WVW39:WVW42 N65577:N65580 JK65577:JK65580 TG65577:TG65580 ADC65577:ADC65580 AMY65577:AMY65580 AWU65577:AWU65580 BGQ65577:BGQ65580 BQM65577:BQM65580 CAI65577:CAI65580 CKE65577:CKE65580 CUA65577:CUA65580 DDW65577:DDW65580 DNS65577:DNS65580 DXO65577:DXO65580 EHK65577:EHK65580 ERG65577:ERG65580 FBC65577:FBC65580 FKY65577:FKY65580 FUU65577:FUU65580 GEQ65577:GEQ65580 GOM65577:GOM65580 GYI65577:GYI65580 HIE65577:HIE65580 HSA65577:HSA65580 IBW65577:IBW65580 ILS65577:ILS65580 IVO65577:IVO65580 JFK65577:JFK65580 JPG65577:JPG65580 JZC65577:JZC65580 KIY65577:KIY65580 KSU65577:KSU65580 LCQ65577:LCQ65580 LMM65577:LMM65580 LWI65577:LWI65580 MGE65577:MGE65580 MQA65577:MQA65580 MZW65577:MZW65580 NJS65577:NJS65580 NTO65577:NTO65580 ODK65577:ODK65580 ONG65577:ONG65580 OXC65577:OXC65580 PGY65577:PGY65580 PQU65577:PQU65580 QAQ65577:QAQ65580 QKM65577:QKM65580 QUI65577:QUI65580 REE65577:REE65580 ROA65577:ROA65580 RXW65577:RXW65580 SHS65577:SHS65580 SRO65577:SRO65580 TBK65577:TBK65580 TLG65577:TLG65580 TVC65577:TVC65580 UEY65577:UEY65580 UOU65577:UOU65580 UYQ65577:UYQ65580 VIM65577:VIM65580 VSI65577:VSI65580 WCE65577:WCE65580 WMA65577:WMA65580 WVW65577:WVW65580 N131113:N131116 JK131113:JK131116 TG131113:TG131116 ADC131113:ADC131116 AMY131113:AMY131116 AWU131113:AWU131116 BGQ131113:BGQ131116 BQM131113:BQM131116 CAI131113:CAI131116 CKE131113:CKE131116 CUA131113:CUA131116 DDW131113:DDW131116 DNS131113:DNS131116 DXO131113:DXO131116 EHK131113:EHK131116 ERG131113:ERG131116 FBC131113:FBC131116 FKY131113:FKY131116 FUU131113:FUU131116 GEQ131113:GEQ131116 GOM131113:GOM131116 GYI131113:GYI131116 HIE131113:HIE131116 HSA131113:HSA131116 IBW131113:IBW131116 ILS131113:ILS131116 IVO131113:IVO131116 JFK131113:JFK131116 JPG131113:JPG131116 JZC131113:JZC131116 KIY131113:KIY131116 KSU131113:KSU131116 LCQ131113:LCQ131116 LMM131113:LMM131116 LWI131113:LWI131116 MGE131113:MGE131116 MQA131113:MQA131116 MZW131113:MZW131116 NJS131113:NJS131116 NTO131113:NTO131116 ODK131113:ODK131116 ONG131113:ONG131116 OXC131113:OXC131116 PGY131113:PGY131116 PQU131113:PQU131116 QAQ131113:QAQ131116 QKM131113:QKM131116 QUI131113:QUI131116 REE131113:REE131116 ROA131113:ROA131116 RXW131113:RXW131116 SHS131113:SHS131116 SRO131113:SRO131116 TBK131113:TBK131116 TLG131113:TLG131116 TVC131113:TVC131116 UEY131113:UEY131116 UOU131113:UOU131116 UYQ131113:UYQ131116 VIM131113:VIM131116 VSI131113:VSI131116 WCE131113:WCE131116 WMA131113:WMA131116 WVW131113:WVW131116 N196649:N196652 JK196649:JK196652 TG196649:TG196652 ADC196649:ADC196652 AMY196649:AMY196652 AWU196649:AWU196652 BGQ196649:BGQ196652 BQM196649:BQM196652 CAI196649:CAI196652 CKE196649:CKE196652 CUA196649:CUA196652 DDW196649:DDW196652 DNS196649:DNS196652 DXO196649:DXO196652 EHK196649:EHK196652 ERG196649:ERG196652 FBC196649:FBC196652 FKY196649:FKY196652 FUU196649:FUU196652 GEQ196649:GEQ196652 GOM196649:GOM196652 GYI196649:GYI196652 HIE196649:HIE196652 HSA196649:HSA196652 IBW196649:IBW196652 ILS196649:ILS196652 IVO196649:IVO196652 JFK196649:JFK196652 JPG196649:JPG196652 JZC196649:JZC196652 KIY196649:KIY196652 KSU196649:KSU196652 LCQ196649:LCQ196652 LMM196649:LMM196652 LWI196649:LWI196652 MGE196649:MGE196652 MQA196649:MQA196652 MZW196649:MZW196652 NJS196649:NJS196652 NTO196649:NTO196652 ODK196649:ODK196652 ONG196649:ONG196652 OXC196649:OXC196652 PGY196649:PGY196652 PQU196649:PQU196652 QAQ196649:QAQ196652 QKM196649:QKM196652 QUI196649:QUI196652 REE196649:REE196652 ROA196649:ROA196652 RXW196649:RXW196652 SHS196649:SHS196652 SRO196649:SRO196652 TBK196649:TBK196652 TLG196649:TLG196652 TVC196649:TVC196652 UEY196649:UEY196652 UOU196649:UOU196652 UYQ196649:UYQ196652 VIM196649:VIM196652 VSI196649:VSI196652 WCE196649:WCE196652 WMA196649:WMA196652 WVW196649:WVW196652 N262185:N262188 JK262185:JK262188 TG262185:TG262188 ADC262185:ADC262188 AMY262185:AMY262188 AWU262185:AWU262188 BGQ262185:BGQ262188 BQM262185:BQM262188 CAI262185:CAI262188 CKE262185:CKE262188 CUA262185:CUA262188 DDW262185:DDW262188 DNS262185:DNS262188 DXO262185:DXO262188 EHK262185:EHK262188 ERG262185:ERG262188 FBC262185:FBC262188 FKY262185:FKY262188 FUU262185:FUU262188 GEQ262185:GEQ262188 GOM262185:GOM262188 GYI262185:GYI262188 HIE262185:HIE262188 HSA262185:HSA262188 IBW262185:IBW262188 ILS262185:ILS262188 IVO262185:IVO262188 JFK262185:JFK262188 JPG262185:JPG262188 JZC262185:JZC262188 KIY262185:KIY262188 KSU262185:KSU262188 LCQ262185:LCQ262188 LMM262185:LMM262188 LWI262185:LWI262188 MGE262185:MGE262188 MQA262185:MQA262188 MZW262185:MZW262188 NJS262185:NJS262188 NTO262185:NTO262188 ODK262185:ODK262188 ONG262185:ONG262188 OXC262185:OXC262188 PGY262185:PGY262188 PQU262185:PQU262188 QAQ262185:QAQ262188 QKM262185:QKM262188 QUI262185:QUI262188 REE262185:REE262188 ROA262185:ROA262188 RXW262185:RXW262188 SHS262185:SHS262188 SRO262185:SRO262188 TBK262185:TBK262188 TLG262185:TLG262188 TVC262185:TVC262188 UEY262185:UEY262188 UOU262185:UOU262188 UYQ262185:UYQ262188 VIM262185:VIM262188 VSI262185:VSI262188 WCE262185:WCE262188 WMA262185:WMA262188 WVW262185:WVW262188 N327721:N327724 JK327721:JK327724 TG327721:TG327724 ADC327721:ADC327724 AMY327721:AMY327724 AWU327721:AWU327724 BGQ327721:BGQ327724 BQM327721:BQM327724 CAI327721:CAI327724 CKE327721:CKE327724 CUA327721:CUA327724 DDW327721:DDW327724 DNS327721:DNS327724 DXO327721:DXO327724 EHK327721:EHK327724 ERG327721:ERG327724 FBC327721:FBC327724 FKY327721:FKY327724 FUU327721:FUU327724 GEQ327721:GEQ327724 GOM327721:GOM327724 GYI327721:GYI327724 HIE327721:HIE327724 HSA327721:HSA327724 IBW327721:IBW327724 ILS327721:ILS327724 IVO327721:IVO327724 JFK327721:JFK327724 JPG327721:JPG327724 JZC327721:JZC327724 KIY327721:KIY327724 KSU327721:KSU327724 LCQ327721:LCQ327724 LMM327721:LMM327724 LWI327721:LWI327724 MGE327721:MGE327724 MQA327721:MQA327724 MZW327721:MZW327724 NJS327721:NJS327724 NTO327721:NTO327724 ODK327721:ODK327724 ONG327721:ONG327724 OXC327721:OXC327724 PGY327721:PGY327724 PQU327721:PQU327724 QAQ327721:QAQ327724 QKM327721:QKM327724 QUI327721:QUI327724 REE327721:REE327724 ROA327721:ROA327724 RXW327721:RXW327724 SHS327721:SHS327724 SRO327721:SRO327724 TBK327721:TBK327724 TLG327721:TLG327724 TVC327721:TVC327724 UEY327721:UEY327724 UOU327721:UOU327724 UYQ327721:UYQ327724 VIM327721:VIM327724 VSI327721:VSI327724 WCE327721:WCE327724 WMA327721:WMA327724 WVW327721:WVW327724 N393257:N393260 JK393257:JK393260 TG393257:TG393260 ADC393257:ADC393260 AMY393257:AMY393260 AWU393257:AWU393260 BGQ393257:BGQ393260 BQM393257:BQM393260 CAI393257:CAI393260 CKE393257:CKE393260 CUA393257:CUA393260 DDW393257:DDW393260 DNS393257:DNS393260 DXO393257:DXO393260 EHK393257:EHK393260 ERG393257:ERG393260 FBC393257:FBC393260 FKY393257:FKY393260 FUU393257:FUU393260 GEQ393257:GEQ393260 GOM393257:GOM393260 GYI393257:GYI393260 HIE393257:HIE393260 HSA393257:HSA393260 IBW393257:IBW393260 ILS393257:ILS393260 IVO393257:IVO393260 JFK393257:JFK393260 JPG393257:JPG393260 JZC393257:JZC393260 KIY393257:KIY393260 KSU393257:KSU393260 LCQ393257:LCQ393260 LMM393257:LMM393260 LWI393257:LWI393260 MGE393257:MGE393260 MQA393257:MQA393260 MZW393257:MZW393260 NJS393257:NJS393260 NTO393257:NTO393260 ODK393257:ODK393260 ONG393257:ONG393260 OXC393257:OXC393260 PGY393257:PGY393260 PQU393257:PQU393260 QAQ393257:QAQ393260 QKM393257:QKM393260 QUI393257:QUI393260 REE393257:REE393260 ROA393257:ROA393260 RXW393257:RXW393260 SHS393257:SHS393260 SRO393257:SRO393260 TBK393257:TBK393260 TLG393257:TLG393260 TVC393257:TVC393260 UEY393257:UEY393260 UOU393257:UOU393260 UYQ393257:UYQ393260 VIM393257:VIM393260 VSI393257:VSI393260 WCE393257:WCE393260 WMA393257:WMA393260 WVW393257:WVW393260 N458793:N458796 JK458793:JK458796 TG458793:TG458796 ADC458793:ADC458796 AMY458793:AMY458796 AWU458793:AWU458796 BGQ458793:BGQ458796 BQM458793:BQM458796 CAI458793:CAI458796 CKE458793:CKE458796 CUA458793:CUA458796 DDW458793:DDW458796 DNS458793:DNS458796 DXO458793:DXO458796 EHK458793:EHK458796 ERG458793:ERG458796 FBC458793:FBC458796 FKY458793:FKY458796 FUU458793:FUU458796 GEQ458793:GEQ458796 GOM458793:GOM458796 GYI458793:GYI458796 HIE458793:HIE458796 HSA458793:HSA458796 IBW458793:IBW458796 ILS458793:ILS458796 IVO458793:IVO458796 JFK458793:JFK458796 JPG458793:JPG458796 JZC458793:JZC458796 KIY458793:KIY458796 KSU458793:KSU458796 LCQ458793:LCQ458796 LMM458793:LMM458796 LWI458793:LWI458796 MGE458793:MGE458796 MQA458793:MQA458796 MZW458793:MZW458796 NJS458793:NJS458796 NTO458793:NTO458796 ODK458793:ODK458796 ONG458793:ONG458796 OXC458793:OXC458796 PGY458793:PGY458796 PQU458793:PQU458796 QAQ458793:QAQ458796 QKM458793:QKM458796 QUI458793:QUI458796 REE458793:REE458796 ROA458793:ROA458796 RXW458793:RXW458796 SHS458793:SHS458796 SRO458793:SRO458796 TBK458793:TBK458796 TLG458793:TLG458796 TVC458793:TVC458796 UEY458793:UEY458796 UOU458793:UOU458796 UYQ458793:UYQ458796 VIM458793:VIM458796 VSI458793:VSI458796 WCE458793:WCE458796 WMA458793:WMA458796 WVW458793:WVW458796 N524329:N524332 JK524329:JK524332 TG524329:TG524332 ADC524329:ADC524332 AMY524329:AMY524332 AWU524329:AWU524332 BGQ524329:BGQ524332 BQM524329:BQM524332 CAI524329:CAI524332 CKE524329:CKE524332 CUA524329:CUA524332 DDW524329:DDW524332 DNS524329:DNS524332 DXO524329:DXO524332 EHK524329:EHK524332 ERG524329:ERG524332 FBC524329:FBC524332 FKY524329:FKY524332 FUU524329:FUU524332 GEQ524329:GEQ524332 GOM524329:GOM524332 GYI524329:GYI524332 HIE524329:HIE524332 HSA524329:HSA524332 IBW524329:IBW524332 ILS524329:ILS524332 IVO524329:IVO524332 JFK524329:JFK524332 JPG524329:JPG524332 JZC524329:JZC524332 KIY524329:KIY524332 KSU524329:KSU524332 LCQ524329:LCQ524332 LMM524329:LMM524332 LWI524329:LWI524332 MGE524329:MGE524332 MQA524329:MQA524332 MZW524329:MZW524332 NJS524329:NJS524332 NTO524329:NTO524332 ODK524329:ODK524332 ONG524329:ONG524332 OXC524329:OXC524332 PGY524329:PGY524332 PQU524329:PQU524332 QAQ524329:QAQ524332 QKM524329:QKM524332 QUI524329:QUI524332 REE524329:REE524332 ROA524329:ROA524332 RXW524329:RXW524332 SHS524329:SHS524332 SRO524329:SRO524332 TBK524329:TBK524332 TLG524329:TLG524332 TVC524329:TVC524332 UEY524329:UEY524332 UOU524329:UOU524332 UYQ524329:UYQ524332 VIM524329:VIM524332 VSI524329:VSI524332 WCE524329:WCE524332 WMA524329:WMA524332 WVW524329:WVW524332 N589865:N589868 JK589865:JK589868 TG589865:TG589868 ADC589865:ADC589868 AMY589865:AMY589868 AWU589865:AWU589868 BGQ589865:BGQ589868 BQM589865:BQM589868 CAI589865:CAI589868 CKE589865:CKE589868 CUA589865:CUA589868 DDW589865:DDW589868 DNS589865:DNS589868 DXO589865:DXO589868 EHK589865:EHK589868 ERG589865:ERG589868 FBC589865:FBC589868 FKY589865:FKY589868 FUU589865:FUU589868 GEQ589865:GEQ589868 GOM589865:GOM589868 GYI589865:GYI589868 HIE589865:HIE589868 HSA589865:HSA589868 IBW589865:IBW589868 ILS589865:ILS589868 IVO589865:IVO589868 JFK589865:JFK589868 JPG589865:JPG589868 JZC589865:JZC589868 KIY589865:KIY589868 KSU589865:KSU589868 LCQ589865:LCQ589868 LMM589865:LMM589868 LWI589865:LWI589868 MGE589865:MGE589868 MQA589865:MQA589868 MZW589865:MZW589868 NJS589865:NJS589868 NTO589865:NTO589868 ODK589865:ODK589868 ONG589865:ONG589868 OXC589865:OXC589868 PGY589865:PGY589868 PQU589865:PQU589868 QAQ589865:QAQ589868 QKM589865:QKM589868 QUI589865:QUI589868 REE589865:REE589868 ROA589865:ROA589868 RXW589865:RXW589868 SHS589865:SHS589868 SRO589865:SRO589868 TBK589865:TBK589868 TLG589865:TLG589868 TVC589865:TVC589868 UEY589865:UEY589868 UOU589865:UOU589868 UYQ589865:UYQ589868 VIM589865:VIM589868 VSI589865:VSI589868 WCE589865:WCE589868 WMA589865:WMA589868 WVW589865:WVW589868 N655401:N655404 JK655401:JK655404 TG655401:TG655404 ADC655401:ADC655404 AMY655401:AMY655404 AWU655401:AWU655404 BGQ655401:BGQ655404 BQM655401:BQM655404 CAI655401:CAI655404 CKE655401:CKE655404 CUA655401:CUA655404 DDW655401:DDW655404 DNS655401:DNS655404 DXO655401:DXO655404 EHK655401:EHK655404 ERG655401:ERG655404 FBC655401:FBC655404 FKY655401:FKY655404 FUU655401:FUU655404 GEQ655401:GEQ655404 GOM655401:GOM655404 GYI655401:GYI655404 HIE655401:HIE655404 HSA655401:HSA655404 IBW655401:IBW655404 ILS655401:ILS655404 IVO655401:IVO655404 JFK655401:JFK655404 JPG655401:JPG655404 JZC655401:JZC655404 KIY655401:KIY655404 KSU655401:KSU655404 LCQ655401:LCQ655404 LMM655401:LMM655404 LWI655401:LWI655404 MGE655401:MGE655404 MQA655401:MQA655404 MZW655401:MZW655404 NJS655401:NJS655404 NTO655401:NTO655404 ODK655401:ODK655404 ONG655401:ONG655404 OXC655401:OXC655404 PGY655401:PGY655404 PQU655401:PQU655404 QAQ655401:QAQ655404 QKM655401:QKM655404 QUI655401:QUI655404 REE655401:REE655404 ROA655401:ROA655404 RXW655401:RXW655404 SHS655401:SHS655404 SRO655401:SRO655404 TBK655401:TBK655404 TLG655401:TLG655404 TVC655401:TVC655404 UEY655401:UEY655404 UOU655401:UOU655404 UYQ655401:UYQ655404 VIM655401:VIM655404 VSI655401:VSI655404 WCE655401:WCE655404 WMA655401:WMA655404 WVW655401:WVW655404 N720937:N720940 JK720937:JK720940 TG720937:TG720940 ADC720937:ADC720940 AMY720937:AMY720940 AWU720937:AWU720940 BGQ720937:BGQ720940 BQM720937:BQM720940 CAI720937:CAI720940 CKE720937:CKE720940 CUA720937:CUA720940 DDW720937:DDW720940 DNS720937:DNS720940 DXO720937:DXO720940 EHK720937:EHK720940 ERG720937:ERG720940 FBC720937:FBC720940 FKY720937:FKY720940 FUU720937:FUU720940 GEQ720937:GEQ720940 GOM720937:GOM720940 GYI720937:GYI720940 HIE720937:HIE720940 HSA720937:HSA720940 IBW720937:IBW720940 ILS720937:ILS720940 IVO720937:IVO720940 JFK720937:JFK720940 JPG720937:JPG720940 JZC720937:JZC720940 KIY720937:KIY720940 KSU720937:KSU720940 LCQ720937:LCQ720940 LMM720937:LMM720940 LWI720937:LWI720940 MGE720937:MGE720940 MQA720937:MQA720940 MZW720937:MZW720940 NJS720937:NJS720940 NTO720937:NTO720940 ODK720937:ODK720940 ONG720937:ONG720940 OXC720937:OXC720940 PGY720937:PGY720940 PQU720937:PQU720940 QAQ720937:QAQ720940 QKM720937:QKM720940 QUI720937:QUI720940 REE720937:REE720940 ROA720937:ROA720940 RXW720937:RXW720940 SHS720937:SHS720940 SRO720937:SRO720940 TBK720937:TBK720940 TLG720937:TLG720940 TVC720937:TVC720940 UEY720937:UEY720940 UOU720937:UOU720940 UYQ720937:UYQ720940 VIM720937:VIM720940 VSI720937:VSI720940 WCE720937:WCE720940 WMA720937:WMA720940 WVW720937:WVW720940 N786473:N786476 JK786473:JK786476 TG786473:TG786476 ADC786473:ADC786476 AMY786473:AMY786476 AWU786473:AWU786476 BGQ786473:BGQ786476 BQM786473:BQM786476 CAI786473:CAI786476 CKE786473:CKE786476 CUA786473:CUA786476 DDW786473:DDW786476 DNS786473:DNS786476 DXO786473:DXO786476 EHK786473:EHK786476 ERG786473:ERG786476 FBC786473:FBC786476 FKY786473:FKY786476 FUU786473:FUU786476 GEQ786473:GEQ786476 GOM786473:GOM786476 GYI786473:GYI786476 HIE786473:HIE786476 HSA786473:HSA786476 IBW786473:IBW786476 ILS786473:ILS786476 IVO786473:IVO786476 JFK786473:JFK786476 JPG786473:JPG786476 JZC786473:JZC786476 KIY786473:KIY786476 KSU786473:KSU786476 LCQ786473:LCQ786476 LMM786473:LMM786476 LWI786473:LWI786476 MGE786473:MGE786476 MQA786473:MQA786476 MZW786473:MZW786476 NJS786473:NJS786476 NTO786473:NTO786476 ODK786473:ODK786476 ONG786473:ONG786476 OXC786473:OXC786476 PGY786473:PGY786476 PQU786473:PQU786476 QAQ786473:QAQ786476 QKM786473:QKM786476 QUI786473:QUI786476 REE786473:REE786476 ROA786473:ROA786476 RXW786473:RXW786476 SHS786473:SHS786476 SRO786473:SRO786476 TBK786473:TBK786476 TLG786473:TLG786476 TVC786473:TVC786476 UEY786473:UEY786476 UOU786473:UOU786476 UYQ786473:UYQ786476 VIM786473:VIM786476 VSI786473:VSI786476 WCE786473:WCE786476 WMA786473:WMA786476 WVW786473:WVW786476 N852009:N852012 JK852009:JK852012 TG852009:TG852012 ADC852009:ADC852012 AMY852009:AMY852012 AWU852009:AWU852012 BGQ852009:BGQ852012 BQM852009:BQM852012 CAI852009:CAI852012 CKE852009:CKE852012 CUA852009:CUA852012 DDW852009:DDW852012 DNS852009:DNS852012 DXO852009:DXO852012 EHK852009:EHK852012 ERG852009:ERG852012 FBC852009:FBC852012 FKY852009:FKY852012 FUU852009:FUU852012 GEQ852009:GEQ852012 GOM852009:GOM852012 GYI852009:GYI852012 HIE852009:HIE852012 HSA852009:HSA852012 IBW852009:IBW852012 ILS852009:ILS852012 IVO852009:IVO852012 JFK852009:JFK852012 JPG852009:JPG852012 JZC852009:JZC852012 KIY852009:KIY852012 KSU852009:KSU852012 LCQ852009:LCQ852012 LMM852009:LMM852012 LWI852009:LWI852012 MGE852009:MGE852012 MQA852009:MQA852012 MZW852009:MZW852012 NJS852009:NJS852012 NTO852009:NTO852012 ODK852009:ODK852012 ONG852009:ONG852012 OXC852009:OXC852012 PGY852009:PGY852012 PQU852009:PQU852012 QAQ852009:QAQ852012 QKM852009:QKM852012 QUI852009:QUI852012 REE852009:REE852012 ROA852009:ROA852012 RXW852009:RXW852012 SHS852009:SHS852012 SRO852009:SRO852012 TBK852009:TBK852012 TLG852009:TLG852012 TVC852009:TVC852012 UEY852009:UEY852012 UOU852009:UOU852012 UYQ852009:UYQ852012 VIM852009:VIM852012 VSI852009:VSI852012 WCE852009:WCE852012 WMA852009:WMA852012 WVW852009:WVW852012 N917545:N917548 JK917545:JK917548 TG917545:TG917548 ADC917545:ADC917548 AMY917545:AMY917548 AWU917545:AWU917548 BGQ917545:BGQ917548 BQM917545:BQM917548 CAI917545:CAI917548 CKE917545:CKE917548 CUA917545:CUA917548 DDW917545:DDW917548 DNS917545:DNS917548 DXO917545:DXO917548 EHK917545:EHK917548 ERG917545:ERG917548 FBC917545:FBC917548 FKY917545:FKY917548 FUU917545:FUU917548 GEQ917545:GEQ917548 GOM917545:GOM917548 GYI917545:GYI917548 HIE917545:HIE917548 HSA917545:HSA917548 IBW917545:IBW917548 ILS917545:ILS917548 IVO917545:IVO917548 JFK917545:JFK917548 JPG917545:JPG917548 JZC917545:JZC917548 KIY917545:KIY917548 KSU917545:KSU917548 LCQ917545:LCQ917548 LMM917545:LMM917548 LWI917545:LWI917548 MGE917545:MGE917548 MQA917545:MQA917548 MZW917545:MZW917548 NJS917545:NJS917548 NTO917545:NTO917548 ODK917545:ODK917548 ONG917545:ONG917548 OXC917545:OXC917548 PGY917545:PGY917548 PQU917545:PQU917548 QAQ917545:QAQ917548 QKM917545:QKM917548 QUI917545:QUI917548 REE917545:REE917548 ROA917545:ROA917548 RXW917545:RXW917548 SHS917545:SHS917548 SRO917545:SRO917548 TBK917545:TBK917548 TLG917545:TLG917548 TVC917545:TVC917548 UEY917545:UEY917548 UOU917545:UOU917548 UYQ917545:UYQ917548 VIM917545:VIM917548 VSI917545:VSI917548 WCE917545:WCE917548 WMA917545:WMA917548 WVW917545:WVW917548 N983081:N983084 JK983081:JK983084 TG983081:TG983084 ADC983081:ADC983084 AMY983081:AMY983084 AWU983081:AWU983084 BGQ983081:BGQ983084 BQM983081:BQM983084 CAI983081:CAI983084 CKE983081:CKE983084 CUA983081:CUA983084 DDW983081:DDW983084 DNS983081:DNS983084 DXO983081:DXO983084 EHK983081:EHK983084 ERG983081:ERG983084 FBC983081:FBC983084 FKY983081:FKY983084 FUU983081:FUU983084 GEQ983081:GEQ983084 GOM983081:GOM983084 GYI983081:GYI983084 HIE983081:HIE983084 HSA983081:HSA983084 IBW983081:IBW983084 ILS983081:ILS983084 IVO983081:IVO983084 JFK983081:JFK983084 JPG983081:JPG983084 JZC983081:JZC983084 KIY983081:KIY983084 KSU983081:KSU983084 LCQ983081:LCQ983084 LMM983081:LMM983084 LWI983081:LWI983084 MGE983081:MGE983084 MQA983081:MQA983084 MZW983081:MZW983084 NJS983081:NJS983084 NTO983081:NTO983084 ODK983081:ODK983084 ONG983081:ONG983084 OXC983081:OXC983084 PGY983081:PGY983084 PQU983081:PQU983084 QAQ983081:QAQ983084 QKM983081:QKM983084 QUI983081:QUI983084 REE983081:REE983084 ROA983081:ROA983084 RXW983081:RXW983084 SHS983081:SHS983084 SRO983081:SRO983084 TBK983081:TBK983084</xm:sqref>
        </x14:dataValidation>
      </x14:dataValidations>
    </ext>
  </extLst>
</worksheet>
</file>

<file path=xl/worksheets/sheet18.xml><?xml version="1.0" encoding="utf-8"?>
<worksheet xmlns="http://schemas.openxmlformats.org/spreadsheetml/2006/main" xmlns:r="http://schemas.openxmlformats.org/officeDocument/2006/relationships">
  <sheetPr>
    <pageSetUpPr fitToPage="1"/>
  </sheetPr>
  <dimension ref="A1:XDI134"/>
  <sheetViews>
    <sheetView showGridLines="0" zoomScaleNormal="100" zoomScaleSheetLayoutView="85" workbookViewId="0">
      <selection activeCell="C17" sqref="C17:E17"/>
    </sheetView>
  </sheetViews>
  <sheetFormatPr defaultColWidth="0" defaultRowHeight="12" customHeight="1" zeroHeight="1"/>
  <cols>
    <col min="1" max="1" width="2.875" style="2453" customWidth="1"/>
    <col min="2" max="2" width="2.625" style="2453" customWidth="1"/>
    <col min="3" max="3" width="18" style="2453" customWidth="1"/>
    <col min="4" max="4" width="12.5" style="2453" customWidth="1"/>
    <col min="5" max="5" width="9.25" style="2453" customWidth="1"/>
    <col min="6" max="6" width="6.875" style="2453" customWidth="1"/>
    <col min="7" max="8" width="5.875" style="2453" customWidth="1"/>
    <col min="9" max="9" width="11" style="2453" customWidth="1"/>
    <col min="10" max="10" width="12.375" style="2453" customWidth="1"/>
    <col min="11" max="11" width="12.625" style="2453" customWidth="1"/>
    <col min="12" max="12" width="12.375" style="2453" customWidth="1"/>
    <col min="13" max="14" width="6.625" style="2453" customWidth="1"/>
    <col min="15" max="15" width="1.875" style="2453" customWidth="1"/>
    <col min="16" max="16" width="1.875" style="2453" hidden="1" customWidth="1"/>
    <col min="17" max="17" width="8.375" style="2452" hidden="1" customWidth="1"/>
    <col min="18" max="18" width="6.625" style="2452" hidden="1" customWidth="1"/>
    <col min="19" max="19" width="6.875" style="2453" hidden="1" customWidth="1"/>
    <col min="20" max="20" width="10.875" style="2453" hidden="1" customWidth="1"/>
    <col min="21" max="209" width="10.625" style="2453" hidden="1" customWidth="1"/>
    <col min="210" max="257" width="9" style="2453" hidden="1"/>
    <col min="258" max="258" width="2.875" style="2453" hidden="1" customWidth="1"/>
    <col min="259" max="259" width="2.625" style="2453" hidden="1" customWidth="1"/>
    <col min="260" max="260" width="18" style="2453" hidden="1" customWidth="1"/>
    <col min="261" max="261" width="12.5" style="2453" hidden="1" customWidth="1"/>
    <col min="262" max="262" width="9.25" style="2453" hidden="1" customWidth="1"/>
    <col min="263" max="263" width="6.875" style="2453" hidden="1" customWidth="1"/>
    <col min="264" max="265" width="5.875" style="2453" hidden="1" customWidth="1"/>
    <col min="266" max="266" width="11" style="2453" hidden="1" customWidth="1"/>
    <col min="267" max="267" width="12.375" style="2453" hidden="1" customWidth="1"/>
    <col min="268" max="268" width="12.625" style="2453" hidden="1" customWidth="1"/>
    <col min="269" max="269" width="12.375" style="2453" hidden="1" customWidth="1"/>
    <col min="270" max="271" width="6.625" style="2453" hidden="1" customWidth="1"/>
    <col min="272" max="272" width="1.875" style="2453" hidden="1" customWidth="1"/>
    <col min="273" max="273" width="8.375" style="2453" hidden="1" customWidth="1"/>
    <col min="274" max="274" width="6.625" style="2453" hidden="1" customWidth="1"/>
    <col min="275" max="275" width="6.875" style="2453" hidden="1" customWidth="1"/>
    <col min="276" max="276" width="10.875" style="2453" hidden="1" customWidth="1"/>
    <col min="277" max="465" width="10.625" style="2453" hidden="1" customWidth="1"/>
    <col min="466" max="513" width="9" style="2453" hidden="1"/>
    <col min="514" max="514" width="2.875" style="2453" hidden="1" customWidth="1"/>
    <col min="515" max="515" width="2.625" style="2453" hidden="1" customWidth="1"/>
    <col min="516" max="516" width="18" style="2453" hidden="1" customWidth="1"/>
    <col min="517" max="517" width="12.5" style="2453" hidden="1" customWidth="1"/>
    <col min="518" max="518" width="9.25" style="2453" hidden="1" customWidth="1"/>
    <col min="519" max="519" width="6.875" style="2453" hidden="1" customWidth="1"/>
    <col min="520" max="521" width="5.875" style="2453" hidden="1" customWidth="1"/>
    <col min="522" max="522" width="11" style="2453" hidden="1" customWidth="1"/>
    <col min="523" max="523" width="12.375" style="2453" hidden="1" customWidth="1"/>
    <col min="524" max="524" width="12.625" style="2453" hidden="1" customWidth="1"/>
    <col min="525" max="525" width="12.375" style="2453" hidden="1" customWidth="1"/>
    <col min="526" max="527" width="6.625" style="2453" hidden="1" customWidth="1"/>
    <col min="528" max="528" width="1.875" style="2453" hidden="1" customWidth="1"/>
    <col min="529" max="529" width="8.375" style="2453" hidden="1" customWidth="1"/>
    <col min="530" max="530" width="6.625" style="2453" hidden="1" customWidth="1"/>
    <col min="531" max="531" width="6.875" style="2453" hidden="1" customWidth="1"/>
    <col min="532" max="532" width="10.875" style="2453" hidden="1" customWidth="1"/>
    <col min="533" max="721" width="10.625" style="2453" hidden="1" customWidth="1"/>
    <col min="722" max="769" width="9" style="2453" hidden="1"/>
    <col min="770" max="770" width="2.875" style="2453" hidden="1" customWidth="1"/>
    <col min="771" max="771" width="2.625" style="2453" hidden="1" customWidth="1"/>
    <col min="772" max="772" width="18" style="2453" hidden="1" customWidth="1"/>
    <col min="773" max="773" width="12.5" style="2453" hidden="1" customWidth="1"/>
    <col min="774" max="774" width="9.25" style="2453" hidden="1" customWidth="1"/>
    <col min="775" max="775" width="6.875" style="2453" hidden="1" customWidth="1"/>
    <col min="776" max="777" width="5.875" style="2453" hidden="1" customWidth="1"/>
    <col min="778" max="778" width="11" style="2453" hidden="1" customWidth="1"/>
    <col min="779" max="779" width="12.375" style="2453" hidden="1" customWidth="1"/>
    <col min="780" max="780" width="12.625" style="2453" hidden="1" customWidth="1"/>
    <col min="781" max="781" width="12.375" style="2453" hidden="1" customWidth="1"/>
    <col min="782" max="783" width="6.625" style="2453" hidden="1" customWidth="1"/>
    <col min="784" max="784" width="1.875" style="2453" hidden="1" customWidth="1"/>
    <col min="785" max="785" width="8.375" style="2453" hidden="1" customWidth="1"/>
    <col min="786" max="786" width="6.625" style="2453" hidden="1" customWidth="1"/>
    <col min="787" max="787" width="6.875" style="2453" hidden="1" customWidth="1"/>
    <col min="788" max="788" width="10.875" style="2453" hidden="1" customWidth="1"/>
    <col min="789" max="977" width="10.625" style="2453" hidden="1" customWidth="1"/>
    <col min="978" max="1025" width="9" style="2453" hidden="1"/>
    <col min="1026" max="1026" width="2.875" style="2453" hidden="1" customWidth="1"/>
    <col min="1027" max="1027" width="2.625" style="2453" hidden="1" customWidth="1"/>
    <col min="1028" max="1028" width="18" style="2453" hidden="1" customWidth="1"/>
    <col min="1029" max="1029" width="12.5" style="2453" hidden="1" customWidth="1"/>
    <col min="1030" max="1030" width="9.25" style="2453" hidden="1" customWidth="1"/>
    <col min="1031" max="1031" width="6.875" style="2453" hidden="1" customWidth="1"/>
    <col min="1032" max="1033" width="5.875" style="2453" hidden="1" customWidth="1"/>
    <col min="1034" max="1034" width="11" style="2453" hidden="1" customWidth="1"/>
    <col min="1035" max="1035" width="12.375" style="2453" hidden="1" customWidth="1"/>
    <col min="1036" max="1036" width="12.625" style="2453" hidden="1" customWidth="1"/>
    <col min="1037" max="1037" width="12.375" style="2453" hidden="1" customWidth="1"/>
    <col min="1038" max="1039" width="6.625" style="2453" hidden="1" customWidth="1"/>
    <col min="1040" max="1040" width="1.875" style="2453" hidden="1" customWidth="1"/>
    <col min="1041" max="1041" width="8.375" style="2453" hidden="1" customWidth="1"/>
    <col min="1042" max="1042" width="6.625" style="2453" hidden="1" customWidth="1"/>
    <col min="1043" max="1043" width="6.875" style="2453" hidden="1" customWidth="1"/>
    <col min="1044" max="1044" width="10.875" style="2453" hidden="1" customWidth="1"/>
    <col min="1045" max="1233" width="10.625" style="2453" hidden="1" customWidth="1"/>
    <col min="1234" max="1281" width="9" style="2453" hidden="1"/>
    <col min="1282" max="1282" width="2.875" style="2453" hidden="1" customWidth="1"/>
    <col min="1283" max="1283" width="2.625" style="2453" hidden="1" customWidth="1"/>
    <col min="1284" max="1284" width="18" style="2453" hidden="1" customWidth="1"/>
    <col min="1285" max="1285" width="12.5" style="2453" hidden="1" customWidth="1"/>
    <col min="1286" max="1286" width="9.25" style="2453" hidden="1" customWidth="1"/>
    <col min="1287" max="1287" width="6.875" style="2453" hidden="1" customWidth="1"/>
    <col min="1288" max="1289" width="5.875" style="2453" hidden="1" customWidth="1"/>
    <col min="1290" max="1290" width="11" style="2453" hidden="1" customWidth="1"/>
    <col min="1291" max="1291" width="12.375" style="2453" hidden="1" customWidth="1"/>
    <col min="1292" max="1292" width="12.625" style="2453" hidden="1" customWidth="1"/>
    <col min="1293" max="1293" width="12.375" style="2453" hidden="1" customWidth="1"/>
    <col min="1294" max="1295" width="6.625" style="2453" hidden="1" customWidth="1"/>
    <col min="1296" max="1296" width="1.875" style="2453" hidden="1" customWidth="1"/>
    <col min="1297" max="1297" width="8.375" style="2453" hidden="1" customWidth="1"/>
    <col min="1298" max="1298" width="6.625" style="2453" hidden="1" customWidth="1"/>
    <col min="1299" max="1299" width="6.875" style="2453" hidden="1" customWidth="1"/>
    <col min="1300" max="1300" width="10.875" style="2453" hidden="1" customWidth="1"/>
    <col min="1301" max="1489" width="10.625" style="2453" hidden="1" customWidth="1"/>
    <col min="1490" max="1537" width="9" style="2453" hidden="1"/>
    <col min="1538" max="1538" width="2.875" style="2453" hidden="1" customWidth="1"/>
    <col min="1539" max="1539" width="2.625" style="2453" hidden="1" customWidth="1"/>
    <col min="1540" max="1540" width="18" style="2453" hidden="1" customWidth="1"/>
    <col min="1541" max="1541" width="12.5" style="2453" hidden="1" customWidth="1"/>
    <col min="1542" max="1542" width="9.25" style="2453" hidden="1" customWidth="1"/>
    <col min="1543" max="1543" width="6.875" style="2453" hidden="1" customWidth="1"/>
    <col min="1544" max="1545" width="5.875" style="2453" hidden="1" customWidth="1"/>
    <col min="1546" max="1546" width="11" style="2453" hidden="1" customWidth="1"/>
    <col min="1547" max="1547" width="12.375" style="2453" hidden="1" customWidth="1"/>
    <col min="1548" max="1548" width="12.625" style="2453" hidden="1" customWidth="1"/>
    <col min="1549" max="1549" width="12.375" style="2453" hidden="1" customWidth="1"/>
    <col min="1550" max="1551" width="6.625" style="2453" hidden="1" customWidth="1"/>
    <col min="1552" max="1552" width="1.875" style="2453" hidden="1" customWidth="1"/>
    <col min="1553" max="1553" width="8.375" style="2453" hidden="1" customWidth="1"/>
    <col min="1554" max="1554" width="6.625" style="2453" hidden="1" customWidth="1"/>
    <col min="1555" max="1555" width="6.875" style="2453" hidden="1" customWidth="1"/>
    <col min="1556" max="1556" width="10.875" style="2453" hidden="1" customWidth="1"/>
    <col min="1557" max="1745" width="10.625" style="2453" hidden="1" customWidth="1"/>
    <col min="1746" max="1793" width="9" style="2453" hidden="1"/>
    <col min="1794" max="1794" width="2.875" style="2453" hidden="1" customWidth="1"/>
    <col min="1795" max="1795" width="2.625" style="2453" hidden="1" customWidth="1"/>
    <col min="1796" max="1796" width="18" style="2453" hidden="1" customWidth="1"/>
    <col min="1797" max="1797" width="12.5" style="2453" hidden="1" customWidth="1"/>
    <col min="1798" max="1798" width="9.25" style="2453" hidden="1" customWidth="1"/>
    <col min="1799" max="1799" width="6.875" style="2453" hidden="1" customWidth="1"/>
    <col min="1800" max="1801" width="5.875" style="2453" hidden="1" customWidth="1"/>
    <col min="1802" max="1802" width="11" style="2453" hidden="1" customWidth="1"/>
    <col min="1803" max="1803" width="12.375" style="2453" hidden="1" customWidth="1"/>
    <col min="1804" max="1804" width="12.625" style="2453" hidden="1" customWidth="1"/>
    <col min="1805" max="1805" width="12.375" style="2453" hidden="1" customWidth="1"/>
    <col min="1806" max="1807" width="6.625" style="2453" hidden="1" customWidth="1"/>
    <col min="1808" max="1808" width="1.875" style="2453" hidden="1" customWidth="1"/>
    <col min="1809" max="1809" width="8.375" style="2453" hidden="1" customWidth="1"/>
    <col min="1810" max="1810" width="6.625" style="2453" hidden="1" customWidth="1"/>
    <col min="1811" max="1811" width="6.875" style="2453" hidden="1" customWidth="1"/>
    <col min="1812" max="1812" width="10.875" style="2453" hidden="1" customWidth="1"/>
    <col min="1813" max="2001" width="10.625" style="2453" hidden="1" customWidth="1"/>
    <col min="2002" max="2049" width="9" style="2453" hidden="1"/>
    <col min="2050" max="2050" width="2.875" style="2453" hidden="1" customWidth="1"/>
    <col min="2051" max="2051" width="2.625" style="2453" hidden="1" customWidth="1"/>
    <col min="2052" max="2052" width="18" style="2453" hidden="1" customWidth="1"/>
    <col min="2053" max="2053" width="12.5" style="2453" hidden="1" customWidth="1"/>
    <col min="2054" max="2054" width="9.25" style="2453" hidden="1" customWidth="1"/>
    <col min="2055" max="2055" width="6.875" style="2453" hidden="1" customWidth="1"/>
    <col min="2056" max="2057" width="5.875" style="2453" hidden="1" customWidth="1"/>
    <col min="2058" max="2058" width="11" style="2453" hidden="1" customWidth="1"/>
    <col min="2059" max="2059" width="12.375" style="2453" hidden="1" customWidth="1"/>
    <col min="2060" max="2060" width="12.625" style="2453" hidden="1" customWidth="1"/>
    <col min="2061" max="2061" width="12.375" style="2453" hidden="1" customWidth="1"/>
    <col min="2062" max="2063" width="6.625" style="2453" hidden="1" customWidth="1"/>
    <col min="2064" max="2064" width="1.875" style="2453" hidden="1" customWidth="1"/>
    <col min="2065" max="2065" width="8.375" style="2453" hidden="1" customWidth="1"/>
    <col min="2066" max="2066" width="6.625" style="2453" hidden="1" customWidth="1"/>
    <col min="2067" max="2067" width="6.875" style="2453" hidden="1" customWidth="1"/>
    <col min="2068" max="2068" width="10.875" style="2453" hidden="1" customWidth="1"/>
    <col min="2069" max="2257" width="10.625" style="2453" hidden="1" customWidth="1"/>
    <col min="2258" max="2305" width="9" style="2453" hidden="1"/>
    <col min="2306" max="2306" width="2.875" style="2453" hidden="1" customWidth="1"/>
    <col min="2307" max="2307" width="2.625" style="2453" hidden="1" customWidth="1"/>
    <col min="2308" max="2308" width="18" style="2453" hidden="1" customWidth="1"/>
    <col min="2309" max="2309" width="12.5" style="2453" hidden="1" customWidth="1"/>
    <col min="2310" max="2310" width="9.25" style="2453" hidden="1" customWidth="1"/>
    <col min="2311" max="2311" width="6.875" style="2453" hidden="1" customWidth="1"/>
    <col min="2312" max="2313" width="5.875" style="2453" hidden="1" customWidth="1"/>
    <col min="2314" max="2314" width="11" style="2453" hidden="1" customWidth="1"/>
    <col min="2315" max="2315" width="12.375" style="2453" hidden="1" customWidth="1"/>
    <col min="2316" max="2316" width="12.625" style="2453" hidden="1" customWidth="1"/>
    <col min="2317" max="2317" width="12.375" style="2453" hidden="1" customWidth="1"/>
    <col min="2318" max="2319" width="6.625" style="2453" hidden="1" customWidth="1"/>
    <col min="2320" max="2320" width="1.875" style="2453" hidden="1" customWidth="1"/>
    <col min="2321" max="2321" width="8.375" style="2453" hidden="1" customWidth="1"/>
    <col min="2322" max="2322" width="6.625" style="2453" hidden="1" customWidth="1"/>
    <col min="2323" max="2323" width="6.875" style="2453" hidden="1" customWidth="1"/>
    <col min="2324" max="2324" width="10.875" style="2453" hidden="1" customWidth="1"/>
    <col min="2325" max="2513" width="10.625" style="2453" hidden="1" customWidth="1"/>
    <col min="2514" max="2561" width="9" style="2453" hidden="1"/>
    <col min="2562" max="2562" width="2.875" style="2453" hidden="1" customWidth="1"/>
    <col min="2563" max="2563" width="2.625" style="2453" hidden="1" customWidth="1"/>
    <col min="2564" max="2564" width="18" style="2453" hidden="1" customWidth="1"/>
    <col min="2565" max="2565" width="12.5" style="2453" hidden="1" customWidth="1"/>
    <col min="2566" max="2566" width="9.25" style="2453" hidden="1" customWidth="1"/>
    <col min="2567" max="2567" width="6.875" style="2453" hidden="1" customWidth="1"/>
    <col min="2568" max="2569" width="5.875" style="2453" hidden="1" customWidth="1"/>
    <col min="2570" max="2570" width="11" style="2453" hidden="1" customWidth="1"/>
    <col min="2571" max="2571" width="12.375" style="2453" hidden="1" customWidth="1"/>
    <col min="2572" max="2572" width="12.625" style="2453" hidden="1" customWidth="1"/>
    <col min="2573" max="2573" width="12.375" style="2453" hidden="1" customWidth="1"/>
    <col min="2574" max="2575" width="6.625" style="2453" hidden="1" customWidth="1"/>
    <col min="2576" max="2576" width="1.875" style="2453" hidden="1" customWidth="1"/>
    <col min="2577" max="2577" width="8.375" style="2453" hidden="1" customWidth="1"/>
    <col min="2578" max="2578" width="6.625" style="2453" hidden="1" customWidth="1"/>
    <col min="2579" max="2579" width="6.875" style="2453" hidden="1" customWidth="1"/>
    <col min="2580" max="2580" width="10.875" style="2453" hidden="1" customWidth="1"/>
    <col min="2581" max="2769" width="10.625" style="2453" hidden="1" customWidth="1"/>
    <col min="2770" max="2817" width="9" style="2453" hidden="1"/>
    <col min="2818" max="2818" width="2.875" style="2453" hidden="1" customWidth="1"/>
    <col min="2819" max="2819" width="2.625" style="2453" hidden="1" customWidth="1"/>
    <col min="2820" max="2820" width="18" style="2453" hidden="1" customWidth="1"/>
    <col min="2821" max="2821" width="12.5" style="2453" hidden="1" customWidth="1"/>
    <col min="2822" max="2822" width="9.25" style="2453" hidden="1" customWidth="1"/>
    <col min="2823" max="2823" width="6.875" style="2453" hidden="1" customWidth="1"/>
    <col min="2824" max="2825" width="5.875" style="2453" hidden="1" customWidth="1"/>
    <col min="2826" max="2826" width="11" style="2453" hidden="1" customWidth="1"/>
    <col min="2827" max="2827" width="12.375" style="2453" hidden="1" customWidth="1"/>
    <col min="2828" max="2828" width="12.625" style="2453" hidden="1" customWidth="1"/>
    <col min="2829" max="2829" width="12.375" style="2453" hidden="1" customWidth="1"/>
    <col min="2830" max="2831" width="6.625" style="2453" hidden="1" customWidth="1"/>
    <col min="2832" max="2832" width="1.875" style="2453" hidden="1" customWidth="1"/>
    <col min="2833" max="2833" width="8.375" style="2453" hidden="1" customWidth="1"/>
    <col min="2834" max="2834" width="6.625" style="2453" hidden="1" customWidth="1"/>
    <col min="2835" max="2835" width="6.875" style="2453" hidden="1" customWidth="1"/>
    <col min="2836" max="2836" width="10.875" style="2453" hidden="1" customWidth="1"/>
    <col min="2837" max="3025" width="10.625" style="2453" hidden="1" customWidth="1"/>
    <col min="3026" max="3073" width="9" style="2453" hidden="1"/>
    <col min="3074" max="3074" width="2.875" style="2453" hidden="1" customWidth="1"/>
    <col min="3075" max="3075" width="2.625" style="2453" hidden="1" customWidth="1"/>
    <col min="3076" max="3076" width="18" style="2453" hidden="1" customWidth="1"/>
    <col min="3077" max="3077" width="12.5" style="2453" hidden="1" customWidth="1"/>
    <col min="3078" max="3078" width="9.25" style="2453" hidden="1" customWidth="1"/>
    <col min="3079" max="3079" width="6.875" style="2453" hidden="1" customWidth="1"/>
    <col min="3080" max="3081" width="5.875" style="2453" hidden="1" customWidth="1"/>
    <col min="3082" max="3082" width="11" style="2453" hidden="1" customWidth="1"/>
    <col min="3083" max="3083" width="12.375" style="2453" hidden="1" customWidth="1"/>
    <col min="3084" max="3084" width="12.625" style="2453" hidden="1" customWidth="1"/>
    <col min="3085" max="3085" width="12.375" style="2453" hidden="1" customWidth="1"/>
    <col min="3086" max="3087" width="6.625" style="2453" hidden="1" customWidth="1"/>
    <col min="3088" max="3088" width="1.875" style="2453" hidden="1" customWidth="1"/>
    <col min="3089" max="3089" width="8.375" style="2453" hidden="1" customWidth="1"/>
    <col min="3090" max="3090" width="6.625" style="2453" hidden="1" customWidth="1"/>
    <col min="3091" max="3091" width="6.875" style="2453" hidden="1" customWidth="1"/>
    <col min="3092" max="3092" width="10.875" style="2453" hidden="1" customWidth="1"/>
    <col min="3093" max="3281" width="10.625" style="2453" hidden="1" customWidth="1"/>
    <col min="3282" max="3329" width="9" style="2453" hidden="1"/>
    <col min="3330" max="3330" width="2.875" style="2453" hidden="1" customWidth="1"/>
    <col min="3331" max="3331" width="2.625" style="2453" hidden="1" customWidth="1"/>
    <col min="3332" max="3332" width="18" style="2453" hidden="1" customWidth="1"/>
    <col min="3333" max="3333" width="12.5" style="2453" hidden="1" customWidth="1"/>
    <col min="3334" max="3334" width="9.25" style="2453" hidden="1" customWidth="1"/>
    <col min="3335" max="3335" width="6.875" style="2453" hidden="1" customWidth="1"/>
    <col min="3336" max="3337" width="5.875" style="2453" hidden="1" customWidth="1"/>
    <col min="3338" max="3338" width="11" style="2453" hidden="1" customWidth="1"/>
    <col min="3339" max="3339" width="12.375" style="2453" hidden="1" customWidth="1"/>
    <col min="3340" max="3340" width="12.625" style="2453" hidden="1" customWidth="1"/>
    <col min="3341" max="3341" width="12.375" style="2453" hidden="1" customWidth="1"/>
    <col min="3342" max="3343" width="6.625" style="2453" hidden="1" customWidth="1"/>
    <col min="3344" max="3344" width="1.875" style="2453" hidden="1" customWidth="1"/>
    <col min="3345" max="3345" width="8.375" style="2453" hidden="1" customWidth="1"/>
    <col min="3346" max="3346" width="6.625" style="2453" hidden="1" customWidth="1"/>
    <col min="3347" max="3347" width="6.875" style="2453" hidden="1" customWidth="1"/>
    <col min="3348" max="3348" width="10.875" style="2453" hidden="1" customWidth="1"/>
    <col min="3349" max="3537" width="10.625" style="2453" hidden="1" customWidth="1"/>
    <col min="3538" max="3585" width="9" style="2453" hidden="1"/>
    <col min="3586" max="3586" width="2.875" style="2453" hidden="1" customWidth="1"/>
    <col min="3587" max="3587" width="2.625" style="2453" hidden="1" customWidth="1"/>
    <col min="3588" max="3588" width="18" style="2453" hidden="1" customWidth="1"/>
    <col min="3589" max="3589" width="12.5" style="2453" hidden="1" customWidth="1"/>
    <col min="3590" max="3590" width="9.25" style="2453" hidden="1" customWidth="1"/>
    <col min="3591" max="3591" width="6.875" style="2453" hidden="1" customWidth="1"/>
    <col min="3592" max="3593" width="5.875" style="2453" hidden="1" customWidth="1"/>
    <col min="3594" max="3594" width="11" style="2453" hidden="1" customWidth="1"/>
    <col min="3595" max="3595" width="12.375" style="2453" hidden="1" customWidth="1"/>
    <col min="3596" max="3596" width="12.625" style="2453" hidden="1" customWidth="1"/>
    <col min="3597" max="3597" width="12.375" style="2453" hidden="1" customWidth="1"/>
    <col min="3598" max="3599" width="6.625" style="2453" hidden="1" customWidth="1"/>
    <col min="3600" max="3600" width="1.875" style="2453" hidden="1" customWidth="1"/>
    <col min="3601" max="3601" width="8.375" style="2453" hidden="1" customWidth="1"/>
    <col min="3602" max="3602" width="6.625" style="2453" hidden="1" customWidth="1"/>
    <col min="3603" max="3603" width="6.875" style="2453" hidden="1" customWidth="1"/>
    <col min="3604" max="3604" width="10.875" style="2453" hidden="1" customWidth="1"/>
    <col min="3605" max="3793" width="10.625" style="2453" hidden="1" customWidth="1"/>
    <col min="3794" max="3841" width="9" style="2453" hidden="1"/>
    <col min="3842" max="3842" width="2.875" style="2453" hidden="1" customWidth="1"/>
    <col min="3843" max="3843" width="2.625" style="2453" hidden="1" customWidth="1"/>
    <col min="3844" max="3844" width="18" style="2453" hidden="1" customWidth="1"/>
    <col min="3845" max="3845" width="12.5" style="2453" hidden="1" customWidth="1"/>
    <col min="3846" max="3846" width="9.25" style="2453" hidden="1" customWidth="1"/>
    <col min="3847" max="3847" width="6.875" style="2453" hidden="1" customWidth="1"/>
    <col min="3848" max="3849" width="5.875" style="2453" hidden="1" customWidth="1"/>
    <col min="3850" max="3850" width="11" style="2453" hidden="1" customWidth="1"/>
    <col min="3851" max="3851" width="12.375" style="2453" hidden="1" customWidth="1"/>
    <col min="3852" max="3852" width="12.625" style="2453" hidden="1" customWidth="1"/>
    <col min="3853" max="3853" width="12.375" style="2453" hidden="1" customWidth="1"/>
    <col min="3854" max="3855" width="6.625" style="2453" hidden="1" customWidth="1"/>
    <col min="3856" max="3856" width="1.875" style="2453" hidden="1" customWidth="1"/>
    <col min="3857" max="3857" width="8.375" style="2453" hidden="1" customWidth="1"/>
    <col min="3858" max="3858" width="6.625" style="2453" hidden="1" customWidth="1"/>
    <col min="3859" max="3859" width="6.875" style="2453" hidden="1" customWidth="1"/>
    <col min="3860" max="3860" width="10.875" style="2453" hidden="1" customWidth="1"/>
    <col min="3861" max="4049" width="10.625" style="2453" hidden="1" customWidth="1"/>
    <col min="4050" max="4097" width="9" style="2453" hidden="1"/>
    <col min="4098" max="4098" width="2.875" style="2453" hidden="1" customWidth="1"/>
    <col min="4099" max="4099" width="2.625" style="2453" hidden="1" customWidth="1"/>
    <col min="4100" max="4100" width="18" style="2453" hidden="1" customWidth="1"/>
    <col min="4101" max="4101" width="12.5" style="2453" hidden="1" customWidth="1"/>
    <col min="4102" max="4102" width="9.25" style="2453" hidden="1" customWidth="1"/>
    <col min="4103" max="4103" width="6.875" style="2453" hidden="1" customWidth="1"/>
    <col min="4104" max="4105" width="5.875" style="2453" hidden="1" customWidth="1"/>
    <col min="4106" max="4106" width="11" style="2453" hidden="1" customWidth="1"/>
    <col min="4107" max="4107" width="12.375" style="2453" hidden="1" customWidth="1"/>
    <col min="4108" max="4108" width="12.625" style="2453" hidden="1" customWidth="1"/>
    <col min="4109" max="4109" width="12.375" style="2453" hidden="1" customWidth="1"/>
    <col min="4110" max="4111" width="6.625" style="2453" hidden="1" customWidth="1"/>
    <col min="4112" max="4112" width="1.875" style="2453" hidden="1" customWidth="1"/>
    <col min="4113" max="4113" width="8.375" style="2453" hidden="1" customWidth="1"/>
    <col min="4114" max="4114" width="6.625" style="2453" hidden="1" customWidth="1"/>
    <col min="4115" max="4115" width="6.875" style="2453" hidden="1" customWidth="1"/>
    <col min="4116" max="4116" width="10.875" style="2453" hidden="1" customWidth="1"/>
    <col min="4117" max="4305" width="10.625" style="2453" hidden="1" customWidth="1"/>
    <col min="4306" max="4353" width="9" style="2453" hidden="1"/>
    <col min="4354" max="4354" width="2.875" style="2453" hidden="1" customWidth="1"/>
    <col min="4355" max="4355" width="2.625" style="2453" hidden="1" customWidth="1"/>
    <col min="4356" max="4356" width="18" style="2453" hidden="1" customWidth="1"/>
    <col min="4357" max="4357" width="12.5" style="2453" hidden="1" customWidth="1"/>
    <col min="4358" max="4358" width="9.25" style="2453" hidden="1" customWidth="1"/>
    <col min="4359" max="4359" width="6.875" style="2453" hidden="1" customWidth="1"/>
    <col min="4360" max="4361" width="5.875" style="2453" hidden="1" customWidth="1"/>
    <col min="4362" max="4362" width="11" style="2453" hidden="1" customWidth="1"/>
    <col min="4363" max="4363" width="12.375" style="2453" hidden="1" customWidth="1"/>
    <col min="4364" max="4364" width="12.625" style="2453" hidden="1" customWidth="1"/>
    <col min="4365" max="4365" width="12.375" style="2453" hidden="1" customWidth="1"/>
    <col min="4366" max="4367" width="6.625" style="2453" hidden="1" customWidth="1"/>
    <col min="4368" max="4368" width="1.875" style="2453" hidden="1" customWidth="1"/>
    <col min="4369" max="4369" width="8.375" style="2453" hidden="1" customWidth="1"/>
    <col min="4370" max="4370" width="6.625" style="2453" hidden="1" customWidth="1"/>
    <col min="4371" max="4371" width="6.875" style="2453" hidden="1" customWidth="1"/>
    <col min="4372" max="4372" width="10.875" style="2453" hidden="1" customWidth="1"/>
    <col min="4373" max="4561" width="10.625" style="2453" hidden="1" customWidth="1"/>
    <col min="4562" max="4609" width="9" style="2453" hidden="1"/>
    <col min="4610" max="4610" width="2.875" style="2453" hidden="1" customWidth="1"/>
    <col min="4611" max="4611" width="2.625" style="2453" hidden="1" customWidth="1"/>
    <col min="4612" max="4612" width="18" style="2453" hidden="1" customWidth="1"/>
    <col min="4613" max="4613" width="12.5" style="2453" hidden="1" customWidth="1"/>
    <col min="4614" max="4614" width="9.25" style="2453" hidden="1" customWidth="1"/>
    <col min="4615" max="4615" width="6.875" style="2453" hidden="1" customWidth="1"/>
    <col min="4616" max="4617" width="5.875" style="2453" hidden="1" customWidth="1"/>
    <col min="4618" max="4618" width="11" style="2453" hidden="1" customWidth="1"/>
    <col min="4619" max="4619" width="12.375" style="2453" hidden="1" customWidth="1"/>
    <col min="4620" max="4620" width="12.625" style="2453" hidden="1" customWidth="1"/>
    <col min="4621" max="4621" width="12.375" style="2453" hidden="1" customWidth="1"/>
    <col min="4622" max="4623" width="6.625" style="2453" hidden="1" customWidth="1"/>
    <col min="4624" max="4624" width="1.875" style="2453" hidden="1" customWidth="1"/>
    <col min="4625" max="4625" width="8.375" style="2453" hidden="1" customWidth="1"/>
    <col min="4626" max="4626" width="6.625" style="2453" hidden="1" customWidth="1"/>
    <col min="4627" max="4627" width="6.875" style="2453" hidden="1" customWidth="1"/>
    <col min="4628" max="4628" width="10.875" style="2453" hidden="1" customWidth="1"/>
    <col min="4629" max="4817" width="10.625" style="2453" hidden="1" customWidth="1"/>
    <col min="4818" max="4865" width="9" style="2453" hidden="1"/>
    <col min="4866" max="4866" width="2.875" style="2453" hidden="1" customWidth="1"/>
    <col min="4867" max="4867" width="2.625" style="2453" hidden="1" customWidth="1"/>
    <col min="4868" max="4868" width="18" style="2453" hidden="1" customWidth="1"/>
    <col min="4869" max="4869" width="12.5" style="2453" hidden="1" customWidth="1"/>
    <col min="4870" max="4870" width="9.25" style="2453" hidden="1" customWidth="1"/>
    <col min="4871" max="4871" width="6.875" style="2453" hidden="1" customWidth="1"/>
    <col min="4872" max="4873" width="5.875" style="2453" hidden="1" customWidth="1"/>
    <col min="4874" max="4874" width="11" style="2453" hidden="1" customWidth="1"/>
    <col min="4875" max="4875" width="12.375" style="2453" hidden="1" customWidth="1"/>
    <col min="4876" max="4876" width="12.625" style="2453" hidden="1" customWidth="1"/>
    <col min="4877" max="4877" width="12.375" style="2453" hidden="1" customWidth="1"/>
    <col min="4878" max="4879" width="6.625" style="2453" hidden="1" customWidth="1"/>
    <col min="4880" max="4880" width="1.875" style="2453" hidden="1" customWidth="1"/>
    <col min="4881" max="4881" width="8.375" style="2453" hidden="1" customWidth="1"/>
    <col min="4882" max="4882" width="6.625" style="2453" hidden="1" customWidth="1"/>
    <col min="4883" max="4883" width="6.875" style="2453" hidden="1" customWidth="1"/>
    <col min="4884" max="4884" width="10.875" style="2453" hidden="1" customWidth="1"/>
    <col min="4885" max="5073" width="10.625" style="2453" hidden="1" customWidth="1"/>
    <col min="5074" max="5121" width="9" style="2453" hidden="1"/>
    <col min="5122" max="5122" width="2.875" style="2453" hidden="1" customWidth="1"/>
    <col min="5123" max="5123" width="2.625" style="2453" hidden="1" customWidth="1"/>
    <col min="5124" max="5124" width="18" style="2453" hidden="1" customWidth="1"/>
    <col min="5125" max="5125" width="12.5" style="2453" hidden="1" customWidth="1"/>
    <col min="5126" max="5126" width="9.25" style="2453" hidden="1" customWidth="1"/>
    <col min="5127" max="5127" width="6.875" style="2453" hidden="1" customWidth="1"/>
    <col min="5128" max="5129" width="5.875" style="2453" hidden="1" customWidth="1"/>
    <col min="5130" max="5130" width="11" style="2453" hidden="1" customWidth="1"/>
    <col min="5131" max="5131" width="12.375" style="2453" hidden="1" customWidth="1"/>
    <col min="5132" max="5132" width="12.625" style="2453" hidden="1" customWidth="1"/>
    <col min="5133" max="5133" width="12.375" style="2453" hidden="1" customWidth="1"/>
    <col min="5134" max="5135" width="6.625" style="2453" hidden="1" customWidth="1"/>
    <col min="5136" max="5136" width="1.875" style="2453" hidden="1" customWidth="1"/>
    <col min="5137" max="5137" width="8.375" style="2453" hidden="1" customWidth="1"/>
    <col min="5138" max="5138" width="6.625" style="2453" hidden="1" customWidth="1"/>
    <col min="5139" max="5139" width="6.875" style="2453" hidden="1" customWidth="1"/>
    <col min="5140" max="5140" width="10.875" style="2453" hidden="1" customWidth="1"/>
    <col min="5141" max="5329" width="10.625" style="2453" hidden="1" customWidth="1"/>
    <col min="5330" max="5377" width="9" style="2453" hidden="1"/>
    <col min="5378" max="5378" width="2.875" style="2453" hidden="1" customWidth="1"/>
    <col min="5379" max="5379" width="2.625" style="2453" hidden="1" customWidth="1"/>
    <col min="5380" max="5380" width="18" style="2453" hidden="1" customWidth="1"/>
    <col min="5381" max="5381" width="12.5" style="2453" hidden="1" customWidth="1"/>
    <col min="5382" max="5382" width="9.25" style="2453" hidden="1" customWidth="1"/>
    <col min="5383" max="5383" width="6.875" style="2453" hidden="1" customWidth="1"/>
    <col min="5384" max="5385" width="5.875" style="2453" hidden="1" customWidth="1"/>
    <col min="5386" max="5386" width="11" style="2453" hidden="1" customWidth="1"/>
    <col min="5387" max="5387" width="12.375" style="2453" hidden="1" customWidth="1"/>
    <col min="5388" max="5388" width="12.625" style="2453" hidden="1" customWidth="1"/>
    <col min="5389" max="5389" width="12.375" style="2453" hidden="1" customWidth="1"/>
    <col min="5390" max="5391" width="6.625" style="2453" hidden="1" customWidth="1"/>
    <col min="5392" max="5392" width="1.875" style="2453" hidden="1" customWidth="1"/>
    <col min="5393" max="5393" width="8.375" style="2453" hidden="1" customWidth="1"/>
    <col min="5394" max="5394" width="6.625" style="2453" hidden="1" customWidth="1"/>
    <col min="5395" max="5395" width="6.875" style="2453" hidden="1" customWidth="1"/>
    <col min="5396" max="5396" width="10.875" style="2453" hidden="1" customWidth="1"/>
    <col min="5397" max="5585" width="10.625" style="2453" hidden="1" customWidth="1"/>
    <col min="5586" max="5633" width="9" style="2453" hidden="1"/>
    <col min="5634" max="5634" width="2.875" style="2453" hidden="1" customWidth="1"/>
    <col min="5635" max="5635" width="2.625" style="2453" hidden="1" customWidth="1"/>
    <col min="5636" max="5636" width="18" style="2453" hidden="1" customWidth="1"/>
    <col min="5637" max="5637" width="12.5" style="2453" hidden="1" customWidth="1"/>
    <col min="5638" max="5638" width="9.25" style="2453" hidden="1" customWidth="1"/>
    <col min="5639" max="5639" width="6.875" style="2453" hidden="1" customWidth="1"/>
    <col min="5640" max="5641" width="5.875" style="2453" hidden="1" customWidth="1"/>
    <col min="5642" max="5642" width="11" style="2453" hidden="1" customWidth="1"/>
    <col min="5643" max="5643" width="12.375" style="2453" hidden="1" customWidth="1"/>
    <col min="5644" max="5644" width="12.625" style="2453" hidden="1" customWidth="1"/>
    <col min="5645" max="5645" width="12.375" style="2453" hidden="1" customWidth="1"/>
    <col min="5646" max="5647" width="6.625" style="2453" hidden="1" customWidth="1"/>
    <col min="5648" max="5648" width="1.875" style="2453" hidden="1" customWidth="1"/>
    <col min="5649" max="5649" width="8.375" style="2453" hidden="1" customWidth="1"/>
    <col min="5650" max="5650" width="6.625" style="2453" hidden="1" customWidth="1"/>
    <col min="5651" max="5651" width="6.875" style="2453" hidden="1" customWidth="1"/>
    <col min="5652" max="5652" width="10.875" style="2453" hidden="1" customWidth="1"/>
    <col min="5653" max="5841" width="10.625" style="2453" hidden="1" customWidth="1"/>
    <col min="5842" max="5889" width="9" style="2453" hidden="1"/>
    <col min="5890" max="5890" width="2.875" style="2453" hidden="1" customWidth="1"/>
    <col min="5891" max="5891" width="2.625" style="2453" hidden="1" customWidth="1"/>
    <col min="5892" max="5892" width="18" style="2453" hidden="1" customWidth="1"/>
    <col min="5893" max="5893" width="12.5" style="2453" hidden="1" customWidth="1"/>
    <col min="5894" max="5894" width="9.25" style="2453" hidden="1" customWidth="1"/>
    <col min="5895" max="5895" width="6.875" style="2453" hidden="1" customWidth="1"/>
    <col min="5896" max="5897" width="5.875" style="2453" hidden="1" customWidth="1"/>
    <col min="5898" max="5898" width="11" style="2453" hidden="1" customWidth="1"/>
    <col min="5899" max="5899" width="12.375" style="2453" hidden="1" customWidth="1"/>
    <col min="5900" max="5900" width="12.625" style="2453" hidden="1" customWidth="1"/>
    <col min="5901" max="5901" width="12.375" style="2453" hidden="1" customWidth="1"/>
    <col min="5902" max="5903" width="6.625" style="2453" hidden="1" customWidth="1"/>
    <col min="5904" max="5904" width="1.875" style="2453" hidden="1" customWidth="1"/>
    <col min="5905" max="5905" width="8.375" style="2453" hidden="1" customWidth="1"/>
    <col min="5906" max="5906" width="6.625" style="2453" hidden="1" customWidth="1"/>
    <col min="5907" max="5907" width="6.875" style="2453" hidden="1" customWidth="1"/>
    <col min="5908" max="5908" width="10.875" style="2453" hidden="1" customWidth="1"/>
    <col min="5909" max="6097" width="10.625" style="2453" hidden="1" customWidth="1"/>
    <col min="6098" max="6145" width="9" style="2453" hidden="1"/>
    <col min="6146" max="6146" width="2.875" style="2453" hidden="1" customWidth="1"/>
    <col min="6147" max="6147" width="2.625" style="2453" hidden="1" customWidth="1"/>
    <col min="6148" max="6148" width="18" style="2453" hidden="1" customWidth="1"/>
    <col min="6149" max="6149" width="12.5" style="2453" hidden="1" customWidth="1"/>
    <col min="6150" max="6150" width="9.25" style="2453" hidden="1" customWidth="1"/>
    <col min="6151" max="6151" width="6.875" style="2453" hidden="1" customWidth="1"/>
    <col min="6152" max="6153" width="5.875" style="2453" hidden="1" customWidth="1"/>
    <col min="6154" max="6154" width="11" style="2453" hidden="1" customWidth="1"/>
    <col min="6155" max="6155" width="12.375" style="2453" hidden="1" customWidth="1"/>
    <col min="6156" max="6156" width="12.625" style="2453" hidden="1" customWidth="1"/>
    <col min="6157" max="6157" width="12.375" style="2453" hidden="1" customWidth="1"/>
    <col min="6158" max="6159" width="6.625" style="2453" hidden="1" customWidth="1"/>
    <col min="6160" max="6160" width="1.875" style="2453" hidden="1" customWidth="1"/>
    <col min="6161" max="6161" width="8.375" style="2453" hidden="1" customWidth="1"/>
    <col min="6162" max="6162" width="6.625" style="2453" hidden="1" customWidth="1"/>
    <col min="6163" max="6163" width="6.875" style="2453" hidden="1" customWidth="1"/>
    <col min="6164" max="6164" width="10.875" style="2453" hidden="1" customWidth="1"/>
    <col min="6165" max="6353" width="10.625" style="2453" hidden="1" customWidth="1"/>
    <col min="6354" max="6401" width="9" style="2453" hidden="1"/>
    <col min="6402" max="6402" width="2.875" style="2453" hidden="1" customWidth="1"/>
    <col min="6403" max="6403" width="2.625" style="2453" hidden="1" customWidth="1"/>
    <col min="6404" max="6404" width="18" style="2453" hidden="1" customWidth="1"/>
    <col min="6405" max="6405" width="12.5" style="2453" hidden="1" customWidth="1"/>
    <col min="6406" max="6406" width="9.25" style="2453" hidden="1" customWidth="1"/>
    <col min="6407" max="6407" width="6.875" style="2453" hidden="1" customWidth="1"/>
    <col min="6408" max="6409" width="5.875" style="2453" hidden="1" customWidth="1"/>
    <col min="6410" max="6410" width="11" style="2453" hidden="1" customWidth="1"/>
    <col min="6411" max="6411" width="12.375" style="2453" hidden="1" customWidth="1"/>
    <col min="6412" max="6412" width="12.625" style="2453" hidden="1" customWidth="1"/>
    <col min="6413" max="6413" width="12.375" style="2453" hidden="1" customWidth="1"/>
    <col min="6414" max="6415" width="6.625" style="2453" hidden="1" customWidth="1"/>
    <col min="6416" max="6416" width="1.875" style="2453" hidden="1" customWidth="1"/>
    <col min="6417" max="6417" width="8.375" style="2453" hidden="1" customWidth="1"/>
    <col min="6418" max="6418" width="6.625" style="2453" hidden="1" customWidth="1"/>
    <col min="6419" max="6419" width="6.875" style="2453" hidden="1" customWidth="1"/>
    <col min="6420" max="6420" width="10.875" style="2453" hidden="1" customWidth="1"/>
    <col min="6421" max="6609" width="10.625" style="2453" hidden="1" customWidth="1"/>
    <col min="6610" max="6657" width="9" style="2453" hidden="1"/>
    <col min="6658" max="6658" width="2.875" style="2453" hidden="1" customWidth="1"/>
    <col min="6659" max="6659" width="2.625" style="2453" hidden="1" customWidth="1"/>
    <col min="6660" max="6660" width="18" style="2453" hidden="1" customWidth="1"/>
    <col min="6661" max="6661" width="12.5" style="2453" hidden="1" customWidth="1"/>
    <col min="6662" max="6662" width="9.25" style="2453" hidden="1" customWidth="1"/>
    <col min="6663" max="6663" width="6.875" style="2453" hidden="1" customWidth="1"/>
    <col min="6664" max="6665" width="5.875" style="2453" hidden="1" customWidth="1"/>
    <col min="6666" max="6666" width="11" style="2453" hidden="1" customWidth="1"/>
    <col min="6667" max="6667" width="12.375" style="2453" hidden="1" customWidth="1"/>
    <col min="6668" max="6668" width="12.625" style="2453" hidden="1" customWidth="1"/>
    <col min="6669" max="6669" width="12.375" style="2453" hidden="1" customWidth="1"/>
    <col min="6670" max="6671" width="6.625" style="2453" hidden="1" customWidth="1"/>
    <col min="6672" max="6672" width="1.875" style="2453" hidden="1" customWidth="1"/>
    <col min="6673" max="6673" width="8.375" style="2453" hidden="1" customWidth="1"/>
    <col min="6674" max="6674" width="6.625" style="2453" hidden="1" customWidth="1"/>
    <col min="6675" max="6675" width="6.875" style="2453" hidden="1" customWidth="1"/>
    <col min="6676" max="6676" width="10.875" style="2453" hidden="1" customWidth="1"/>
    <col min="6677" max="6865" width="10.625" style="2453" hidden="1" customWidth="1"/>
    <col min="6866" max="6913" width="9" style="2453" hidden="1"/>
    <col min="6914" max="6914" width="2.875" style="2453" hidden="1" customWidth="1"/>
    <col min="6915" max="6915" width="2.625" style="2453" hidden="1" customWidth="1"/>
    <col min="6916" max="6916" width="18" style="2453" hidden="1" customWidth="1"/>
    <col min="6917" max="6917" width="12.5" style="2453" hidden="1" customWidth="1"/>
    <col min="6918" max="6918" width="9.25" style="2453" hidden="1" customWidth="1"/>
    <col min="6919" max="6919" width="6.875" style="2453" hidden="1" customWidth="1"/>
    <col min="6920" max="6921" width="5.875" style="2453" hidden="1" customWidth="1"/>
    <col min="6922" max="6922" width="11" style="2453" hidden="1" customWidth="1"/>
    <col min="6923" max="6923" width="12.375" style="2453" hidden="1" customWidth="1"/>
    <col min="6924" max="6924" width="12.625" style="2453" hidden="1" customWidth="1"/>
    <col min="6925" max="6925" width="12.375" style="2453" hidden="1" customWidth="1"/>
    <col min="6926" max="6927" width="6.625" style="2453" hidden="1" customWidth="1"/>
    <col min="6928" max="6928" width="1.875" style="2453" hidden="1" customWidth="1"/>
    <col min="6929" max="6929" width="8.375" style="2453" hidden="1" customWidth="1"/>
    <col min="6930" max="6930" width="6.625" style="2453" hidden="1" customWidth="1"/>
    <col min="6931" max="6931" width="6.875" style="2453" hidden="1" customWidth="1"/>
    <col min="6932" max="6932" width="10.875" style="2453" hidden="1" customWidth="1"/>
    <col min="6933" max="7121" width="10.625" style="2453" hidden="1" customWidth="1"/>
    <col min="7122" max="7169" width="9" style="2453" hidden="1"/>
    <col min="7170" max="7170" width="2.875" style="2453" hidden="1" customWidth="1"/>
    <col min="7171" max="7171" width="2.625" style="2453" hidden="1" customWidth="1"/>
    <col min="7172" max="7172" width="18" style="2453" hidden="1" customWidth="1"/>
    <col min="7173" max="7173" width="12.5" style="2453" hidden="1" customWidth="1"/>
    <col min="7174" max="7174" width="9.25" style="2453" hidden="1" customWidth="1"/>
    <col min="7175" max="7175" width="6.875" style="2453" hidden="1" customWidth="1"/>
    <col min="7176" max="7177" width="5.875" style="2453" hidden="1" customWidth="1"/>
    <col min="7178" max="7178" width="11" style="2453" hidden="1" customWidth="1"/>
    <col min="7179" max="7179" width="12.375" style="2453" hidden="1" customWidth="1"/>
    <col min="7180" max="7180" width="12.625" style="2453" hidden="1" customWidth="1"/>
    <col min="7181" max="7181" width="12.375" style="2453" hidden="1" customWidth="1"/>
    <col min="7182" max="7183" width="6.625" style="2453" hidden="1" customWidth="1"/>
    <col min="7184" max="7184" width="1.875" style="2453" hidden="1" customWidth="1"/>
    <col min="7185" max="7185" width="8.375" style="2453" hidden="1" customWidth="1"/>
    <col min="7186" max="7186" width="6.625" style="2453" hidden="1" customWidth="1"/>
    <col min="7187" max="7187" width="6.875" style="2453" hidden="1" customWidth="1"/>
    <col min="7188" max="7188" width="10.875" style="2453" hidden="1" customWidth="1"/>
    <col min="7189" max="7377" width="10.625" style="2453" hidden="1" customWidth="1"/>
    <col min="7378" max="7425" width="9" style="2453" hidden="1"/>
    <col min="7426" max="7426" width="2.875" style="2453" hidden="1" customWidth="1"/>
    <col min="7427" max="7427" width="2.625" style="2453" hidden="1" customWidth="1"/>
    <col min="7428" max="7428" width="18" style="2453" hidden="1" customWidth="1"/>
    <col min="7429" max="7429" width="12.5" style="2453" hidden="1" customWidth="1"/>
    <col min="7430" max="7430" width="9.25" style="2453" hidden="1" customWidth="1"/>
    <col min="7431" max="7431" width="6.875" style="2453" hidden="1" customWidth="1"/>
    <col min="7432" max="7433" width="5.875" style="2453" hidden="1" customWidth="1"/>
    <col min="7434" max="7434" width="11" style="2453" hidden="1" customWidth="1"/>
    <col min="7435" max="7435" width="12.375" style="2453" hidden="1" customWidth="1"/>
    <col min="7436" max="7436" width="12.625" style="2453" hidden="1" customWidth="1"/>
    <col min="7437" max="7437" width="12.375" style="2453" hidden="1" customWidth="1"/>
    <col min="7438" max="7439" width="6.625" style="2453" hidden="1" customWidth="1"/>
    <col min="7440" max="7440" width="1.875" style="2453" hidden="1" customWidth="1"/>
    <col min="7441" max="7441" width="8.375" style="2453" hidden="1" customWidth="1"/>
    <col min="7442" max="7442" width="6.625" style="2453" hidden="1" customWidth="1"/>
    <col min="7443" max="7443" width="6.875" style="2453" hidden="1" customWidth="1"/>
    <col min="7444" max="7444" width="10.875" style="2453" hidden="1" customWidth="1"/>
    <col min="7445" max="7633" width="10.625" style="2453" hidden="1" customWidth="1"/>
    <col min="7634" max="7681" width="9" style="2453" hidden="1"/>
    <col min="7682" max="7682" width="2.875" style="2453" hidden="1" customWidth="1"/>
    <col min="7683" max="7683" width="2.625" style="2453" hidden="1" customWidth="1"/>
    <col min="7684" max="7684" width="18" style="2453" hidden="1" customWidth="1"/>
    <col min="7685" max="7685" width="12.5" style="2453" hidden="1" customWidth="1"/>
    <col min="7686" max="7686" width="9.25" style="2453" hidden="1" customWidth="1"/>
    <col min="7687" max="7687" width="6.875" style="2453" hidden="1" customWidth="1"/>
    <col min="7688" max="7689" width="5.875" style="2453" hidden="1" customWidth="1"/>
    <col min="7690" max="7690" width="11" style="2453" hidden="1" customWidth="1"/>
    <col min="7691" max="7691" width="12.375" style="2453" hidden="1" customWidth="1"/>
    <col min="7692" max="7692" width="12.625" style="2453" hidden="1" customWidth="1"/>
    <col min="7693" max="7693" width="12.375" style="2453" hidden="1" customWidth="1"/>
    <col min="7694" max="7695" width="6.625" style="2453" hidden="1" customWidth="1"/>
    <col min="7696" max="7696" width="1.875" style="2453" hidden="1" customWidth="1"/>
    <col min="7697" max="7697" width="8.375" style="2453" hidden="1" customWidth="1"/>
    <col min="7698" max="7698" width="6.625" style="2453" hidden="1" customWidth="1"/>
    <col min="7699" max="7699" width="6.875" style="2453" hidden="1" customWidth="1"/>
    <col min="7700" max="7700" width="10.875" style="2453" hidden="1" customWidth="1"/>
    <col min="7701" max="7889" width="10.625" style="2453" hidden="1" customWidth="1"/>
    <col min="7890" max="7937" width="9" style="2453" hidden="1"/>
    <col min="7938" max="7938" width="2.875" style="2453" hidden="1" customWidth="1"/>
    <col min="7939" max="7939" width="2.625" style="2453" hidden="1" customWidth="1"/>
    <col min="7940" max="7940" width="18" style="2453" hidden="1" customWidth="1"/>
    <col min="7941" max="7941" width="12.5" style="2453" hidden="1" customWidth="1"/>
    <col min="7942" max="7942" width="9.25" style="2453" hidden="1" customWidth="1"/>
    <col min="7943" max="7943" width="6.875" style="2453" hidden="1" customWidth="1"/>
    <col min="7944" max="7945" width="5.875" style="2453" hidden="1" customWidth="1"/>
    <col min="7946" max="7946" width="11" style="2453" hidden="1" customWidth="1"/>
    <col min="7947" max="7947" width="12.375" style="2453" hidden="1" customWidth="1"/>
    <col min="7948" max="7948" width="12.625" style="2453" hidden="1" customWidth="1"/>
    <col min="7949" max="7949" width="12.375" style="2453" hidden="1" customWidth="1"/>
    <col min="7950" max="7951" width="6.625" style="2453" hidden="1" customWidth="1"/>
    <col min="7952" max="7952" width="1.875" style="2453" hidden="1" customWidth="1"/>
    <col min="7953" max="7953" width="8.375" style="2453" hidden="1" customWidth="1"/>
    <col min="7954" max="7954" width="6.625" style="2453" hidden="1" customWidth="1"/>
    <col min="7955" max="7955" width="6.875" style="2453" hidden="1" customWidth="1"/>
    <col min="7956" max="7956" width="10.875" style="2453" hidden="1" customWidth="1"/>
    <col min="7957" max="8145" width="10.625" style="2453" hidden="1" customWidth="1"/>
    <col min="8146" max="8193" width="9" style="2453" hidden="1"/>
    <col min="8194" max="8194" width="2.875" style="2453" hidden="1" customWidth="1"/>
    <col min="8195" max="8195" width="2.625" style="2453" hidden="1" customWidth="1"/>
    <col min="8196" max="8196" width="18" style="2453" hidden="1" customWidth="1"/>
    <col min="8197" max="8197" width="12.5" style="2453" hidden="1" customWidth="1"/>
    <col min="8198" max="8198" width="9.25" style="2453" hidden="1" customWidth="1"/>
    <col min="8199" max="8199" width="6.875" style="2453" hidden="1" customWidth="1"/>
    <col min="8200" max="8201" width="5.875" style="2453" hidden="1" customWidth="1"/>
    <col min="8202" max="8202" width="11" style="2453" hidden="1" customWidth="1"/>
    <col min="8203" max="8203" width="12.375" style="2453" hidden="1" customWidth="1"/>
    <col min="8204" max="8204" width="12.625" style="2453" hidden="1" customWidth="1"/>
    <col min="8205" max="8205" width="12.375" style="2453" hidden="1" customWidth="1"/>
    <col min="8206" max="8207" width="6.625" style="2453" hidden="1" customWidth="1"/>
    <col min="8208" max="8208" width="1.875" style="2453" hidden="1" customWidth="1"/>
    <col min="8209" max="8209" width="8.375" style="2453" hidden="1" customWidth="1"/>
    <col min="8210" max="8210" width="6.625" style="2453" hidden="1" customWidth="1"/>
    <col min="8211" max="8211" width="6.875" style="2453" hidden="1" customWidth="1"/>
    <col min="8212" max="8212" width="10.875" style="2453" hidden="1" customWidth="1"/>
    <col min="8213" max="8401" width="10.625" style="2453" hidden="1" customWidth="1"/>
    <col min="8402" max="8449" width="9" style="2453" hidden="1"/>
    <col min="8450" max="8450" width="2.875" style="2453" hidden="1" customWidth="1"/>
    <col min="8451" max="8451" width="2.625" style="2453" hidden="1" customWidth="1"/>
    <col min="8452" max="8452" width="18" style="2453" hidden="1" customWidth="1"/>
    <col min="8453" max="8453" width="12.5" style="2453" hidden="1" customWidth="1"/>
    <col min="8454" max="8454" width="9.25" style="2453" hidden="1" customWidth="1"/>
    <col min="8455" max="8455" width="6.875" style="2453" hidden="1" customWidth="1"/>
    <col min="8456" max="8457" width="5.875" style="2453" hidden="1" customWidth="1"/>
    <col min="8458" max="8458" width="11" style="2453" hidden="1" customWidth="1"/>
    <col min="8459" max="8459" width="12.375" style="2453" hidden="1" customWidth="1"/>
    <col min="8460" max="8460" width="12.625" style="2453" hidden="1" customWidth="1"/>
    <col min="8461" max="8461" width="12.375" style="2453" hidden="1" customWidth="1"/>
    <col min="8462" max="8463" width="6.625" style="2453" hidden="1" customWidth="1"/>
    <col min="8464" max="8464" width="1.875" style="2453" hidden="1" customWidth="1"/>
    <col min="8465" max="8465" width="8.375" style="2453" hidden="1" customWidth="1"/>
    <col min="8466" max="8466" width="6.625" style="2453" hidden="1" customWidth="1"/>
    <col min="8467" max="8467" width="6.875" style="2453" hidden="1" customWidth="1"/>
    <col min="8468" max="8468" width="10.875" style="2453" hidden="1" customWidth="1"/>
    <col min="8469" max="8657" width="10.625" style="2453" hidden="1" customWidth="1"/>
    <col min="8658" max="8705" width="9" style="2453" hidden="1"/>
    <col min="8706" max="8706" width="2.875" style="2453" hidden="1" customWidth="1"/>
    <col min="8707" max="8707" width="2.625" style="2453" hidden="1" customWidth="1"/>
    <col min="8708" max="8708" width="18" style="2453" hidden="1" customWidth="1"/>
    <col min="8709" max="8709" width="12.5" style="2453" hidden="1" customWidth="1"/>
    <col min="8710" max="8710" width="9.25" style="2453" hidden="1" customWidth="1"/>
    <col min="8711" max="8711" width="6.875" style="2453" hidden="1" customWidth="1"/>
    <col min="8712" max="8713" width="5.875" style="2453" hidden="1" customWidth="1"/>
    <col min="8714" max="8714" width="11" style="2453" hidden="1" customWidth="1"/>
    <col min="8715" max="8715" width="12.375" style="2453" hidden="1" customWidth="1"/>
    <col min="8716" max="8716" width="12.625" style="2453" hidden="1" customWidth="1"/>
    <col min="8717" max="8717" width="12.375" style="2453" hidden="1" customWidth="1"/>
    <col min="8718" max="8719" width="6.625" style="2453" hidden="1" customWidth="1"/>
    <col min="8720" max="8720" width="1.875" style="2453" hidden="1" customWidth="1"/>
    <col min="8721" max="8721" width="8.375" style="2453" hidden="1" customWidth="1"/>
    <col min="8722" max="8722" width="6.625" style="2453" hidden="1" customWidth="1"/>
    <col min="8723" max="8723" width="6.875" style="2453" hidden="1" customWidth="1"/>
    <col min="8724" max="8724" width="10.875" style="2453" hidden="1" customWidth="1"/>
    <col min="8725" max="8913" width="10.625" style="2453" hidden="1" customWidth="1"/>
    <col min="8914" max="8961" width="9" style="2453" hidden="1"/>
    <col min="8962" max="8962" width="2.875" style="2453" hidden="1" customWidth="1"/>
    <col min="8963" max="8963" width="2.625" style="2453" hidden="1" customWidth="1"/>
    <col min="8964" max="8964" width="18" style="2453" hidden="1" customWidth="1"/>
    <col min="8965" max="8965" width="12.5" style="2453" hidden="1" customWidth="1"/>
    <col min="8966" max="8966" width="9.25" style="2453" hidden="1" customWidth="1"/>
    <col min="8967" max="8967" width="6.875" style="2453" hidden="1" customWidth="1"/>
    <col min="8968" max="8969" width="5.875" style="2453" hidden="1" customWidth="1"/>
    <col min="8970" max="8970" width="11" style="2453" hidden="1" customWidth="1"/>
    <col min="8971" max="8971" width="12.375" style="2453" hidden="1" customWidth="1"/>
    <col min="8972" max="8972" width="12.625" style="2453" hidden="1" customWidth="1"/>
    <col min="8973" max="8973" width="12.375" style="2453" hidden="1" customWidth="1"/>
    <col min="8974" max="8975" width="6.625" style="2453" hidden="1" customWidth="1"/>
    <col min="8976" max="8976" width="1.875" style="2453" hidden="1" customWidth="1"/>
    <col min="8977" max="8977" width="8.375" style="2453" hidden="1" customWidth="1"/>
    <col min="8978" max="8978" width="6.625" style="2453" hidden="1" customWidth="1"/>
    <col min="8979" max="8979" width="6.875" style="2453" hidden="1" customWidth="1"/>
    <col min="8980" max="8980" width="10.875" style="2453" hidden="1" customWidth="1"/>
    <col min="8981" max="9169" width="10.625" style="2453" hidden="1" customWidth="1"/>
    <col min="9170" max="9217" width="9" style="2453" hidden="1"/>
    <col min="9218" max="9218" width="2.875" style="2453" hidden="1" customWidth="1"/>
    <col min="9219" max="9219" width="2.625" style="2453" hidden="1" customWidth="1"/>
    <col min="9220" max="9220" width="18" style="2453" hidden="1" customWidth="1"/>
    <col min="9221" max="9221" width="12.5" style="2453" hidden="1" customWidth="1"/>
    <col min="9222" max="9222" width="9.25" style="2453" hidden="1" customWidth="1"/>
    <col min="9223" max="9223" width="6.875" style="2453" hidden="1" customWidth="1"/>
    <col min="9224" max="9225" width="5.875" style="2453" hidden="1" customWidth="1"/>
    <col min="9226" max="9226" width="11" style="2453" hidden="1" customWidth="1"/>
    <col min="9227" max="9227" width="12.375" style="2453" hidden="1" customWidth="1"/>
    <col min="9228" max="9228" width="12.625" style="2453" hidden="1" customWidth="1"/>
    <col min="9229" max="9229" width="12.375" style="2453" hidden="1" customWidth="1"/>
    <col min="9230" max="9231" width="6.625" style="2453" hidden="1" customWidth="1"/>
    <col min="9232" max="9232" width="1.875" style="2453" hidden="1" customWidth="1"/>
    <col min="9233" max="9233" width="8.375" style="2453" hidden="1" customWidth="1"/>
    <col min="9234" max="9234" width="6.625" style="2453" hidden="1" customWidth="1"/>
    <col min="9235" max="9235" width="6.875" style="2453" hidden="1" customWidth="1"/>
    <col min="9236" max="9236" width="10.875" style="2453" hidden="1" customWidth="1"/>
    <col min="9237" max="9425" width="10.625" style="2453" hidden="1" customWidth="1"/>
    <col min="9426" max="9473" width="9" style="2453" hidden="1"/>
    <col min="9474" max="9474" width="2.875" style="2453" hidden="1" customWidth="1"/>
    <col min="9475" max="9475" width="2.625" style="2453" hidden="1" customWidth="1"/>
    <col min="9476" max="9476" width="18" style="2453" hidden="1" customWidth="1"/>
    <col min="9477" max="9477" width="12.5" style="2453" hidden="1" customWidth="1"/>
    <col min="9478" max="9478" width="9.25" style="2453" hidden="1" customWidth="1"/>
    <col min="9479" max="9479" width="6.875" style="2453" hidden="1" customWidth="1"/>
    <col min="9480" max="9481" width="5.875" style="2453" hidden="1" customWidth="1"/>
    <col min="9482" max="9482" width="11" style="2453" hidden="1" customWidth="1"/>
    <col min="9483" max="9483" width="12.375" style="2453" hidden="1" customWidth="1"/>
    <col min="9484" max="9484" width="12.625" style="2453" hidden="1" customWidth="1"/>
    <col min="9485" max="9485" width="12.375" style="2453" hidden="1" customWidth="1"/>
    <col min="9486" max="9487" width="6.625" style="2453" hidden="1" customWidth="1"/>
    <col min="9488" max="9488" width="1.875" style="2453" hidden="1" customWidth="1"/>
    <col min="9489" max="9489" width="8.375" style="2453" hidden="1" customWidth="1"/>
    <col min="9490" max="9490" width="6.625" style="2453" hidden="1" customWidth="1"/>
    <col min="9491" max="9491" width="6.875" style="2453" hidden="1" customWidth="1"/>
    <col min="9492" max="9492" width="10.875" style="2453" hidden="1" customWidth="1"/>
    <col min="9493" max="9681" width="10.625" style="2453" hidden="1" customWidth="1"/>
    <col min="9682" max="9729" width="9" style="2453" hidden="1"/>
    <col min="9730" max="9730" width="2.875" style="2453" hidden="1" customWidth="1"/>
    <col min="9731" max="9731" width="2.625" style="2453" hidden="1" customWidth="1"/>
    <col min="9732" max="9732" width="18" style="2453" hidden="1" customWidth="1"/>
    <col min="9733" max="9733" width="12.5" style="2453" hidden="1" customWidth="1"/>
    <col min="9734" max="9734" width="9.25" style="2453" hidden="1" customWidth="1"/>
    <col min="9735" max="9735" width="6.875" style="2453" hidden="1" customWidth="1"/>
    <col min="9736" max="9737" width="5.875" style="2453" hidden="1" customWidth="1"/>
    <col min="9738" max="9738" width="11" style="2453" hidden="1" customWidth="1"/>
    <col min="9739" max="9739" width="12.375" style="2453" hidden="1" customWidth="1"/>
    <col min="9740" max="9740" width="12.625" style="2453" hidden="1" customWidth="1"/>
    <col min="9741" max="9741" width="12.375" style="2453" hidden="1" customWidth="1"/>
    <col min="9742" max="9743" width="6.625" style="2453" hidden="1" customWidth="1"/>
    <col min="9744" max="9744" width="1.875" style="2453" hidden="1" customWidth="1"/>
    <col min="9745" max="9745" width="8.375" style="2453" hidden="1" customWidth="1"/>
    <col min="9746" max="9746" width="6.625" style="2453" hidden="1" customWidth="1"/>
    <col min="9747" max="9747" width="6.875" style="2453" hidden="1" customWidth="1"/>
    <col min="9748" max="9748" width="10.875" style="2453" hidden="1" customWidth="1"/>
    <col min="9749" max="9937" width="10.625" style="2453" hidden="1" customWidth="1"/>
    <col min="9938" max="9985" width="9" style="2453" hidden="1"/>
    <col min="9986" max="9986" width="2.875" style="2453" hidden="1" customWidth="1"/>
    <col min="9987" max="9987" width="2.625" style="2453" hidden="1" customWidth="1"/>
    <col min="9988" max="9988" width="18" style="2453" hidden="1" customWidth="1"/>
    <col min="9989" max="9989" width="12.5" style="2453" hidden="1" customWidth="1"/>
    <col min="9990" max="9990" width="9.25" style="2453" hidden="1" customWidth="1"/>
    <col min="9991" max="9991" width="6.875" style="2453" hidden="1" customWidth="1"/>
    <col min="9992" max="9993" width="5.875" style="2453" hidden="1" customWidth="1"/>
    <col min="9994" max="9994" width="11" style="2453" hidden="1" customWidth="1"/>
    <col min="9995" max="9995" width="12.375" style="2453" hidden="1" customWidth="1"/>
    <col min="9996" max="9996" width="12.625" style="2453" hidden="1" customWidth="1"/>
    <col min="9997" max="9997" width="12.375" style="2453" hidden="1" customWidth="1"/>
    <col min="9998" max="9999" width="6.625" style="2453" hidden="1" customWidth="1"/>
    <col min="10000" max="10000" width="1.875" style="2453" hidden="1" customWidth="1"/>
    <col min="10001" max="10001" width="8.375" style="2453" hidden="1" customWidth="1"/>
    <col min="10002" max="10002" width="6.625" style="2453" hidden="1" customWidth="1"/>
    <col min="10003" max="10003" width="6.875" style="2453" hidden="1" customWidth="1"/>
    <col min="10004" max="10004" width="10.875" style="2453" hidden="1" customWidth="1"/>
    <col min="10005" max="10193" width="10.625" style="2453" hidden="1" customWidth="1"/>
    <col min="10194" max="10241" width="9" style="2453" hidden="1"/>
    <col min="10242" max="10242" width="2.875" style="2453" hidden="1" customWidth="1"/>
    <col min="10243" max="10243" width="2.625" style="2453" hidden="1" customWidth="1"/>
    <col min="10244" max="10244" width="18" style="2453" hidden="1" customWidth="1"/>
    <col min="10245" max="10245" width="12.5" style="2453" hidden="1" customWidth="1"/>
    <col min="10246" max="10246" width="9.25" style="2453" hidden="1" customWidth="1"/>
    <col min="10247" max="10247" width="6.875" style="2453" hidden="1" customWidth="1"/>
    <col min="10248" max="10249" width="5.875" style="2453" hidden="1" customWidth="1"/>
    <col min="10250" max="10250" width="11" style="2453" hidden="1" customWidth="1"/>
    <col min="10251" max="10251" width="12.375" style="2453" hidden="1" customWidth="1"/>
    <col min="10252" max="10252" width="12.625" style="2453" hidden="1" customWidth="1"/>
    <col min="10253" max="10253" width="12.375" style="2453" hidden="1" customWidth="1"/>
    <col min="10254" max="10255" width="6.625" style="2453" hidden="1" customWidth="1"/>
    <col min="10256" max="10256" width="1.875" style="2453" hidden="1" customWidth="1"/>
    <col min="10257" max="10257" width="8.375" style="2453" hidden="1" customWidth="1"/>
    <col min="10258" max="10258" width="6.625" style="2453" hidden="1" customWidth="1"/>
    <col min="10259" max="10259" width="6.875" style="2453" hidden="1" customWidth="1"/>
    <col min="10260" max="10260" width="10.875" style="2453" hidden="1" customWidth="1"/>
    <col min="10261" max="10449" width="10.625" style="2453" hidden="1" customWidth="1"/>
    <col min="10450" max="10497" width="9" style="2453" hidden="1"/>
    <col min="10498" max="10498" width="2.875" style="2453" hidden="1" customWidth="1"/>
    <col min="10499" max="10499" width="2.625" style="2453" hidden="1" customWidth="1"/>
    <col min="10500" max="10500" width="18" style="2453" hidden="1" customWidth="1"/>
    <col min="10501" max="10501" width="12.5" style="2453" hidden="1" customWidth="1"/>
    <col min="10502" max="10502" width="9.25" style="2453" hidden="1" customWidth="1"/>
    <col min="10503" max="10503" width="6.875" style="2453" hidden="1" customWidth="1"/>
    <col min="10504" max="10505" width="5.875" style="2453" hidden="1" customWidth="1"/>
    <col min="10506" max="10506" width="11" style="2453" hidden="1" customWidth="1"/>
    <col min="10507" max="10507" width="12.375" style="2453" hidden="1" customWidth="1"/>
    <col min="10508" max="10508" width="12.625" style="2453" hidden="1" customWidth="1"/>
    <col min="10509" max="10509" width="12.375" style="2453" hidden="1" customWidth="1"/>
    <col min="10510" max="10511" width="6.625" style="2453" hidden="1" customWidth="1"/>
    <col min="10512" max="10512" width="1.875" style="2453" hidden="1" customWidth="1"/>
    <col min="10513" max="10513" width="8.375" style="2453" hidden="1" customWidth="1"/>
    <col min="10514" max="10514" width="6.625" style="2453" hidden="1" customWidth="1"/>
    <col min="10515" max="10515" width="6.875" style="2453" hidden="1" customWidth="1"/>
    <col min="10516" max="10516" width="10.875" style="2453" hidden="1" customWidth="1"/>
    <col min="10517" max="10705" width="10.625" style="2453" hidden="1" customWidth="1"/>
    <col min="10706" max="10753" width="9" style="2453" hidden="1"/>
    <col min="10754" max="10754" width="2.875" style="2453" hidden="1" customWidth="1"/>
    <col min="10755" max="10755" width="2.625" style="2453" hidden="1" customWidth="1"/>
    <col min="10756" max="10756" width="18" style="2453" hidden="1" customWidth="1"/>
    <col min="10757" max="10757" width="12.5" style="2453" hidden="1" customWidth="1"/>
    <col min="10758" max="10758" width="9.25" style="2453" hidden="1" customWidth="1"/>
    <col min="10759" max="10759" width="6.875" style="2453" hidden="1" customWidth="1"/>
    <col min="10760" max="10761" width="5.875" style="2453" hidden="1" customWidth="1"/>
    <col min="10762" max="10762" width="11" style="2453" hidden="1" customWidth="1"/>
    <col min="10763" max="10763" width="12.375" style="2453" hidden="1" customWidth="1"/>
    <col min="10764" max="10764" width="12.625" style="2453" hidden="1" customWidth="1"/>
    <col min="10765" max="10765" width="12.375" style="2453" hidden="1" customWidth="1"/>
    <col min="10766" max="10767" width="6.625" style="2453" hidden="1" customWidth="1"/>
    <col min="10768" max="10768" width="1.875" style="2453" hidden="1" customWidth="1"/>
    <col min="10769" max="10769" width="8.375" style="2453" hidden="1" customWidth="1"/>
    <col min="10770" max="10770" width="6.625" style="2453" hidden="1" customWidth="1"/>
    <col min="10771" max="10771" width="6.875" style="2453" hidden="1" customWidth="1"/>
    <col min="10772" max="10772" width="10.875" style="2453" hidden="1" customWidth="1"/>
    <col min="10773" max="10961" width="10.625" style="2453" hidden="1" customWidth="1"/>
    <col min="10962" max="11009" width="9" style="2453" hidden="1"/>
    <col min="11010" max="11010" width="2.875" style="2453" hidden="1" customWidth="1"/>
    <col min="11011" max="11011" width="2.625" style="2453" hidden="1" customWidth="1"/>
    <col min="11012" max="11012" width="18" style="2453" hidden="1" customWidth="1"/>
    <col min="11013" max="11013" width="12.5" style="2453" hidden="1" customWidth="1"/>
    <col min="11014" max="11014" width="9.25" style="2453" hidden="1" customWidth="1"/>
    <col min="11015" max="11015" width="6.875" style="2453" hidden="1" customWidth="1"/>
    <col min="11016" max="11017" width="5.875" style="2453" hidden="1" customWidth="1"/>
    <col min="11018" max="11018" width="11" style="2453" hidden="1" customWidth="1"/>
    <col min="11019" max="11019" width="12.375" style="2453" hidden="1" customWidth="1"/>
    <col min="11020" max="11020" width="12.625" style="2453" hidden="1" customWidth="1"/>
    <col min="11021" max="11021" width="12.375" style="2453" hidden="1" customWidth="1"/>
    <col min="11022" max="11023" width="6.625" style="2453" hidden="1" customWidth="1"/>
    <col min="11024" max="11024" width="1.875" style="2453" hidden="1" customWidth="1"/>
    <col min="11025" max="11025" width="8.375" style="2453" hidden="1" customWidth="1"/>
    <col min="11026" max="11026" width="6.625" style="2453" hidden="1" customWidth="1"/>
    <col min="11027" max="11027" width="6.875" style="2453" hidden="1" customWidth="1"/>
    <col min="11028" max="11028" width="10.875" style="2453" hidden="1" customWidth="1"/>
    <col min="11029" max="11217" width="10.625" style="2453" hidden="1" customWidth="1"/>
    <col min="11218" max="11265" width="9" style="2453" hidden="1"/>
    <col min="11266" max="11266" width="2.875" style="2453" hidden="1" customWidth="1"/>
    <col min="11267" max="11267" width="2.625" style="2453" hidden="1" customWidth="1"/>
    <col min="11268" max="11268" width="18" style="2453" hidden="1" customWidth="1"/>
    <col min="11269" max="11269" width="12.5" style="2453" hidden="1" customWidth="1"/>
    <col min="11270" max="11270" width="9.25" style="2453" hidden="1" customWidth="1"/>
    <col min="11271" max="11271" width="6.875" style="2453" hidden="1" customWidth="1"/>
    <col min="11272" max="11273" width="5.875" style="2453" hidden="1" customWidth="1"/>
    <col min="11274" max="11274" width="11" style="2453" hidden="1" customWidth="1"/>
    <col min="11275" max="11275" width="12.375" style="2453" hidden="1" customWidth="1"/>
    <col min="11276" max="11276" width="12.625" style="2453" hidden="1" customWidth="1"/>
    <col min="11277" max="11277" width="12.375" style="2453" hidden="1" customWidth="1"/>
    <col min="11278" max="11279" width="6.625" style="2453" hidden="1" customWidth="1"/>
    <col min="11280" max="11280" width="1.875" style="2453" hidden="1" customWidth="1"/>
    <col min="11281" max="11281" width="8.375" style="2453" hidden="1" customWidth="1"/>
    <col min="11282" max="11282" width="6.625" style="2453" hidden="1" customWidth="1"/>
    <col min="11283" max="11283" width="6.875" style="2453" hidden="1" customWidth="1"/>
    <col min="11284" max="11284" width="10.875" style="2453" hidden="1" customWidth="1"/>
    <col min="11285" max="11473" width="10.625" style="2453" hidden="1" customWidth="1"/>
    <col min="11474" max="11521" width="9" style="2453" hidden="1"/>
    <col min="11522" max="11522" width="2.875" style="2453" hidden="1" customWidth="1"/>
    <col min="11523" max="11523" width="2.625" style="2453" hidden="1" customWidth="1"/>
    <col min="11524" max="11524" width="18" style="2453" hidden="1" customWidth="1"/>
    <col min="11525" max="11525" width="12.5" style="2453" hidden="1" customWidth="1"/>
    <col min="11526" max="11526" width="9.25" style="2453" hidden="1" customWidth="1"/>
    <col min="11527" max="11527" width="6.875" style="2453" hidden="1" customWidth="1"/>
    <col min="11528" max="11529" width="5.875" style="2453" hidden="1" customWidth="1"/>
    <col min="11530" max="11530" width="11" style="2453" hidden="1" customWidth="1"/>
    <col min="11531" max="11531" width="12.375" style="2453" hidden="1" customWidth="1"/>
    <col min="11532" max="11532" width="12.625" style="2453" hidden="1" customWidth="1"/>
    <col min="11533" max="11533" width="12.375" style="2453" hidden="1" customWidth="1"/>
    <col min="11534" max="11535" width="6.625" style="2453" hidden="1" customWidth="1"/>
    <col min="11536" max="11536" width="1.875" style="2453" hidden="1" customWidth="1"/>
    <col min="11537" max="11537" width="8.375" style="2453" hidden="1" customWidth="1"/>
    <col min="11538" max="11538" width="6.625" style="2453" hidden="1" customWidth="1"/>
    <col min="11539" max="11539" width="6.875" style="2453" hidden="1" customWidth="1"/>
    <col min="11540" max="11540" width="10.875" style="2453" hidden="1" customWidth="1"/>
    <col min="11541" max="11729" width="10.625" style="2453" hidden="1" customWidth="1"/>
    <col min="11730" max="11777" width="9" style="2453" hidden="1"/>
    <col min="11778" max="11778" width="2.875" style="2453" hidden="1" customWidth="1"/>
    <col min="11779" max="11779" width="2.625" style="2453" hidden="1" customWidth="1"/>
    <col min="11780" max="11780" width="18" style="2453" hidden="1" customWidth="1"/>
    <col min="11781" max="11781" width="12.5" style="2453" hidden="1" customWidth="1"/>
    <col min="11782" max="11782" width="9.25" style="2453" hidden="1" customWidth="1"/>
    <col min="11783" max="11783" width="6.875" style="2453" hidden="1" customWidth="1"/>
    <col min="11784" max="11785" width="5.875" style="2453" hidden="1" customWidth="1"/>
    <col min="11786" max="11786" width="11" style="2453" hidden="1" customWidth="1"/>
    <col min="11787" max="11787" width="12.375" style="2453" hidden="1" customWidth="1"/>
    <col min="11788" max="11788" width="12.625" style="2453" hidden="1" customWidth="1"/>
    <col min="11789" max="11789" width="12.375" style="2453" hidden="1" customWidth="1"/>
    <col min="11790" max="11791" width="6.625" style="2453" hidden="1" customWidth="1"/>
    <col min="11792" max="11792" width="1.875" style="2453" hidden="1" customWidth="1"/>
    <col min="11793" max="11793" width="8.375" style="2453" hidden="1" customWidth="1"/>
    <col min="11794" max="11794" width="6.625" style="2453" hidden="1" customWidth="1"/>
    <col min="11795" max="11795" width="6.875" style="2453" hidden="1" customWidth="1"/>
    <col min="11796" max="11796" width="10.875" style="2453" hidden="1" customWidth="1"/>
    <col min="11797" max="11985" width="10.625" style="2453" hidden="1" customWidth="1"/>
    <col min="11986" max="12033" width="9" style="2453" hidden="1"/>
    <col min="12034" max="12034" width="2.875" style="2453" hidden="1" customWidth="1"/>
    <col min="12035" max="12035" width="2.625" style="2453" hidden="1" customWidth="1"/>
    <col min="12036" max="12036" width="18" style="2453" hidden="1" customWidth="1"/>
    <col min="12037" max="12037" width="12.5" style="2453" hidden="1" customWidth="1"/>
    <col min="12038" max="12038" width="9.25" style="2453" hidden="1" customWidth="1"/>
    <col min="12039" max="12039" width="6.875" style="2453" hidden="1" customWidth="1"/>
    <col min="12040" max="12041" width="5.875" style="2453" hidden="1" customWidth="1"/>
    <col min="12042" max="12042" width="11" style="2453" hidden="1" customWidth="1"/>
    <col min="12043" max="12043" width="12.375" style="2453" hidden="1" customWidth="1"/>
    <col min="12044" max="12044" width="12.625" style="2453" hidden="1" customWidth="1"/>
    <col min="12045" max="12045" width="12.375" style="2453" hidden="1" customWidth="1"/>
    <col min="12046" max="12047" width="6.625" style="2453" hidden="1" customWidth="1"/>
    <col min="12048" max="12048" width="1.875" style="2453" hidden="1" customWidth="1"/>
    <col min="12049" max="12049" width="8.375" style="2453" hidden="1" customWidth="1"/>
    <col min="12050" max="12050" width="6.625" style="2453" hidden="1" customWidth="1"/>
    <col min="12051" max="12051" width="6.875" style="2453" hidden="1" customWidth="1"/>
    <col min="12052" max="12052" width="10.875" style="2453" hidden="1" customWidth="1"/>
    <col min="12053" max="12241" width="10.625" style="2453" hidden="1" customWidth="1"/>
    <col min="12242" max="12289" width="9" style="2453" hidden="1"/>
    <col min="12290" max="12290" width="2.875" style="2453" hidden="1" customWidth="1"/>
    <col min="12291" max="12291" width="2.625" style="2453" hidden="1" customWidth="1"/>
    <col min="12292" max="12292" width="18" style="2453" hidden="1" customWidth="1"/>
    <col min="12293" max="12293" width="12.5" style="2453" hidden="1" customWidth="1"/>
    <col min="12294" max="12294" width="9.25" style="2453" hidden="1" customWidth="1"/>
    <col min="12295" max="12295" width="6.875" style="2453" hidden="1" customWidth="1"/>
    <col min="12296" max="12297" width="5.875" style="2453" hidden="1" customWidth="1"/>
    <col min="12298" max="12298" width="11" style="2453" hidden="1" customWidth="1"/>
    <col min="12299" max="12299" width="12.375" style="2453" hidden="1" customWidth="1"/>
    <col min="12300" max="12300" width="12.625" style="2453" hidden="1" customWidth="1"/>
    <col min="12301" max="12301" width="12.375" style="2453" hidden="1" customWidth="1"/>
    <col min="12302" max="12303" width="6.625" style="2453" hidden="1" customWidth="1"/>
    <col min="12304" max="12304" width="1.875" style="2453" hidden="1" customWidth="1"/>
    <col min="12305" max="12305" width="8.375" style="2453" hidden="1" customWidth="1"/>
    <col min="12306" max="12306" width="6.625" style="2453" hidden="1" customWidth="1"/>
    <col min="12307" max="12307" width="6.875" style="2453" hidden="1" customWidth="1"/>
    <col min="12308" max="12308" width="10.875" style="2453" hidden="1" customWidth="1"/>
    <col min="12309" max="12497" width="10.625" style="2453" hidden="1" customWidth="1"/>
    <col min="12498" max="12545" width="9" style="2453" hidden="1"/>
    <col min="12546" max="12546" width="2.875" style="2453" hidden="1" customWidth="1"/>
    <col min="12547" max="12547" width="2.625" style="2453" hidden="1" customWidth="1"/>
    <col min="12548" max="12548" width="18" style="2453" hidden="1" customWidth="1"/>
    <col min="12549" max="12549" width="12.5" style="2453" hidden="1" customWidth="1"/>
    <col min="12550" max="12550" width="9.25" style="2453" hidden="1" customWidth="1"/>
    <col min="12551" max="12551" width="6.875" style="2453" hidden="1" customWidth="1"/>
    <col min="12552" max="12553" width="5.875" style="2453" hidden="1" customWidth="1"/>
    <col min="12554" max="12554" width="11" style="2453" hidden="1" customWidth="1"/>
    <col min="12555" max="12555" width="12.375" style="2453" hidden="1" customWidth="1"/>
    <col min="12556" max="12556" width="12.625" style="2453" hidden="1" customWidth="1"/>
    <col min="12557" max="12557" width="12.375" style="2453" hidden="1" customWidth="1"/>
    <col min="12558" max="12559" width="6.625" style="2453" hidden="1" customWidth="1"/>
    <col min="12560" max="12560" width="1.875" style="2453" hidden="1" customWidth="1"/>
    <col min="12561" max="12561" width="8.375" style="2453" hidden="1" customWidth="1"/>
    <col min="12562" max="12562" width="6.625" style="2453" hidden="1" customWidth="1"/>
    <col min="12563" max="12563" width="6.875" style="2453" hidden="1" customWidth="1"/>
    <col min="12564" max="12564" width="10.875" style="2453" hidden="1" customWidth="1"/>
    <col min="12565" max="12753" width="10.625" style="2453" hidden="1" customWidth="1"/>
    <col min="12754" max="12801" width="9" style="2453" hidden="1"/>
    <col min="12802" max="12802" width="2.875" style="2453" hidden="1" customWidth="1"/>
    <col min="12803" max="12803" width="2.625" style="2453" hidden="1" customWidth="1"/>
    <col min="12804" max="12804" width="18" style="2453" hidden="1" customWidth="1"/>
    <col min="12805" max="12805" width="12.5" style="2453" hidden="1" customWidth="1"/>
    <col min="12806" max="12806" width="9.25" style="2453" hidden="1" customWidth="1"/>
    <col min="12807" max="12807" width="6.875" style="2453" hidden="1" customWidth="1"/>
    <col min="12808" max="12809" width="5.875" style="2453" hidden="1" customWidth="1"/>
    <col min="12810" max="12810" width="11" style="2453" hidden="1" customWidth="1"/>
    <col min="12811" max="12811" width="12.375" style="2453" hidden="1" customWidth="1"/>
    <col min="12812" max="12812" width="12.625" style="2453" hidden="1" customWidth="1"/>
    <col min="12813" max="12813" width="12.375" style="2453" hidden="1" customWidth="1"/>
    <col min="12814" max="12815" width="6.625" style="2453" hidden="1" customWidth="1"/>
    <col min="12816" max="12816" width="1.875" style="2453" hidden="1" customWidth="1"/>
    <col min="12817" max="12817" width="8.375" style="2453" hidden="1" customWidth="1"/>
    <col min="12818" max="12818" width="6.625" style="2453" hidden="1" customWidth="1"/>
    <col min="12819" max="12819" width="6.875" style="2453" hidden="1" customWidth="1"/>
    <col min="12820" max="12820" width="10.875" style="2453" hidden="1" customWidth="1"/>
    <col min="12821" max="13009" width="10.625" style="2453" hidden="1" customWidth="1"/>
    <col min="13010" max="13057" width="9" style="2453" hidden="1"/>
    <col min="13058" max="13058" width="2.875" style="2453" hidden="1" customWidth="1"/>
    <col min="13059" max="13059" width="2.625" style="2453" hidden="1" customWidth="1"/>
    <col min="13060" max="13060" width="18" style="2453" hidden="1" customWidth="1"/>
    <col min="13061" max="13061" width="12.5" style="2453" hidden="1" customWidth="1"/>
    <col min="13062" max="13062" width="9.25" style="2453" hidden="1" customWidth="1"/>
    <col min="13063" max="13063" width="6.875" style="2453" hidden="1" customWidth="1"/>
    <col min="13064" max="13065" width="5.875" style="2453" hidden="1" customWidth="1"/>
    <col min="13066" max="13066" width="11" style="2453" hidden="1" customWidth="1"/>
    <col min="13067" max="13067" width="12.375" style="2453" hidden="1" customWidth="1"/>
    <col min="13068" max="13068" width="12.625" style="2453" hidden="1" customWidth="1"/>
    <col min="13069" max="13069" width="12.375" style="2453" hidden="1" customWidth="1"/>
    <col min="13070" max="13071" width="6.625" style="2453" hidden="1" customWidth="1"/>
    <col min="13072" max="13072" width="1.875" style="2453" hidden="1" customWidth="1"/>
    <col min="13073" max="13073" width="8.375" style="2453" hidden="1" customWidth="1"/>
    <col min="13074" max="13074" width="6.625" style="2453" hidden="1" customWidth="1"/>
    <col min="13075" max="13075" width="6.875" style="2453" hidden="1" customWidth="1"/>
    <col min="13076" max="13076" width="10.875" style="2453" hidden="1" customWidth="1"/>
    <col min="13077" max="13265" width="10.625" style="2453" hidden="1" customWidth="1"/>
    <col min="13266" max="13313" width="9" style="2453" hidden="1"/>
    <col min="13314" max="13314" width="2.875" style="2453" hidden="1" customWidth="1"/>
    <col min="13315" max="13315" width="2.625" style="2453" hidden="1" customWidth="1"/>
    <col min="13316" max="13316" width="18" style="2453" hidden="1" customWidth="1"/>
    <col min="13317" max="13317" width="12.5" style="2453" hidden="1" customWidth="1"/>
    <col min="13318" max="13318" width="9.25" style="2453" hidden="1" customWidth="1"/>
    <col min="13319" max="13319" width="6.875" style="2453" hidden="1" customWidth="1"/>
    <col min="13320" max="13321" width="5.875" style="2453" hidden="1" customWidth="1"/>
    <col min="13322" max="13322" width="11" style="2453" hidden="1" customWidth="1"/>
    <col min="13323" max="13323" width="12.375" style="2453" hidden="1" customWidth="1"/>
    <col min="13324" max="13324" width="12.625" style="2453" hidden="1" customWidth="1"/>
    <col min="13325" max="13325" width="12.375" style="2453" hidden="1" customWidth="1"/>
    <col min="13326" max="13327" width="6.625" style="2453" hidden="1" customWidth="1"/>
    <col min="13328" max="13328" width="1.875" style="2453" hidden="1" customWidth="1"/>
    <col min="13329" max="13329" width="8.375" style="2453" hidden="1" customWidth="1"/>
    <col min="13330" max="13330" width="6.625" style="2453" hidden="1" customWidth="1"/>
    <col min="13331" max="13331" width="6.875" style="2453" hidden="1" customWidth="1"/>
    <col min="13332" max="13332" width="10.875" style="2453" hidden="1" customWidth="1"/>
    <col min="13333" max="13521" width="10.625" style="2453" hidden="1" customWidth="1"/>
    <col min="13522" max="13569" width="9" style="2453" hidden="1"/>
    <col min="13570" max="13570" width="2.875" style="2453" hidden="1" customWidth="1"/>
    <col min="13571" max="13571" width="2.625" style="2453" hidden="1" customWidth="1"/>
    <col min="13572" max="13572" width="18" style="2453" hidden="1" customWidth="1"/>
    <col min="13573" max="13573" width="12.5" style="2453" hidden="1" customWidth="1"/>
    <col min="13574" max="13574" width="9.25" style="2453" hidden="1" customWidth="1"/>
    <col min="13575" max="13575" width="6.875" style="2453" hidden="1" customWidth="1"/>
    <col min="13576" max="13577" width="5.875" style="2453" hidden="1" customWidth="1"/>
    <col min="13578" max="13578" width="11" style="2453" hidden="1" customWidth="1"/>
    <col min="13579" max="13579" width="12.375" style="2453" hidden="1" customWidth="1"/>
    <col min="13580" max="13580" width="12.625" style="2453" hidden="1" customWidth="1"/>
    <col min="13581" max="13581" width="12.375" style="2453" hidden="1" customWidth="1"/>
    <col min="13582" max="13583" width="6.625" style="2453" hidden="1" customWidth="1"/>
    <col min="13584" max="13584" width="1.875" style="2453" hidden="1" customWidth="1"/>
    <col min="13585" max="13585" width="8.375" style="2453" hidden="1" customWidth="1"/>
    <col min="13586" max="13586" width="6.625" style="2453" hidden="1" customWidth="1"/>
    <col min="13587" max="13587" width="6.875" style="2453" hidden="1" customWidth="1"/>
    <col min="13588" max="13588" width="10.875" style="2453" hidden="1" customWidth="1"/>
    <col min="13589" max="13777" width="10.625" style="2453" hidden="1" customWidth="1"/>
    <col min="13778" max="13825" width="9" style="2453" hidden="1"/>
    <col min="13826" max="13826" width="2.875" style="2453" hidden="1" customWidth="1"/>
    <col min="13827" max="13827" width="2.625" style="2453" hidden="1" customWidth="1"/>
    <col min="13828" max="13828" width="18" style="2453" hidden="1" customWidth="1"/>
    <col min="13829" max="13829" width="12.5" style="2453" hidden="1" customWidth="1"/>
    <col min="13830" max="13830" width="9.25" style="2453" hidden="1" customWidth="1"/>
    <col min="13831" max="13831" width="6.875" style="2453" hidden="1" customWidth="1"/>
    <col min="13832" max="13833" width="5.875" style="2453" hidden="1" customWidth="1"/>
    <col min="13834" max="13834" width="11" style="2453" hidden="1" customWidth="1"/>
    <col min="13835" max="13835" width="12.375" style="2453" hidden="1" customWidth="1"/>
    <col min="13836" max="13836" width="12.625" style="2453" hidden="1" customWidth="1"/>
    <col min="13837" max="13837" width="12.375" style="2453" hidden="1" customWidth="1"/>
    <col min="13838" max="13839" width="6.625" style="2453" hidden="1" customWidth="1"/>
    <col min="13840" max="13840" width="1.875" style="2453" hidden="1" customWidth="1"/>
    <col min="13841" max="13841" width="8.375" style="2453" hidden="1" customWidth="1"/>
    <col min="13842" max="13842" width="6.625" style="2453" hidden="1" customWidth="1"/>
    <col min="13843" max="13843" width="6.875" style="2453" hidden="1" customWidth="1"/>
    <col min="13844" max="13844" width="10.875" style="2453" hidden="1" customWidth="1"/>
    <col min="13845" max="14033" width="10.625" style="2453" hidden="1" customWidth="1"/>
    <col min="14034" max="14081" width="9" style="2453" hidden="1"/>
    <col min="14082" max="14082" width="2.875" style="2453" hidden="1" customWidth="1"/>
    <col min="14083" max="14083" width="2.625" style="2453" hidden="1" customWidth="1"/>
    <col min="14084" max="14084" width="18" style="2453" hidden="1" customWidth="1"/>
    <col min="14085" max="14085" width="12.5" style="2453" hidden="1" customWidth="1"/>
    <col min="14086" max="14086" width="9.25" style="2453" hidden="1" customWidth="1"/>
    <col min="14087" max="14087" width="6.875" style="2453" hidden="1" customWidth="1"/>
    <col min="14088" max="14089" width="5.875" style="2453" hidden="1" customWidth="1"/>
    <col min="14090" max="14090" width="11" style="2453" hidden="1" customWidth="1"/>
    <col min="14091" max="14091" width="12.375" style="2453" hidden="1" customWidth="1"/>
    <col min="14092" max="14092" width="12.625" style="2453" hidden="1" customWidth="1"/>
    <col min="14093" max="14093" width="12.375" style="2453" hidden="1" customWidth="1"/>
    <col min="14094" max="14095" width="6.625" style="2453" hidden="1" customWidth="1"/>
    <col min="14096" max="14096" width="1.875" style="2453" hidden="1" customWidth="1"/>
    <col min="14097" max="14097" width="8.375" style="2453" hidden="1" customWidth="1"/>
    <col min="14098" max="14098" width="6.625" style="2453" hidden="1" customWidth="1"/>
    <col min="14099" max="14099" width="6.875" style="2453" hidden="1" customWidth="1"/>
    <col min="14100" max="14100" width="10.875" style="2453" hidden="1" customWidth="1"/>
    <col min="14101" max="14289" width="10.625" style="2453" hidden="1" customWidth="1"/>
    <col min="14290" max="14337" width="9" style="2453" hidden="1"/>
    <col min="14338" max="14338" width="2.875" style="2453" hidden="1" customWidth="1"/>
    <col min="14339" max="14339" width="2.625" style="2453" hidden="1" customWidth="1"/>
    <col min="14340" max="14340" width="18" style="2453" hidden="1" customWidth="1"/>
    <col min="14341" max="14341" width="12.5" style="2453" hidden="1" customWidth="1"/>
    <col min="14342" max="14342" width="9.25" style="2453" hidden="1" customWidth="1"/>
    <col min="14343" max="14343" width="6.875" style="2453" hidden="1" customWidth="1"/>
    <col min="14344" max="14345" width="5.875" style="2453" hidden="1" customWidth="1"/>
    <col min="14346" max="14346" width="11" style="2453" hidden="1" customWidth="1"/>
    <col min="14347" max="14347" width="12.375" style="2453" hidden="1" customWidth="1"/>
    <col min="14348" max="14348" width="12.625" style="2453" hidden="1" customWidth="1"/>
    <col min="14349" max="14349" width="12.375" style="2453" hidden="1" customWidth="1"/>
    <col min="14350" max="14351" width="6.625" style="2453" hidden="1" customWidth="1"/>
    <col min="14352" max="14352" width="1.875" style="2453" hidden="1" customWidth="1"/>
    <col min="14353" max="14353" width="8.375" style="2453" hidden="1" customWidth="1"/>
    <col min="14354" max="14354" width="6.625" style="2453" hidden="1" customWidth="1"/>
    <col min="14355" max="14355" width="6.875" style="2453" hidden="1" customWidth="1"/>
    <col min="14356" max="14356" width="10.875" style="2453" hidden="1" customWidth="1"/>
    <col min="14357" max="14545" width="10.625" style="2453" hidden="1" customWidth="1"/>
    <col min="14546" max="14593" width="9" style="2453" hidden="1"/>
    <col min="14594" max="14594" width="2.875" style="2453" hidden="1" customWidth="1"/>
    <col min="14595" max="14595" width="2.625" style="2453" hidden="1" customWidth="1"/>
    <col min="14596" max="14596" width="18" style="2453" hidden="1" customWidth="1"/>
    <col min="14597" max="14597" width="12.5" style="2453" hidden="1" customWidth="1"/>
    <col min="14598" max="14598" width="9.25" style="2453" hidden="1" customWidth="1"/>
    <col min="14599" max="14599" width="6.875" style="2453" hidden="1" customWidth="1"/>
    <col min="14600" max="14601" width="5.875" style="2453" hidden="1" customWidth="1"/>
    <col min="14602" max="14602" width="11" style="2453" hidden="1" customWidth="1"/>
    <col min="14603" max="14603" width="12.375" style="2453" hidden="1" customWidth="1"/>
    <col min="14604" max="14604" width="12.625" style="2453" hidden="1" customWidth="1"/>
    <col min="14605" max="14605" width="12.375" style="2453" hidden="1" customWidth="1"/>
    <col min="14606" max="14607" width="6.625" style="2453" hidden="1" customWidth="1"/>
    <col min="14608" max="14608" width="1.875" style="2453" hidden="1" customWidth="1"/>
    <col min="14609" max="14609" width="8.375" style="2453" hidden="1" customWidth="1"/>
    <col min="14610" max="14610" width="6.625" style="2453" hidden="1" customWidth="1"/>
    <col min="14611" max="14611" width="6.875" style="2453" hidden="1" customWidth="1"/>
    <col min="14612" max="14612" width="10.875" style="2453" hidden="1" customWidth="1"/>
    <col min="14613" max="14801" width="10.625" style="2453" hidden="1" customWidth="1"/>
    <col min="14802" max="14849" width="9" style="2453" hidden="1"/>
    <col min="14850" max="14850" width="2.875" style="2453" hidden="1" customWidth="1"/>
    <col min="14851" max="14851" width="2.625" style="2453" hidden="1" customWidth="1"/>
    <col min="14852" max="14852" width="18" style="2453" hidden="1" customWidth="1"/>
    <col min="14853" max="14853" width="12.5" style="2453" hidden="1" customWidth="1"/>
    <col min="14854" max="14854" width="9.25" style="2453" hidden="1" customWidth="1"/>
    <col min="14855" max="14855" width="6.875" style="2453" hidden="1" customWidth="1"/>
    <col min="14856" max="14857" width="5.875" style="2453" hidden="1" customWidth="1"/>
    <col min="14858" max="14858" width="11" style="2453" hidden="1" customWidth="1"/>
    <col min="14859" max="14859" width="12.375" style="2453" hidden="1" customWidth="1"/>
    <col min="14860" max="14860" width="12.625" style="2453" hidden="1" customWidth="1"/>
    <col min="14861" max="14861" width="12.375" style="2453" hidden="1" customWidth="1"/>
    <col min="14862" max="14863" width="6.625" style="2453" hidden="1" customWidth="1"/>
    <col min="14864" max="14864" width="1.875" style="2453" hidden="1" customWidth="1"/>
    <col min="14865" max="14865" width="8.375" style="2453" hidden="1" customWidth="1"/>
    <col min="14866" max="14866" width="6.625" style="2453" hidden="1" customWidth="1"/>
    <col min="14867" max="14867" width="6.875" style="2453" hidden="1" customWidth="1"/>
    <col min="14868" max="14868" width="10.875" style="2453" hidden="1" customWidth="1"/>
    <col min="14869" max="15057" width="10.625" style="2453" hidden="1" customWidth="1"/>
    <col min="15058" max="15105" width="9" style="2453" hidden="1"/>
    <col min="15106" max="15106" width="2.875" style="2453" hidden="1" customWidth="1"/>
    <col min="15107" max="15107" width="2.625" style="2453" hidden="1" customWidth="1"/>
    <col min="15108" max="15108" width="18" style="2453" hidden="1" customWidth="1"/>
    <col min="15109" max="15109" width="12.5" style="2453" hidden="1" customWidth="1"/>
    <col min="15110" max="15110" width="9.25" style="2453" hidden="1" customWidth="1"/>
    <col min="15111" max="15111" width="6.875" style="2453" hidden="1" customWidth="1"/>
    <col min="15112" max="15113" width="5.875" style="2453" hidden="1" customWidth="1"/>
    <col min="15114" max="15114" width="11" style="2453" hidden="1" customWidth="1"/>
    <col min="15115" max="15115" width="12.375" style="2453" hidden="1" customWidth="1"/>
    <col min="15116" max="15116" width="12.625" style="2453" hidden="1" customWidth="1"/>
    <col min="15117" max="15117" width="12.375" style="2453" hidden="1" customWidth="1"/>
    <col min="15118" max="15119" width="6.625" style="2453" hidden="1" customWidth="1"/>
    <col min="15120" max="15120" width="1.875" style="2453" hidden="1" customWidth="1"/>
    <col min="15121" max="15121" width="8.375" style="2453" hidden="1" customWidth="1"/>
    <col min="15122" max="15122" width="6.625" style="2453" hidden="1" customWidth="1"/>
    <col min="15123" max="15123" width="6.875" style="2453" hidden="1" customWidth="1"/>
    <col min="15124" max="15124" width="10.875" style="2453" hidden="1" customWidth="1"/>
    <col min="15125" max="15313" width="10.625" style="2453" hidden="1" customWidth="1"/>
    <col min="15314" max="15361" width="9" style="2453" hidden="1"/>
    <col min="15362" max="15362" width="2.875" style="2453" hidden="1" customWidth="1"/>
    <col min="15363" max="15363" width="2.625" style="2453" hidden="1" customWidth="1"/>
    <col min="15364" max="15364" width="18" style="2453" hidden="1" customWidth="1"/>
    <col min="15365" max="15365" width="12.5" style="2453" hidden="1" customWidth="1"/>
    <col min="15366" max="15366" width="9.25" style="2453" hidden="1" customWidth="1"/>
    <col min="15367" max="15367" width="6.875" style="2453" hidden="1" customWidth="1"/>
    <col min="15368" max="15369" width="5.875" style="2453" hidden="1" customWidth="1"/>
    <col min="15370" max="15370" width="11" style="2453" hidden="1" customWidth="1"/>
    <col min="15371" max="15371" width="12.375" style="2453" hidden="1" customWidth="1"/>
    <col min="15372" max="15372" width="12.625" style="2453" hidden="1" customWidth="1"/>
    <col min="15373" max="15373" width="12.375" style="2453" hidden="1" customWidth="1"/>
    <col min="15374" max="15375" width="6.625" style="2453" hidden="1" customWidth="1"/>
    <col min="15376" max="15376" width="1.875" style="2453" hidden="1" customWidth="1"/>
    <col min="15377" max="15377" width="8.375" style="2453" hidden="1" customWidth="1"/>
    <col min="15378" max="15378" width="6.625" style="2453" hidden="1" customWidth="1"/>
    <col min="15379" max="15379" width="6.875" style="2453" hidden="1" customWidth="1"/>
    <col min="15380" max="15380" width="10.875" style="2453" hidden="1" customWidth="1"/>
    <col min="15381" max="15569" width="10.625" style="2453" hidden="1" customWidth="1"/>
    <col min="15570" max="15617" width="9" style="2453" hidden="1"/>
    <col min="15618" max="15618" width="2.875" style="2453" hidden="1" customWidth="1"/>
    <col min="15619" max="15619" width="2.625" style="2453" hidden="1" customWidth="1"/>
    <col min="15620" max="15620" width="18" style="2453" hidden="1" customWidth="1"/>
    <col min="15621" max="15621" width="12.5" style="2453" hidden="1" customWidth="1"/>
    <col min="15622" max="15622" width="9.25" style="2453" hidden="1" customWidth="1"/>
    <col min="15623" max="15623" width="6.875" style="2453" hidden="1" customWidth="1"/>
    <col min="15624" max="15625" width="5.875" style="2453" hidden="1" customWidth="1"/>
    <col min="15626" max="15626" width="11" style="2453" hidden="1" customWidth="1"/>
    <col min="15627" max="15627" width="12.375" style="2453" hidden="1" customWidth="1"/>
    <col min="15628" max="15628" width="12.625" style="2453" hidden="1" customWidth="1"/>
    <col min="15629" max="15629" width="12.375" style="2453" hidden="1" customWidth="1"/>
    <col min="15630" max="15631" width="6.625" style="2453" hidden="1" customWidth="1"/>
    <col min="15632" max="15632" width="1.875" style="2453" hidden="1" customWidth="1"/>
    <col min="15633" max="15633" width="8.375" style="2453" hidden="1" customWidth="1"/>
    <col min="15634" max="15634" width="6.625" style="2453" hidden="1" customWidth="1"/>
    <col min="15635" max="15635" width="6.875" style="2453" hidden="1" customWidth="1"/>
    <col min="15636" max="15636" width="10.875" style="2453" hidden="1" customWidth="1"/>
    <col min="15637" max="15825" width="10.625" style="2453" hidden="1" customWidth="1"/>
    <col min="15826" max="15873" width="9" style="2453" hidden="1"/>
    <col min="15874" max="15874" width="2.875" style="2453" hidden="1" customWidth="1"/>
    <col min="15875" max="15875" width="2.625" style="2453" hidden="1" customWidth="1"/>
    <col min="15876" max="15876" width="18" style="2453" hidden="1" customWidth="1"/>
    <col min="15877" max="15877" width="12.5" style="2453" hidden="1" customWidth="1"/>
    <col min="15878" max="15878" width="9.25" style="2453" hidden="1" customWidth="1"/>
    <col min="15879" max="15879" width="6.875" style="2453" hidden="1" customWidth="1"/>
    <col min="15880" max="15881" width="5.875" style="2453" hidden="1" customWidth="1"/>
    <col min="15882" max="15882" width="11" style="2453" hidden="1" customWidth="1"/>
    <col min="15883" max="15883" width="12.375" style="2453" hidden="1" customWidth="1"/>
    <col min="15884" max="15884" width="12.625" style="2453" hidden="1" customWidth="1"/>
    <col min="15885" max="15885" width="12.375" style="2453" hidden="1" customWidth="1"/>
    <col min="15886" max="15887" width="6.625" style="2453" hidden="1" customWidth="1"/>
    <col min="15888" max="15888" width="1.875" style="2453" hidden="1" customWidth="1"/>
    <col min="15889" max="15889" width="8.375" style="2453" hidden="1" customWidth="1"/>
    <col min="15890" max="15890" width="6.625" style="2453" hidden="1" customWidth="1"/>
    <col min="15891" max="15891" width="6.875" style="2453" hidden="1" customWidth="1"/>
    <col min="15892" max="15892" width="10.875" style="2453" hidden="1" customWidth="1"/>
    <col min="15893" max="16081" width="10.625" style="2453" hidden="1" customWidth="1"/>
    <col min="16082" max="16129" width="9" style="2453" hidden="1"/>
    <col min="16130" max="16130" width="2.875" style="2453" hidden="1" customWidth="1"/>
    <col min="16131" max="16131" width="2.625" style="2453" hidden="1" customWidth="1"/>
    <col min="16132" max="16132" width="18" style="2453" hidden="1" customWidth="1"/>
    <col min="16133" max="16133" width="12.5" style="2453" hidden="1" customWidth="1"/>
    <col min="16134" max="16134" width="9.25" style="2453" hidden="1" customWidth="1"/>
    <col min="16135" max="16135" width="6.875" style="2453" hidden="1" customWidth="1"/>
    <col min="16136" max="16137" width="5.875" style="2453" hidden="1" customWidth="1"/>
    <col min="16138" max="16138" width="11" style="2453" hidden="1" customWidth="1"/>
    <col min="16139" max="16139" width="12.375" style="2453" hidden="1" customWidth="1"/>
    <col min="16140" max="16140" width="12.625" style="2453" hidden="1" customWidth="1"/>
    <col min="16141" max="16141" width="12.375" style="2453" hidden="1" customWidth="1"/>
    <col min="16142" max="16143" width="6.625" style="2453" hidden="1" customWidth="1"/>
    <col min="16144" max="16144" width="1.875" style="2453" hidden="1" customWidth="1"/>
    <col min="16145" max="16145" width="8.375" style="2453" hidden="1" customWidth="1"/>
    <col min="16146" max="16146" width="6.625" style="2453" hidden="1" customWidth="1"/>
    <col min="16147" max="16147" width="6.875" style="2453" hidden="1" customWidth="1"/>
    <col min="16148" max="16148" width="10.875" style="2453" hidden="1" customWidth="1"/>
    <col min="16149" max="16337" width="10.625" style="2453" hidden="1" customWidth="1"/>
    <col min="16338" max="16384" width="9" style="2453" hidden="1"/>
  </cols>
  <sheetData>
    <row r="1" spans="1:20" ht="12" customHeight="1">
      <c r="A1" s="2451"/>
      <c r="B1" s="2451"/>
      <c r="C1" s="2451"/>
      <c r="D1" s="2451"/>
      <c r="E1" s="2451"/>
      <c r="F1" s="2451"/>
      <c r="G1" s="2451"/>
      <c r="H1" s="2451"/>
      <c r="I1" s="2451"/>
      <c r="J1" s="2451"/>
      <c r="K1" s="2451"/>
      <c r="L1" s="2451"/>
      <c r="M1" s="2451"/>
      <c r="N1" s="2451"/>
      <c r="O1" s="2451"/>
      <c r="P1" s="2451"/>
    </row>
    <row r="2" spans="1:20" ht="12" customHeight="1">
      <c r="A2" s="2454"/>
      <c r="B2" s="2454"/>
      <c r="C2" s="2454"/>
      <c r="D2" s="2454"/>
      <c r="E2" s="2454"/>
      <c r="F2" s="2454"/>
      <c r="G2" s="2454"/>
      <c r="H2" s="2454"/>
      <c r="I2" s="2454"/>
      <c r="J2" s="2454"/>
      <c r="K2" s="2454"/>
      <c r="L2" s="2454"/>
      <c r="M2" s="2455"/>
      <c r="N2" s="2456"/>
      <c r="O2" s="2457"/>
      <c r="P2" s="2457"/>
      <c r="Q2" s="2458"/>
    </row>
    <row r="3" spans="1:20" ht="12" customHeight="1">
      <c r="A3" s="2454"/>
      <c r="B3" s="2459"/>
      <c r="C3" s="2459"/>
      <c r="D3" s="2459"/>
      <c r="E3" s="2459"/>
      <c r="F3" s="2459"/>
      <c r="G3" s="2459"/>
      <c r="H3" s="2460"/>
      <c r="I3" s="2460"/>
      <c r="J3" s="2461"/>
      <c r="K3" s="2461"/>
      <c r="L3" s="2459"/>
      <c r="M3" s="2462"/>
      <c r="N3" s="2463"/>
      <c r="O3" s="2457"/>
      <c r="P3" s="2457"/>
      <c r="Q3" s="2458"/>
    </row>
    <row r="4" spans="1:20" ht="16.5" customHeight="1">
      <c r="A4" s="2454"/>
      <c r="B4" s="2459"/>
      <c r="C4" s="2459"/>
      <c r="D4" s="2459"/>
      <c r="E4" s="2459"/>
      <c r="F4" s="2459"/>
      <c r="G4" s="2459"/>
      <c r="H4" s="2460"/>
      <c r="I4" s="2460"/>
      <c r="J4" s="2464" t="s">
        <v>2012</v>
      </c>
      <c r="K4" s="2461"/>
      <c r="L4" s="2459"/>
      <c r="M4" s="2462"/>
      <c r="N4" s="2463"/>
      <c r="O4" s="2457"/>
      <c r="P4" s="2457"/>
      <c r="Q4" s="2458"/>
    </row>
    <row r="5" spans="1:20" ht="16.5" customHeight="1">
      <c r="A5" s="2454"/>
      <c r="B5" s="2459"/>
      <c r="C5" s="2459"/>
      <c r="D5" s="2459"/>
      <c r="E5" s="2459"/>
      <c r="F5" s="2459"/>
      <c r="G5" s="2459"/>
      <c r="H5" s="2460"/>
      <c r="I5" s="2460"/>
      <c r="J5" s="2464" t="s">
        <v>2013</v>
      </c>
      <c r="K5" s="2461"/>
      <c r="L5" s="2459"/>
      <c r="M5" s="2462"/>
      <c r="N5" s="2463"/>
      <c r="O5" s="2457"/>
      <c r="P5" s="2457"/>
      <c r="Q5" s="2458"/>
      <c r="R5" s="2465" t="s">
        <v>1980</v>
      </c>
      <c r="S5" s="2466" t="s">
        <v>1005</v>
      </c>
      <c r="T5" s="2466" t="s">
        <v>1861</v>
      </c>
    </row>
    <row r="6" spans="1:20" ht="7.5" customHeight="1">
      <c r="A6" s="2454"/>
      <c r="B6" s="2459"/>
      <c r="C6" s="2467"/>
      <c r="D6" s="2467"/>
      <c r="E6" s="2468"/>
      <c r="F6" s="2459"/>
      <c r="G6" s="2459"/>
      <c r="H6" s="2451"/>
      <c r="I6" s="2451"/>
      <c r="J6" s="2451"/>
      <c r="K6" s="2451"/>
      <c r="L6" s="2451"/>
      <c r="M6" s="2451"/>
      <c r="N6" s="2469"/>
      <c r="O6" s="2457"/>
      <c r="P6" s="2457"/>
      <c r="Q6" s="2458"/>
      <c r="R6" s="2465" t="s">
        <v>1008</v>
      </c>
      <c r="S6" s="2466" t="s">
        <v>1008</v>
      </c>
      <c r="T6" s="2466" t="s">
        <v>1863</v>
      </c>
    </row>
    <row r="7" spans="1:20" ht="12" customHeight="1" thickBot="1">
      <c r="A7" s="2454"/>
      <c r="B7" s="2459"/>
      <c r="C7" s="2467"/>
      <c r="D7" s="3042"/>
      <c r="E7" s="3042"/>
      <c r="F7" s="3042"/>
      <c r="G7" s="3042"/>
      <c r="H7" s="2451"/>
      <c r="I7" s="2470"/>
      <c r="J7" s="3043"/>
      <c r="K7" s="3043"/>
      <c r="L7" s="3043"/>
      <c r="M7" s="2451"/>
      <c r="N7" s="2451"/>
      <c r="O7" s="2457"/>
      <c r="P7" s="2457"/>
      <c r="Q7" s="2458"/>
      <c r="R7" s="2465" t="s">
        <v>1006</v>
      </c>
      <c r="S7" s="2466" t="s">
        <v>1006</v>
      </c>
      <c r="T7" s="2466" t="s">
        <v>1865</v>
      </c>
    </row>
    <row r="8" spans="1:20" ht="15" customHeight="1" thickBot="1">
      <c r="A8" s="2454"/>
      <c r="B8" s="2471" t="s">
        <v>1866</v>
      </c>
      <c r="C8" s="2472"/>
      <c r="D8" s="2473"/>
      <c r="E8" s="828"/>
      <c r="F8" s="828"/>
      <c r="G8" s="828"/>
      <c r="H8" s="828"/>
      <c r="I8" s="828"/>
      <c r="J8" s="2472"/>
      <c r="K8" s="2472"/>
      <c r="L8" s="2472"/>
      <c r="M8" s="2472"/>
      <c r="N8" s="2474"/>
      <c r="O8" s="2457"/>
      <c r="P8" s="2457"/>
      <c r="Q8" s="2458"/>
      <c r="R8" s="2465" t="s">
        <v>1005</v>
      </c>
      <c r="S8" s="2466" t="s">
        <v>1980</v>
      </c>
      <c r="T8" s="2466" t="s">
        <v>1867</v>
      </c>
    </row>
    <row r="9" spans="1:20" ht="18" customHeight="1" thickBot="1">
      <c r="A9" s="2475"/>
      <c r="B9" s="2476"/>
      <c r="C9" s="2477" t="s">
        <v>1868</v>
      </c>
      <c r="D9" s="3044">
        <f>メイン!H11</f>
        <v>0</v>
      </c>
      <c r="E9" s="3044"/>
      <c r="F9" s="3044"/>
      <c r="G9" s="3044"/>
      <c r="H9" s="3044"/>
      <c r="I9" s="2710" t="s">
        <v>2014</v>
      </c>
      <c r="J9" s="2836" t="e">
        <f>'結果(改修前)'!S13</f>
        <v>#DIV/0!</v>
      </c>
      <c r="K9" s="2836" t="e">
        <f>CHOOSE('結果(改修前)'!S15*5,"C","B-","B+","A","S")</f>
        <v>#DIV/0!</v>
      </c>
      <c r="L9" s="3137" t="e">
        <f>VLOOKUP(K9,S5:T9,2)</f>
        <v>#DIV/0!</v>
      </c>
      <c r="M9" s="3138"/>
      <c r="N9" s="3139"/>
      <c r="O9" s="2457"/>
      <c r="P9" s="2457"/>
      <c r="Q9" s="2458"/>
      <c r="R9" s="2465" t="s">
        <v>1004</v>
      </c>
      <c r="S9" s="2466" t="s">
        <v>1004</v>
      </c>
      <c r="T9" s="2466" t="s">
        <v>1870</v>
      </c>
    </row>
    <row r="10" spans="1:20" ht="18" customHeight="1" thickBot="1">
      <c r="A10" s="2475"/>
      <c r="B10" s="2478"/>
      <c r="C10" s="2479" t="s">
        <v>1871</v>
      </c>
      <c r="D10" s="2828">
        <f>メイン!H19</f>
        <v>0</v>
      </c>
      <c r="E10" s="2480" t="s">
        <v>476</v>
      </c>
      <c r="F10" s="2451"/>
      <c r="G10" s="2480"/>
      <c r="H10" s="2451"/>
      <c r="I10" s="2711" t="s">
        <v>2015</v>
      </c>
      <c r="J10" s="2837" t="e">
        <f>'結果(改修後)'!S13</f>
        <v>#DIV/0!</v>
      </c>
      <c r="K10" s="2836" t="e">
        <f>CHOOSE('結果(改修後)'!S15*5,"C","B-","B+","A","S")</f>
        <v>#DIV/0!</v>
      </c>
      <c r="L10" s="3137" t="e">
        <f>VLOOKUP(K10,S5:T9,2)</f>
        <v>#DIV/0!</v>
      </c>
      <c r="M10" s="3138"/>
      <c r="N10" s="3139"/>
      <c r="O10" s="2457"/>
      <c r="P10" s="2457"/>
      <c r="Q10" s="2458"/>
      <c r="T10" s="2481"/>
    </row>
    <row r="11" spans="1:20" ht="18" customHeight="1">
      <c r="A11" s="2475"/>
      <c r="B11" s="2478"/>
      <c r="C11" s="2479" t="s">
        <v>1872</v>
      </c>
      <c r="D11" s="3051" t="str">
        <f>メイン!H20</f>
        <v>○○</v>
      </c>
      <c r="E11" s="3051"/>
      <c r="F11" s="3051"/>
      <c r="G11" s="3051"/>
      <c r="H11" s="3051"/>
      <c r="I11" s="2482" t="s">
        <v>1873</v>
      </c>
      <c r="J11" s="2451"/>
      <c r="K11" s="3052" t="str">
        <f>メイン!C6</f>
        <v>CASBEE京都-改修（2015年版）</v>
      </c>
      <c r="L11" s="3053"/>
      <c r="M11" s="3053"/>
      <c r="N11" s="3054"/>
      <c r="O11" s="2457"/>
      <c r="P11" s="2457"/>
      <c r="Q11" s="2458"/>
      <c r="T11" s="2481"/>
    </row>
    <row r="12" spans="1:20" ht="18" customHeight="1" thickBot="1">
      <c r="A12" s="2475"/>
      <c r="B12" s="2483"/>
      <c r="C12" s="2484"/>
      <c r="D12" s="3055" t="str">
        <f>メイン!H21</f>
        <v/>
      </c>
      <c r="E12" s="3055"/>
      <c r="F12" s="3055"/>
      <c r="G12" s="3055"/>
      <c r="H12" s="3055"/>
      <c r="I12" s="2485" t="s">
        <v>2016</v>
      </c>
      <c r="J12" s="2486"/>
      <c r="K12" s="3056" t="str">
        <f>メイン!C5</f>
        <v>CASBEE京都-改修2015（v.1.0）</v>
      </c>
      <c r="L12" s="3057"/>
      <c r="M12" s="3057"/>
      <c r="N12" s="3058"/>
      <c r="O12" s="2457"/>
      <c r="P12" s="2457"/>
      <c r="Q12" s="2458"/>
      <c r="T12" s="2481"/>
    </row>
    <row r="13" spans="1:20" ht="6" customHeight="1" thickBot="1">
      <c r="A13" s="2454"/>
      <c r="B13" s="2454"/>
      <c r="C13" s="2454"/>
      <c r="D13" s="2454"/>
      <c r="E13" s="2454"/>
      <c r="F13" s="2454"/>
      <c r="G13" s="2454"/>
      <c r="H13" s="2454"/>
      <c r="I13" s="2454"/>
      <c r="J13" s="2454"/>
      <c r="K13" s="2454"/>
      <c r="L13" s="2454"/>
      <c r="M13" s="2455"/>
      <c r="N13" s="2456"/>
      <c r="O13" s="2457"/>
      <c r="P13" s="2457"/>
      <c r="Q13" s="2458"/>
    </row>
    <row r="14" spans="1:20" ht="15" customHeight="1" thickBot="1">
      <c r="A14" s="2454"/>
      <c r="B14" s="2487" t="s">
        <v>1875</v>
      </c>
      <c r="C14" s="2488"/>
      <c r="D14" s="2488"/>
      <c r="E14" s="2489"/>
      <c r="F14" s="2490"/>
      <c r="G14" s="2491"/>
      <c r="H14" s="2491"/>
      <c r="I14" s="2491"/>
      <c r="J14" s="2491"/>
      <c r="K14" s="2491"/>
      <c r="L14" s="2491"/>
      <c r="M14" s="2492"/>
      <c r="N14" s="2493"/>
      <c r="O14" s="2457"/>
      <c r="P14" s="2457"/>
      <c r="Q14" s="2458"/>
    </row>
    <row r="15" spans="1:20" ht="15" customHeight="1" thickBot="1">
      <c r="A15" s="2454"/>
      <c r="B15" s="2494" t="s">
        <v>2017</v>
      </c>
      <c r="C15" s="2495"/>
      <c r="D15" s="2495"/>
      <c r="E15" s="2496"/>
      <c r="F15" s="3059"/>
      <c r="G15" s="3059"/>
      <c r="H15" s="3060"/>
      <c r="I15" s="2497" t="s">
        <v>2018</v>
      </c>
      <c r="J15" s="2495"/>
      <c r="K15" s="2495"/>
      <c r="L15" s="2712" t="s">
        <v>2019</v>
      </c>
      <c r="M15" s="2495"/>
      <c r="N15" s="2498"/>
      <c r="O15" s="2457"/>
      <c r="P15" s="2457"/>
      <c r="Q15" s="2458"/>
    </row>
    <row r="16" spans="1:20" ht="13.5" customHeight="1" thickBot="1">
      <c r="A16" s="2454"/>
      <c r="B16" s="2499"/>
      <c r="C16" s="3040"/>
      <c r="D16" s="3040"/>
      <c r="E16" s="3040"/>
      <c r="F16" s="3041"/>
      <c r="G16" s="3041"/>
      <c r="H16" s="2500"/>
      <c r="I16" s="2713"/>
      <c r="J16" s="2501"/>
      <c r="K16" s="2501"/>
      <c r="L16" s="2501"/>
      <c r="M16" s="2502"/>
      <c r="N16" s="2503"/>
      <c r="O16" s="2504"/>
      <c r="P16" s="2504"/>
      <c r="Q16" s="2505" t="e">
        <f>ROUND(J27,1)</f>
        <v>#DIV/0!</v>
      </c>
      <c r="R16" s="2505" t="e">
        <f>ROUND(M27,1)</f>
        <v>#DIV/0!</v>
      </c>
    </row>
    <row r="17" spans="1:18" ht="29.25" customHeight="1" thickBot="1">
      <c r="A17" s="2454"/>
      <c r="B17" s="2506"/>
      <c r="C17" s="3061" t="s">
        <v>2020</v>
      </c>
      <c r="D17" s="3061"/>
      <c r="E17" s="3061"/>
      <c r="F17" s="3062"/>
      <c r="G17" s="3062"/>
      <c r="H17" s="2507"/>
      <c r="I17" s="2714"/>
      <c r="J17" s="2508"/>
      <c r="K17" s="2508"/>
      <c r="L17" s="2508"/>
      <c r="M17" s="2509"/>
      <c r="N17" s="2510"/>
      <c r="O17" s="2511"/>
      <c r="P17" s="2511"/>
      <c r="Q17" s="2512" t="e">
        <f>IF(Q16&gt;K27*0.85,5,IF(Q16&gt;K27*0.7,4,IF(Q16&gt;K27*0.55,3,IF(Q16&gt;K27*0.4,2,1))))</f>
        <v>#DIV/0!</v>
      </c>
      <c r="R17" s="2512" t="e">
        <f>IF(R16&gt;N27*0.85,5,IF(R16&gt;N27*0.7,4,IF(R16&gt;N27*0.55,3,IF(R16&gt;N27*0.4,2,1))))</f>
        <v>#DIV/0!</v>
      </c>
    </row>
    <row r="18" spans="1:18" ht="13.5" customHeight="1" thickBot="1">
      <c r="A18" s="2454"/>
      <c r="B18" s="2513"/>
      <c r="C18" s="3063"/>
      <c r="D18" s="3063"/>
      <c r="E18" s="3063"/>
      <c r="F18" s="3064"/>
      <c r="G18" s="3064"/>
      <c r="H18" s="2514"/>
      <c r="I18" s="2515"/>
      <c r="J18" s="2515"/>
      <c r="K18" s="2515"/>
      <c r="L18" s="2515"/>
      <c r="M18" s="2516"/>
      <c r="N18" s="2517"/>
      <c r="O18" s="2511"/>
      <c r="P18" s="2511"/>
      <c r="Q18" s="2518"/>
      <c r="R18" s="2518"/>
    </row>
    <row r="19" spans="1:18" ht="13.5" customHeight="1" thickBot="1">
      <c r="A19" s="2454"/>
      <c r="B19" s="2519"/>
      <c r="C19" s="3065"/>
      <c r="D19" s="3065"/>
      <c r="E19" s="3065"/>
      <c r="F19" s="3066"/>
      <c r="G19" s="3066"/>
      <c r="H19" s="2520"/>
      <c r="I19" s="2713"/>
      <c r="J19" s="2501"/>
      <c r="K19" s="2501"/>
      <c r="L19" s="2501"/>
      <c r="M19" s="2502"/>
      <c r="N19" s="2503"/>
      <c r="O19" s="2511"/>
      <c r="P19" s="2511"/>
      <c r="Q19" s="2521" t="e">
        <f>ROUND(J51,1)</f>
        <v>#DIV/0!</v>
      </c>
      <c r="R19" s="2521" t="e">
        <f>ROUND(M51,1)</f>
        <v>#DIV/0!</v>
      </c>
    </row>
    <row r="20" spans="1:18" ht="29.25" customHeight="1" thickBot="1">
      <c r="A20" s="2454"/>
      <c r="B20" s="2522"/>
      <c r="C20" s="3067" t="s">
        <v>2021</v>
      </c>
      <c r="D20" s="3067"/>
      <c r="E20" s="3067"/>
      <c r="F20" s="3068"/>
      <c r="G20" s="3068"/>
      <c r="H20" s="2523"/>
      <c r="I20" s="2714"/>
      <c r="J20" s="2508"/>
      <c r="K20" s="2508"/>
      <c r="L20" s="2508"/>
      <c r="M20" s="2509"/>
      <c r="N20" s="2510"/>
      <c r="O20" s="2511"/>
      <c r="P20" s="2511"/>
      <c r="Q20" s="2524" t="e">
        <f>IF(Q19&gt;K51*0.85,5,IF(Q19&gt;K51*0.7,4,IF(Q19&gt;K51*0.55,3,IF(Q19&gt;K51*0.4,2,1))))</f>
        <v>#DIV/0!</v>
      </c>
      <c r="R20" s="2524" t="e">
        <f>IF(R19&gt;N51*0.85,5,IF(R19&gt;N51*0.7,4,IF(R19&gt;N51*0.55,3,IF(R19&gt;N51*0.4,2,1))))</f>
        <v>#DIV/0!</v>
      </c>
    </row>
    <row r="21" spans="1:18" ht="13.5" customHeight="1" thickBot="1">
      <c r="A21" s="2454"/>
      <c r="B21" s="2525"/>
      <c r="C21" s="3069"/>
      <c r="D21" s="3069"/>
      <c r="E21" s="3069"/>
      <c r="F21" s="3070"/>
      <c r="G21" s="3070"/>
      <c r="H21" s="2526"/>
      <c r="I21" s="2515"/>
      <c r="J21" s="2515"/>
      <c r="K21" s="2515"/>
      <c r="L21" s="2515"/>
      <c r="M21" s="2516"/>
      <c r="N21" s="2517"/>
      <c r="O21" s="2511"/>
      <c r="P21" s="2511"/>
      <c r="Q21" s="2518"/>
      <c r="R21" s="2518"/>
    </row>
    <row r="22" spans="1:18" ht="13.5" customHeight="1" thickBot="1">
      <c r="A22" s="2454"/>
      <c r="B22" s="2527"/>
      <c r="C22" s="3071"/>
      <c r="D22" s="3071"/>
      <c r="E22" s="3071"/>
      <c r="F22" s="3072"/>
      <c r="G22" s="3072"/>
      <c r="H22" s="2528"/>
      <c r="I22" s="2713"/>
      <c r="J22" s="2501"/>
      <c r="K22" s="2501"/>
      <c r="L22" s="2501"/>
      <c r="M22" s="2502"/>
      <c r="N22" s="2503"/>
      <c r="O22" s="2511"/>
      <c r="P22" s="2511"/>
      <c r="Q22" s="2529" t="e">
        <f>ROUND(J69,1)</f>
        <v>#DIV/0!</v>
      </c>
      <c r="R22" s="2529" t="e">
        <f>ROUND(M69,1)</f>
        <v>#DIV/0!</v>
      </c>
    </row>
    <row r="23" spans="1:18" ht="29.25" customHeight="1" thickBot="1">
      <c r="A23" s="2454"/>
      <c r="B23" s="2530"/>
      <c r="C23" s="3073" t="s">
        <v>1880</v>
      </c>
      <c r="D23" s="3073"/>
      <c r="E23" s="3073"/>
      <c r="F23" s="3073"/>
      <c r="G23" s="3073"/>
      <c r="H23" s="2528"/>
      <c r="I23" s="2714"/>
      <c r="J23" s="2508"/>
      <c r="K23" s="2508"/>
      <c r="L23" s="2508"/>
      <c r="M23" s="2509"/>
      <c r="N23" s="2510"/>
      <c r="O23" s="2511"/>
      <c r="P23" s="2511"/>
      <c r="Q23" s="2531" t="e">
        <f>IF(Q22&gt;K69*0.85,5,IF(Q22&gt;K69*0.7,4,IF(Q22&gt;K69*0.55,3,IF(Q22&gt;K69*0.4,2,1))))</f>
        <v>#DIV/0!</v>
      </c>
      <c r="R23" s="2531" t="e">
        <f>IF(R22&gt;N69*0.85,5,IF(R22&gt;N69*0.7,4,IF(R22&gt;N69*0.55,3,IF(R22&gt;N69*0.4,2,1))))</f>
        <v>#DIV/0!</v>
      </c>
    </row>
    <row r="24" spans="1:18" ht="13.5" customHeight="1" thickBot="1">
      <c r="A24" s="2454"/>
      <c r="B24" s="2532"/>
      <c r="C24" s="3074"/>
      <c r="D24" s="3074"/>
      <c r="E24" s="3074"/>
      <c r="F24" s="3075"/>
      <c r="G24" s="3075"/>
      <c r="H24" s="2533"/>
      <c r="I24" s="2534"/>
      <c r="J24" s="2534"/>
      <c r="K24" s="2534"/>
      <c r="L24" s="2534"/>
      <c r="M24" s="2535"/>
      <c r="N24" s="2536"/>
      <c r="O24" s="2511"/>
      <c r="P24" s="2511"/>
      <c r="Q24" s="2537"/>
    </row>
    <row r="25" spans="1:18" ht="6" customHeight="1" thickBot="1">
      <c r="A25" s="2454"/>
      <c r="B25" s="2459"/>
      <c r="C25" s="2459"/>
      <c r="D25" s="2459"/>
      <c r="E25" s="2459"/>
      <c r="F25" s="2459"/>
      <c r="G25" s="2459"/>
      <c r="H25" s="2459"/>
      <c r="I25" s="2459"/>
      <c r="J25" s="2459"/>
      <c r="K25" s="2459"/>
      <c r="L25" s="2459"/>
      <c r="M25" s="2538"/>
      <c r="N25" s="2509"/>
      <c r="O25" s="2457"/>
      <c r="P25" s="2457"/>
      <c r="Q25" s="2458"/>
    </row>
    <row r="26" spans="1:18" ht="15" customHeight="1">
      <c r="A26" s="2454"/>
      <c r="B26" s="2539" t="s">
        <v>1881</v>
      </c>
      <c r="C26" s="2540"/>
      <c r="D26" s="2540"/>
      <c r="E26" s="2541"/>
      <c r="F26" s="2542"/>
      <c r="G26" s="2541"/>
      <c r="H26" s="2543"/>
      <c r="I26" s="2544"/>
      <c r="J26" s="2541"/>
      <c r="K26" s="2541"/>
      <c r="L26" s="2541"/>
      <c r="M26" s="2541"/>
      <c r="N26" s="2545"/>
      <c r="O26" s="2457"/>
      <c r="P26" s="2457"/>
      <c r="Q26" s="2458"/>
    </row>
    <row r="27" spans="1:18" ht="15" customHeight="1">
      <c r="A27" s="2454"/>
      <c r="B27" s="2546">
        <v>1</v>
      </c>
      <c r="C27" s="2547" t="s">
        <v>1882</v>
      </c>
      <c r="D27" s="2547"/>
      <c r="E27" s="2548"/>
      <c r="F27" s="2548"/>
      <c r="G27" s="2548"/>
      <c r="H27" s="2548"/>
      <c r="I27" s="2715" t="s">
        <v>2022</v>
      </c>
      <c r="J27" s="2715" t="e">
        <f>SUM(J28,J38,J46)</f>
        <v>#DIV/0!</v>
      </c>
      <c r="K27" s="2799" t="e">
        <f>SUM(K28,K38,K46)</f>
        <v>#DIV/0!</v>
      </c>
      <c r="L27" s="2801" t="s">
        <v>460</v>
      </c>
      <c r="M27" s="2716" t="e">
        <f>SUM(M28,M38,M46)</f>
        <v>#DIV/0!</v>
      </c>
      <c r="N27" s="2696" t="e">
        <f>SUM(N28,N38,N46)</f>
        <v>#DIV/0!</v>
      </c>
      <c r="O27" s="2457"/>
      <c r="P27" s="2457"/>
      <c r="Q27" s="2458"/>
    </row>
    <row r="28" spans="1:18" ht="15" customHeight="1" thickBot="1">
      <c r="A28" s="2454"/>
      <c r="B28" s="2551"/>
      <c r="C28" s="2552" t="s">
        <v>1884</v>
      </c>
      <c r="D28" s="2553"/>
      <c r="E28" s="2554"/>
      <c r="F28" s="2554"/>
      <c r="G28" s="2554"/>
      <c r="H28" s="2554"/>
      <c r="I28" s="2555" t="s">
        <v>2023</v>
      </c>
      <c r="J28" s="2555" t="e">
        <f>SUM(Q29,M34:M35,M30)</f>
        <v>#DIV/0!</v>
      </c>
      <c r="K28" s="2800" t="e">
        <f>20-SUM(Q30:Q35)</f>
        <v>#DIV/0!</v>
      </c>
      <c r="L28" s="2717" t="s">
        <v>460</v>
      </c>
      <c r="M28" s="2718" t="e">
        <f>SUM(R29,N34:N35,N30)</f>
        <v>#DIV/0!</v>
      </c>
      <c r="N28" s="2697" t="e">
        <f>20-SUM(R30:R35)</f>
        <v>#DIV/0!</v>
      </c>
      <c r="O28" s="2457"/>
      <c r="P28" s="2457"/>
      <c r="Q28" s="2563" t="s">
        <v>1888</v>
      </c>
      <c r="R28" s="2617"/>
    </row>
    <row r="29" spans="1:18" ht="12" customHeight="1" thickBot="1">
      <c r="A29" s="2454"/>
      <c r="B29" s="2557"/>
      <c r="C29" s="2558" t="s">
        <v>1886</v>
      </c>
      <c r="D29" s="2558"/>
      <c r="E29" s="2559"/>
      <c r="F29" s="2559"/>
      <c r="G29" s="2719" t="s">
        <v>459</v>
      </c>
      <c r="H29" s="2720" t="s">
        <v>460</v>
      </c>
      <c r="I29" s="2561" t="s">
        <v>1887</v>
      </c>
      <c r="J29" s="2559"/>
      <c r="K29" s="2559"/>
      <c r="L29" s="2559"/>
      <c r="M29" s="2719" t="s">
        <v>459</v>
      </c>
      <c r="N29" s="2720" t="s">
        <v>460</v>
      </c>
      <c r="O29" s="2457"/>
      <c r="P29" s="2457"/>
      <c r="Q29" s="2566" t="e">
        <f>AVERAGE(G30:G34)</f>
        <v>#DIV/0!</v>
      </c>
      <c r="R29" s="2566" t="e">
        <f>AVERAGE(H30:H34)</f>
        <v>#DIV/0!</v>
      </c>
    </row>
    <row r="30" spans="1:18" ht="12" customHeight="1" thickBot="1">
      <c r="A30" s="2454"/>
      <c r="B30" s="2557"/>
      <c r="C30" s="2559" t="s">
        <v>1889</v>
      </c>
      <c r="D30" s="2559"/>
      <c r="E30" s="2564"/>
      <c r="F30" s="700" t="s">
        <v>1890</v>
      </c>
      <c r="G30" s="2829" t="e">
        <f>独自ｼｽﾃﾑ_改修前!H30</f>
        <v>#DIV/0!</v>
      </c>
      <c r="H30" s="2829" t="e">
        <f>独自ｼｽﾃﾑ_改修後!H30</f>
        <v>#DIV/0!</v>
      </c>
      <c r="I30" s="2559" t="s">
        <v>1891</v>
      </c>
      <c r="J30" s="2565"/>
      <c r="K30" s="2565"/>
      <c r="L30" s="700" t="s">
        <v>1890</v>
      </c>
      <c r="M30" s="2829" t="e">
        <f>独自ｼｽﾃﾑ_改修前!N30</f>
        <v>#DIV/0!</v>
      </c>
      <c r="N30" s="2829" t="e">
        <f>独自ｼｽﾃﾑ_改修後!N30</f>
        <v>#DIV/0!</v>
      </c>
      <c r="O30" s="2457"/>
      <c r="P30" s="2457"/>
      <c r="Q30" s="2709" t="e">
        <f>IF(G30="対象外",5,0)</f>
        <v>#DIV/0!</v>
      </c>
      <c r="R30" s="2709" t="e">
        <f>IF(H30="対象外",5,0)</f>
        <v>#DIV/0!</v>
      </c>
    </row>
    <row r="31" spans="1:18" ht="12" customHeight="1" thickBot="1">
      <c r="A31" s="2454"/>
      <c r="B31" s="2557"/>
      <c r="C31" s="2559" t="s">
        <v>1892</v>
      </c>
      <c r="D31" s="2559"/>
      <c r="E31" s="2564"/>
      <c r="F31" s="700" t="s">
        <v>1890</v>
      </c>
      <c r="G31" s="2831" t="e">
        <f>独自ｼｽﾃﾑ_改修前!H31</f>
        <v>#DIV/0!</v>
      </c>
      <c r="H31" s="2831" t="e">
        <f>独自ｼｽﾃﾑ_改修後!H31</f>
        <v>#DIV/0!</v>
      </c>
      <c r="I31" s="3076" t="s">
        <v>1986</v>
      </c>
      <c r="J31" s="3077"/>
      <c r="K31" s="3077"/>
      <c r="L31" s="3077"/>
      <c r="M31" s="3140"/>
      <c r="N31" s="3141"/>
      <c r="O31" s="2457"/>
      <c r="P31" s="2457"/>
      <c r="Q31" s="2709"/>
      <c r="R31" s="2709"/>
    </row>
    <row r="32" spans="1:18" ht="12" customHeight="1" thickBot="1">
      <c r="A32" s="2454"/>
      <c r="B32" s="2557"/>
      <c r="C32" s="2559" t="s">
        <v>1894</v>
      </c>
      <c r="D32" s="2559"/>
      <c r="E32" s="2564"/>
      <c r="F32" s="700" t="s">
        <v>1890</v>
      </c>
      <c r="G32" s="2831" t="e">
        <f>独自ｼｽﾃﾑ_改修前!H32</f>
        <v>#DIV/0!</v>
      </c>
      <c r="H32" s="2831" t="e">
        <f>独自ｼｽﾃﾑ_改修後!H32</f>
        <v>#DIV/0!</v>
      </c>
      <c r="I32" s="3079"/>
      <c r="J32" s="3080"/>
      <c r="K32" s="3080"/>
      <c r="L32" s="3080"/>
      <c r="M32" s="3080"/>
      <c r="N32" s="3081"/>
      <c r="O32" s="2457"/>
      <c r="P32" s="2457"/>
      <c r="Q32" s="2709" t="e">
        <f>IF(M30="対象外",5,0)</f>
        <v>#DIV/0!</v>
      </c>
      <c r="R32" s="2709" t="e">
        <f>IF(N30="対象外",5,0)</f>
        <v>#DIV/0!</v>
      </c>
    </row>
    <row r="33" spans="1:20" ht="12" customHeight="1" thickBot="1">
      <c r="A33" s="2454"/>
      <c r="B33" s="2557"/>
      <c r="C33" s="2559" t="s">
        <v>1895</v>
      </c>
      <c r="D33" s="2559"/>
      <c r="E33" s="2564"/>
      <c r="F33" s="700" t="s">
        <v>1890</v>
      </c>
      <c r="G33" s="2829" t="e">
        <f>独自ｼｽﾃﾑ_改修前!H33</f>
        <v>#DIV/0!</v>
      </c>
      <c r="H33" s="2829" t="e">
        <f>独自ｼｽﾃﾑ_改修後!H33</f>
        <v>#DIV/0!</v>
      </c>
      <c r="I33" s="2558" t="s">
        <v>1896</v>
      </c>
      <c r="J33" s="2565"/>
      <c r="K33" s="2565"/>
      <c r="L33" s="2559"/>
      <c r="M33" s="2719" t="s">
        <v>459</v>
      </c>
      <c r="N33" s="2720" t="s">
        <v>460</v>
      </c>
      <c r="O33" s="2457"/>
      <c r="P33" s="2457"/>
      <c r="Q33" s="2698"/>
      <c r="R33" s="2698"/>
    </row>
    <row r="34" spans="1:20" ht="12" customHeight="1" thickBot="1">
      <c r="A34" s="2454"/>
      <c r="B34" s="2557"/>
      <c r="C34" s="2568" t="s">
        <v>1897</v>
      </c>
      <c r="D34" s="2559"/>
      <c r="E34" s="2564"/>
      <c r="F34" s="700" t="s">
        <v>1890</v>
      </c>
      <c r="G34" s="2829" t="e">
        <f>独自ｼｽﾃﾑ_改修前!H34</f>
        <v>#DIV/0!</v>
      </c>
      <c r="H34" s="2829" t="e">
        <f>独自ｼｽﾃﾑ_改修後!H34</f>
        <v>#DIV/0!</v>
      </c>
      <c r="I34" s="2559" t="s">
        <v>1898</v>
      </c>
      <c r="J34" s="2565"/>
      <c r="K34" s="2565"/>
      <c r="L34" s="700" t="s">
        <v>1890</v>
      </c>
      <c r="M34" s="2829" t="e">
        <f>独自ｼｽﾃﾑ_改修前!N34</f>
        <v>#DIV/0!</v>
      </c>
      <c r="N34" s="2829" t="e">
        <f>独自ｼｽﾃﾑ_改修後!N34</f>
        <v>#DIV/0!</v>
      </c>
      <c r="O34" s="2457"/>
      <c r="P34" s="2457"/>
      <c r="Q34" s="2709" t="e">
        <f>IF(M34="対象外",5,0)</f>
        <v>#DIV/0!</v>
      </c>
      <c r="R34" s="2709" t="e">
        <f>IF(N34="対象外",5,0)</f>
        <v>#DIV/0!</v>
      </c>
    </row>
    <row r="35" spans="1:20" ht="12" customHeight="1" thickBot="1">
      <c r="A35" s="2454"/>
      <c r="B35" s="2557"/>
      <c r="C35" s="2568"/>
      <c r="D35" s="2559" t="s">
        <v>2024</v>
      </c>
      <c r="E35" s="2564"/>
      <c r="F35" s="2559"/>
      <c r="G35" s="700"/>
      <c r="H35" s="2569"/>
      <c r="I35" s="2559" t="s">
        <v>1900</v>
      </c>
      <c r="J35" s="2565"/>
      <c r="K35" s="2565"/>
      <c r="L35" s="700" t="s">
        <v>1890</v>
      </c>
      <c r="M35" s="2829" t="e">
        <f>独自ｼｽﾃﾑ_改修前!N35</f>
        <v>#DIV/0!</v>
      </c>
      <c r="N35" s="2829" t="e">
        <f>独自ｼｽﾃﾑ_改修後!N35</f>
        <v>#DIV/0!</v>
      </c>
      <c r="O35" s="2457"/>
      <c r="P35" s="2457"/>
      <c r="Q35" s="2709" t="e">
        <f>IF(M35="対象外",5,0)</f>
        <v>#DIV/0!</v>
      </c>
      <c r="R35" s="2709" t="e">
        <f>IF(N35="対象外",5,0)</f>
        <v>#DIV/0!</v>
      </c>
    </row>
    <row r="36" spans="1:20" ht="12" customHeight="1">
      <c r="A36" s="2454"/>
      <c r="B36" s="2570"/>
      <c r="C36" s="3082" t="s">
        <v>1901</v>
      </c>
      <c r="D36" s="3082"/>
      <c r="E36" s="3082"/>
      <c r="F36" s="3082"/>
      <c r="G36" s="3082"/>
      <c r="H36" s="3082"/>
      <c r="I36" s="3082" t="s">
        <v>1986</v>
      </c>
      <c r="J36" s="3082"/>
      <c r="K36" s="3082"/>
      <c r="L36" s="3082"/>
      <c r="M36" s="3142"/>
      <c r="N36" s="3142"/>
      <c r="O36" s="2457"/>
      <c r="P36" s="2457"/>
      <c r="Q36" s="2458"/>
    </row>
    <row r="37" spans="1:20" ht="12" customHeight="1" thickBot="1">
      <c r="A37" s="2454"/>
      <c r="B37" s="2570"/>
      <c r="C37" s="3083"/>
      <c r="D37" s="3083"/>
      <c r="E37" s="3083"/>
      <c r="F37" s="3083"/>
      <c r="G37" s="3083"/>
      <c r="H37" s="3083"/>
      <c r="I37" s="3083"/>
      <c r="J37" s="3083"/>
      <c r="K37" s="3083"/>
      <c r="L37" s="3083"/>
      <c r="M37" s="3083"/>
      <c r="N37" s="3083"/>
      <c r="O37" s="2457"/>
      <c r="P37" s="2457"/>
      <c r="Q37" s="2458"/>
    </row>
    <row r="38" spans="1:20" ht="15" customHeight="1">
      <c r="A38" s="2454"/>
      <c r="B38" s="2551"/>
      <c r="C38" s="2571" t="s">
        <v>1902</v>
      </c>
      <c r="D38" s="2572"/>
      <c r="E38" s="2573"/>
      <c r="F38" s="2573"/>
      <c r="G38" s="2573"/>
      <c r="H38" s="2573"/>
      <c r="I38" s="2555" t="s">
        <v>2023</v>
      </c>
      <c r="J38" s="2555" t="e">
        <f>SUM(M40:M43)</f>
        <v>#DIV/0!</v>
      </c>
      <c r="K38" s="2800" t="e">
        <f>20-SUM(R40:R43)</f>
        <v>#DIV/0!</v>
      </c>
      <c r="L38" s="2802" t="s">
        <v>460</v>
      </c>
      <c r="M38" s="2721" t="e">
        <f>SUM(N40:N43)</f>
        <v>#DIV/0!</v>
      </c>
      <c r="N38" s="2697" t="e">
        <f>20-SUM(R40:R43)</f>
        <v>#DIV/0!</v>
      </c>
      <c r="O38" s="2457"/>
      <c r="P38" s="2457"/>
      <c r="Q38" s="2458"/>
    </row>
    <row r="39" spans="1:20" ht="12" customHeight="1" thickBot="1">
      <c r="A39" s="2454"/>
      <c r="B39" s="2551"/>
      <c r="C39" s="2722"/>
      <c r="D39" s="2722"/>
      <c r="E39" s="2609"/>
      <c r="F39" s="2609"/>
      <c r="G39" s="2609"/>
      <c r="H39" s="2609"/>
      <c r="I39" s="2609"/>
      <c r="J39" s="2609"/>
      <c r="K39" s="2609"/>
      <c r="L39" s="2723"/>
      <c r="M39" s="2719" t="s">
        <v>459</v>
      </c>
      <c r="N39" s="2720" t="s">
        <v>460</v>
      </c>
      <c r="O39" s="2457"/>
      <c r="P39" s="2457"/>
      <c r="Q39" s="2458"/>
    </row>
    <row r="40" spans="1:20" ht="12" customHeight="1" thickBot="1">
      <c r="A40" s="2454"/>
      <c r="B40" s="2557"/>
      <c r="C40" s="2559" t="s">
        <v>1903</v>
      </c>
      <c r="D40" s="2559"/>
      <c r="E40" s="2564"/>
      <c r="F40" s="2559"/>
      <c r="G40" s="2451"/>
      <c r="H40" s="2451"/>
      <c r="I40" s="2559"/>
      <c r="J40" s="2565"/>
      <c r="K40" s="2565"/>
      <c r="L40" s="2576" t="s">
        <v>1904</v>
      </c>
      <c r="M40" s="2829" t="e">
        <f>独自ｼｽﾃﾑ_改修前!N39</f>
        <v>#DIV/0!</v>
      </c>
      <c r="N40" s="2829" t="e">
        <f>独自ｼｽﾃﾑ_改修後!N39</f>
        <v>#DIV/0!</v>
      </c>
      <c r="O40" s="2457"/>
      <c r="P40" s="2457"/>
      <c r="Q40" s="2709" t="e">
        <f t="shared" ref="Q40:R43" si="0">IF(M40="対象外",5,0)</f>
        <v>#DIV/0!</v>
      </c>
      <c r="R40" s="2709" t="e">
        <f t="shared" si="0"/>
        <v>#DIV/0!</v>
      </c>
    </row>
    <row r="41" spans="1:20" ht="12" customHeight="1" thickBot="1">
      <c r="A41" s="2454"/>
      <c r="B41" s="2557"/>
      <c r="C41" s="2559" t="s">
        <v>1905</v>
      </c>
      <c r="D41" s="2559"/>
      <c r="E41" s="2564"/>
      <c r="F41" s="2559"/>
      <c r="G41" s="2451"/>
      <c r="H41" s="2451"/>
      <c r="I41" s="2559"/>
      <c r="J41" s="2565"/>
      <c r="K41" s="2565"/>
      <c r="L41" s="2576" t="s">
        <v>1904</v>
      </c>
      <c r="M41" s="2829" t="e">
        <f>独自ｼｽﾃﾑ_改修前!N40</f>
        <v>#DIV/0!</v>
      </c>
      <c r="N41" s="2829" t="e">
        <f>独自ｼｽﾃﾑ_改修後!N40</f>
        <v>#DIV/0!</v>
      </c>
      <c r="O41" s="2457"/>
      <c r="P41" s="2457"/>
      <c r="Q41" s="2709" t="e">
        <f t="shared" si="0"/>
        <v>#DIV/0!</v>
      </c>
      <c r="R41" s="2709" t="e">
        <f t="shared" si="0"/>
        <v>#DIV/0!</v>
      </c>
    </row>
    <row r="42" spans="1:20" ht="12" customHeight="1" thickBot="1">
      <c r="A42" s="2454"/>
      <c r="B42" s="2557"/>
      <c r="C42" s="2559" t="s">
        <v>1972</v>
      </c>
      <c r="D42" s="2559"/>
      <c r="E42" s="2564"/>
      <c r="F42" s="2559"/>
      <c r="G42" s="2451"/>
      <c r="H42" s="2451"/>
      <c r="I42" s="2559"/>
      <c r="J42" s="2565"/>
      <c r="K42" s="2565"/>
      <c r="L42" s="2576" t="s">
        <v>1904</v>
      </c>
      <c r="M42" s="2829" t="e">
        <f>独自ｼｽﾃﾑ_改修前!N41</f>
        <v>#DIV/0!</v>
      </c>
      <c r="N42" s="2829" t="e">
        <f>独自ｼｽﾃﾑ_改修後!N41</f>
        <v>#DIV/0!</v>
      </c>
      <c r="O42" s="2457"/>
      <c r="P42" s="2457"/>
      <c r="Q42" s="2709" t="e">
        <f t="shared" si="0"/>
        <v>#DIV/0!</v>
      </c>
      <c r="R42" s="2709" t="e">
        <f t="shared" si="0"/>
        <v>#DIV/0!</v>
      </c>
      <c r="S42" s="2578"/>
      <c r="T42" s="2578"/>
    </row>
    <row r="43" spans="1:20" ht="12" customHeight="1" thickBot="1">
      <c r="A43" s="2454"/>
      <c r="B43" s="2557"/>
      <c r="C43" s="2568" t="s">
        <v>1906</v>
      </c>
      <c r="D43" s="2559"/>
      <c r="E43" s="2564"/>
      <c r="F43" s="2559"/>
      <c r="G43" s="2579"/>
      <c r="H43" s="2579"/>
      <c r="I43" s="2559"/>
      <c r="J43" s="2565"/>
      <c r="K43" s="2565"/>
      <c r="L43" s="2580" t="s">
        <v>2025</v>
      </c>
      <c r="M43" s="2829" t="e">
        <f>独自ｼｽﾃﾑ_改修前!N42</f>
        <v>#DIV/0!</v>
      </c>
      <c r="N43" s="2829" t="e">
        <f>独自ｼｽﾃﾑ_改修後!N42</f>
        <v>#DIV/0!</v>
      </c>
      <c r="O43" s="2457"/>
      <c r="P43" s="2457"/>
      <c r="Q43" s="2709" t="e">
        <f t="shared" si="0"/>
        <v>#DIV/0!</v>
      </c>
      <c r="R43" s="2709" t="e">
        <f t="shared" si="0"/>
        <v>#DIV/0!</v>
      </c>
      <c r="S43" s="2578"/>
      <c r="T43" s="2578"/>
    </row>
    <row r="44" spans="1:20" ht="12" customHeight="1">
      <c r="A44" s="2454"/>
      <c r="B44" s="2570" t="s">
        <v>2026</v>
      </c>
      <c r="C44" s="3076" t="s">
        <v>1909</v>
      </c>
      <c r="D44" s="3077"/>
      <c r="E44" s="3077"/>
      <c r="F44" s="3077"/>
      <c r="G44" s="3077"/>
      <c r="H44" s="3077"/>
      <c r="I44" s="3077"/>
      <c r="J44" s="3077"/>
      <c r="K44" s="3077"/>
      <c r="L44" s="3077"/>
      <c r="M44" s="3140"/>
      <c r="N44" s="3141"/>
      <c r="O44" s="2457"/>
      <c r="P44" s="2457"/>
      <c r="Q44" s="2458"/>
      <c r="R44" s="2577"/>
      <c r="S44" s="2578"/>
      <c r="T44" s="2578"/>
    </row>
    <row r="45" spans="1:20" ht="12" customHeight="1" thickBot="1">
      <c r="A45" s="2454"/>
      <c r="B45" s="2570"/>
      <c r="C45" s="3079"/>
      <c r="D45" s="3080"/>
      <c r="E45" s="3080"/>
      <c r="F45" s="3080"/>
      <c r="G45" s="3080"/>
      <c r="H45" s="3080"/>
      <c r="I45" s="3080"/>
      <c r="J45" s="3080"/>
      <c r="K45" s="3080"/>
      <c r="L45" s="3080"/>
      <c r="M45" s="3080"/>
      <c r="N45" s="3081"/>
      <c r="O45" s="2457"/>
      <c r="P45" s="2457"/>
      <c r="Q45" s="2458"/>
    </row>
    <row r="46" spans="1:20" ht="15" customHeight="1">
      <c r="A46" s="2454"/>
      <c r="B46" s="2581"/>
      <c r="C46" s="2724" t="s">
        <v>1910</v>
      </c>
      <c r="D46" s="2724"/>
      <c r="E46" s="2725"/>
      <c r="F46" s="2725"/>
      <c r="G46" s="2725"/>
      <c r="H46" s="2725"/>
      <c r="I46" s="2555" t="s">
        <v>2023</v>
      </c>
      <c r="J46" s="2555">
        <f>COUNTIF(M48:M50,"○")</f>
        <v>0</v>
      </c>
      <c r="K46" s="2800">
        <f>3-SUM(Q48:Q50)</f>
        <v>3</v>
      </c>
      <c r="L46" s="2802" t="s">
        <v>460</v>
      </c>
      <c r="M46" s="2726">
        <f>COUNTIF(N48:N50,"○")</f>
        <v>0</v>
      </c>
      <c r="N46" s="2697">
        <f>3-SUM(R48:R50)</f>
        <v>3</v>
      </c>
      <c r="O46" s="2585"/>
      <c r="P46" s="2615"/>
      <c r="Q46" s="2586"/>
    </row>
    <row r="47" spans="1:20" ht="12" customHeight="1" thickBot="1">
      <c r="A47" s="2454"/>
      <c r="B47" s="2581"/>
      <c r="C47" s="2728"/>
      <c r="D47" s="2729"/>
      <c r="E47" s="2730"/>
      <c r="F47" s="2730"/>
      <c r="G47" s="2730"/>
      <c r="H47" s="2730"/>
      <c r="I47" s="2730"/>
      <c r="J47" s="2730"/>
      <c r="K47" s="2730"/>
      <c r="L47" s="2731"/>
      <c r="M47" s="2719" t="s">
        <v>459</v>
      </c>
      <c r="N47" s="2720" t="s">
        <v>460</v>
      </c>
      <c r="O47" s="2615"/>
      <c r="P47" s="2615"/>
      <c r="Q47" s="2586"/>
    </row>
    <row r="48" spans="1:20" ht="12" customHeight="1" thickBot="1">
      <c r="A48" s="2454"/>
      <c r="B48" s="2581"/>
      <c r="C48" s="3088" t="s">
        <v>1911</v>
      </c>
      <c r="D48" s="3088"/>
      <c r="E48" s="3088"/>
      <c r="F48" s="3143" t="s">
        <v>2069</v>
      </c>
      <c r="G48" s="3143"/>
      <c r="H48" s="3143"/>
      <c r="I48" s="3143"/>
      <c r="J48" s="3143"/>
      <c r="K48" s="3143"/>
      <c r="L48" s="3144"/>
      <c r="M48" s="2829" t="str">
        <f>独自ｼｽﾃﾑ_改修前!N46</f>
        <v>　</v>
      </c>
      <c r="N48" s="2829" t="str">
        <f>独自ｼｽﾃﾑ_改修後!N46</f>
        <v>　</v>
      </c>
      <c r="O48" s="2457"/>
      <c r="P48" s="2457"/>
      <c r="Q48" s="2709">
        <f t="shared" ref="Q48:R50" si="1">IF(M48="対象外",1,0)</f>
        <v>0</v>
      </c>
      <c r="R48" s="2709">
        <f t="shared" si="1"/>
        <v>0</v>
      </c>
    </row>
    <row r="49" spans="1:18" ht="12" customHeight="1" thickBot="1">
      <c r="A49" s="2454"/>
      <c r="B49" s="2581"/>
      <c r="C49" s="3145" t="s">
        <v>1913</v>
      </c>
      <c r="D49" s="3117"/>
      <c r="E49" s="3117"/>
      <c r="F49" s="3143" t="s">
        <v>2071</v>
      </c>
      <c r="G49" s="3143"/>
      <c r="H49" s="3143"/>
      <c r="I49" s="3143"/>
      <c r="J49" s="3143"/>
      <c r="K49" s="3143"/>
      <c r="L49" s="3144"/>
      <c r="M49" s="2829" t="str">
        <f>独自ｼｽﾃﾑ_改修前!N47</f>
        <v>　</v>
      </c>
      <c r="N49" s="2829" t="str">
        <f>独自ｼｽﾃﾑ_改修後!N47</f>
        <v>　</v>
      </c>
      <c r="O49" s="2457"/>
      <c r="P49" s="2457"/>
      <c r="Q49" s="2709">
        <f t="shared" si="1"/>
        <v>0</v>
      </c>
      <c r="R49" s="2709">
        <f t="shared" si="1"/>
        <v>0</v>
      </c>
    </row>
    <row r="50" spans="1:18" ht="12" customHeight="1" thickBot="1">
      <c r="A50" s="2454"/>
      <c r="B50" s="2581"/>
      <c r="C50" s="3145" t="s">
        <v>2055</v>
      </c>
      <c r="D50" s="3117"/>
      <c r="E50" s="3117"/>
      <c r="F50" s="3092" t="s">
        <v>1916</v>
      </c>
      <c r="G50" s="3092"/>
      <c r="H50" s="3092"/>
      <c r="I50" s="3092"/>
      <c r="J50" s="3092"/>
      <c r="K50" s="3092"/>
      <c r="L50" s="2576"/>
      <c r="M50" s="2829" t="str">
        <f>独自ｼｽﾃﾑ_改修前!N48</f>
        <v>　</v>
      </c>
      <c r="N50" s="2829" t="str">
        <f>独自ｼｽﾃﾑ_改修後!N48</f>
        <v>　</v>
      </c>
      <c r="O50" s="2457"/>
      <c r="P50" s="2457"/>
      <c r="Q50" s="2709">
        <f t="shared" si="1"/>
        <v>0</v>
      </c>
      <c r="R50" s="2709">
        <f t="shared" si="1"/>
        <v>0</v>
      </c>
    </row>
    <row r="51" spans="1:18" ht="15" customHeight="1">
      <c r="A51" s="2454"/>
      <c r="B51" s="2732">
        <v>2</v>
      </c>
      <c r="C51" s="2590" t="s">
        <v>1917</v>
      </c>
      <c r="D51" s="2590"/>
      <c r="E51" s="2591"/>
      <c r="F51" s="2591"/>
      <c r="G51" s="2591"/>
      <c r="H51" s="2591"/>
      <c r="I51" s="2733" t="s">
        <v>2027</v>
      </c>
      <c r="J51" s="2592" t="e">
        <f>SUM(E52,K52,J59,J65)</f>
        <v>#DIV/0!</v>
      </c>
      <c r="K51" s="2803" t="e">
        <f>SUM(F52,L52,K59,K65)</f>
        <v>#DIV/0!</v>
      </c>
      <c r="L51" s="2734" t="s">
        <v>460</v>
      </c>
      <c r="M51" s="2592" t="e">
        <f>SUM(G52,M52,M59,M65)</f>
        <v>#DIV/0!</v>
      </c>
      <c r="N51" s="2804" t="e">
        <f>SUM(H52,N52,N59,N65)</f>
        <v>#DIV/0!</v>
      </c>
      <c r="O51" s="2457"/>
      <c r="P51" s="2457"/>
      <c r="Q51" s="2458"/>
    </row>
    <row r="52" spans="1:18" ht="15" customHeight="1">
      <c r="A52" s="2454"/>
      <c r="B52" s="2593"/>
      <c r="C52" s="2594" t="s">
        <v>1918</v>
      </c>
      <c r="D52" s="2555" t="s">
        <v>1938</v>
      </c>
      <c r="E52" s="2555" t="e">
        <f>SUM(G54:G56)</f>
        <v>#DIV/0!</v>
      </c>
      <c r="F52" s="2805" t="e">
        <f>15-SUM(Q52:Q54)</f>
        <v>#DIV/0!</v>
      </c>
      <c r="G52" s="2555" t="e">
        <f>SUM(H54:H56)</f>
        <v>#DIV/0!</v>
      </c>
      <c r="H52" s="2701" t="e">
        <f>15-SUM(R52:R54)</f>
        <v>#DIV/0!</v>
      </c>
      <c r="I52" s="3146" t="s">
        <v>1920</v>
      </c>
      <c r="J52" s="3147"/>
      <c r="K52" s="2555" t="e">
        <f>SUM(M54:M56)</f>
        <v>#DIV/0!</v>
      </c>
      <c r="L52" s="2805" t="e">
        <f>15-SUM(Q55:Q57)</f>
        <v>#DIV/0!</v>
      </c>
      <c r="M52" s="2555" t="e">
        <f>SUM(N54:N56)</f>
        <v>#DIV/0!</v>
      </c>
      <c r="N52" s="2703" t="e">
        <f>15-SUM(R55:R57)</f>
        <v>#DIV/0!</v>
      </c>
      <c r="O52" s="2457"/>
      <c r="P52" s="2457"/>
      <c r="Q52" s="2709" t="e">
        <f t="shared" ref="Q52:R54" si="2">IF(G54="対象外",5,0)</f>
        <v>#DIV/0!</v>
      </c>
      <c r="R52" s="2709" t="e">
        <f t="shared" si="2"/>
        <v>#DIV/0!</v>
      </c>
    </row>
    <row r="53" spans="1:18" ht="12" customHeight="1" thickBot="1">
      <c r="A53" s="2454"/>
      <c r="B53" s="2596"/>
      <c r="C53" s="2597" t="s">
        <v>1921</v>
      </c>
      <c r="D53" s="2597"/>
      <c r="E53" s="2598"/>
      <c r="F53" s="2598"/>
      <c r="G53" s="2559" t="s">
        <v>459</v>
      </c>
      <c r="H53" s="2560" t="s">
        <v>460</v>
      </c>
      <c r="I53" s="2558" t="s">
        <v>1922</v>
      </c>
      <c r="J53" s="2559"/>
      <c r="K53" s="2559"/>
      <c r="L53" s="2559"/>
      <c r="M53" s="2719" t="s">
        <v>459</v>
      </c>
      <c r="N53" s="2720" t="s">
        <v>460</v>
      </c>
      <c r="O53" s="2457"/>
      <c r="P53" s="2457"/>
      <c r="Q53" s="2709" t="e">
        <f t="shared" si="2"/>
        <v>#DIV/0!</v>
      </c>
      <c r="R53" s="2709" t="e">
        <f t="shared" si="2"/>
        <v>#DIV/0!</v>
      </c>
    </row>
    <row r="54" spans="1:18" ht="12" customHeight="1" thickBot="1">
      <c r="A54" s="2454"/>
      <c r="B54" s="2596"/>
      <c r="C54" s="2559" t="s">
        <v>1923</v>
      </c>
      <c r="D54" s="2559"/>
      <c r="E54" s="2564"/>
      <c r="F54" s="2576" t="s">
        <v>1904</v>
      </c>
      <c r="G54" s="2829" t="e">
        <f>独自ｼｽﾃﾑ_改修前!H53</f>
        <v>#DIV/0!</v>
      </c>
      <c r="H54" s="2829" t="e">
        <f>独自ｼｽﾃﾑ_改修後!H53</f>
        <v>#DIV/0!</v>
      </c>
      <c r="I54" s="2559" t="s">
        <v>1924</v>
      </c>
      <c r="J54" s="2559"/>
      <c r="K54" s="2559"/>
      <c r="L54" s="2576" t="s">
        <v>1904</v>
      </c>
      <c r="M54" s="2829" t="e">
        <f>独自ｼｽﾃﾑ_改修前!N53</f>
        <v>#DIV/0!</v>
      </c>
      <c r="N54" s="2829" t="e">
        <f>独自ｼｽﾃﾑ_改修後!N53</f>
        <v>#DIV/0!</v>
      </c>
      <c r="O54" s="2457"/>
      <c r="P54" s="2457"/>
      <c r="Q54" s="2709" t="e">
        <f t="shared" si="2"/>
        <v>#DIV/0!</v>
      </c>
      <c r="R54" s="2709" t="e">
        <f t="shared" si="2"/>
        <v>#DIV/0!</v>
      </c>
    </row>
    <row r="55" spans="1:18" ht="12" customHeight="1" thickBot="1">
      <c r="A55" s="2454"/>
      <c r="B55" s="2596"/>
      <c r="C55" s="2559" t="s">
        <v>2028</v>
      </c>
      <c r="D55" s="2559"/>
      <c r="E55" s="2564"/>
      <c r="F55" s="2576" t="s">
        <v>1904</v>
      </c>
      <c r="G55" s="2829" t="e">
        <f>独自ｼｽﾃﾑ_改修前!H54</f>
        <v>#DIV/0!</v>
      </c>
      <c r="H55" s="2829" t="e">
        <f>独自ｼｽﾃﾑ_改修後!H54</f>
        <v>#DIV/0!</v>
      </c>
      <c r="I55" s="2559" t="s">
        <v>1926</v>
      </c>
      <c r="J55" s="2559"/>
      <c r="K55" s="2559"/>
      <c r="L55" s="2576" t="s">
        <v>1904</v>
      </c>
      <c r="M55" s="2829" t="e">
        <f>独自ｼｽﾃﾑ_改修前!N54</f>
        <v>#DIV/0!</v>
      </c>
      <c r="N55" s="2829" t="e">
        <f>独自ｼｽﾃﾑ_改修後!N54</f>
        <v>#DIV/0!</v>
      </c>
      <c r="O55" s="2457"/>
      <c r="P55" s="2457"/>
      <c r="Q55" s="2709" t="e">
        <f t="shared" ref="Q55:R57" si="3">IF(M54="対象外",5,0)</f>
        <v>#DIV/0!</v>
      </c>
      <c r="R55" s="2709" t="e">
        <f t="shared" si="3"/>
        <v>#DIV/0!</v>
      </c>
    </row>
    <row r="56" spans="1:18" ht="12" customHeight="1" thickBot="1">
      <c r="A56" s="2454"/>
      <c r="B56" s="2596"/>
      <c r="C56" s="2568" t="s">
        <v>1927</v>
      </c>
      <c r="D56" s="2559"/>
      <c r="E56" s="2564"/>
      <c r="F56" s="2599" t="s">
        <v>1904</v>
      </c>
      <c r="G56" s="2830" t="e">
        <f>独自ｼｽﾃﾑ_改修前!H55</f>
        <v>#DIV/0!</v>
      </c>
      <c r="H56" s="2830" t="e">
        <f>独自ｼｽﾃﾑ_改修後!H55</f>
        <v>#DIV/0!</v>
      </c>
      <c r="I56" s="3095" t="s">
        <v>2054</v>
      </c>
      <c r="J56" s="3095"/>
      <c r="K56" s="3095"/>
      <c r="L56" s="3095"/>
      <c r="M56" s="2829" t="e">
        <f>独自ｼｽﾃﾑ_改修前!N55</f>
        <v>#DIV/0!</v>
      </c>
      <c r="N56" s="2829" t="e">
        <f>独自ｼｽﾃﾑ_改修後!N55</f>
        <v>#DIV/0!</v>
      </c>
      <c r="O56" s="2457"/>
      <c r="P56" s="2457"/>
      <c r="Q56" s="2709" t="e">
        <f t="shared" si="3"/>
        <v>#DIV/0!</v>
      </c>
      <c r="R56" s="2709" t="e">
        <f t="shared" si="3"/>
        <v>#DIV/0!</v>
      </c>
    </row>
    <row r="57" spans="1:18" ht="12" customHeight="1">
      <c r="A57" s="2454"/>
      <c r="B57" s="2600"/>
      <c r="C57" s="3082" t="s">
        <v>1909</v>
      </c>
      <c r="D57" s="3082"/>
      <c r="E57" s="3082"/>
      <c r="F57" s="3082"/>
      <c r="G57" s="3082"/>
      <c r="H57" s="3082"/>
      <c r="I57" s="3082" t="s">
        <v>1909</v>
      </c>
      <c r="J57" s="3082"/>
      <c r="K57" s="3082"/>
      <c r="L57" s="3082"/>
      <c r="M57" s="3142"/>
      <c r="N57" s="3142"/>
      <c r="O57" s="2457"/>
      <c r="P57" s="2457"/>
      <c r="Q57" s="2709" t="e">
        <f t="shared" si="3"/>
        <v>#DIV/0!</v>
      </c>
      <c r="R57" s="2709" t="e">
        <f t="shared" si="3"/>
        <v>#DIV/0!</v>
      </c>
    </row>
    <row r="58" spans="1:18" ht="12" customHeight="1" thickBot="1">
      <c r="A58" s="2454"/>
      <c r="B58" s="2600"/>
      <c r="C58" s="3083"/>
      <c r="D58" s="3083"/>
      <c r="E58" s="3083"/>
      <c r="F58" s="3083"/>
      <c r="G58" s="3083"/>
      <c r="H58" s="3083"/>
      <c r="I58" s="3083"/>
      <c r="J58" s="3083"/>
      <c r="K58" s="3083"/>
      <c r="L58" s="3083"/>
      <c r="M58" s="3083"/>
      <c r="N58" s="3083"/>
      <c r="O58" s="2457"/>
      <c r="P58" s="2457"/>
      <c r="Q58" s="2458"/>
    </row>
    <row r="59" spans="1:18" ht="15" customHeight="1">
      <c r="A59" s="2454"/>
      <c r="B59" s="2593"/>
      <c r="C59" s="2594" t="s">
        <v>1929</v>
      </c>
      <c r="D59" s="2594"/>
      <c r="E59" s="2595"/>
      <c r="F59" s="2595"/>
      <c r="G59" s="2595"/>
      <c r="H59" s="2595"/>
      <c r="I59" s="2555" t="s">
        <v>2023</v>
      </c>
      <c r="J59" s="2555" t="e">
        <f>SUM(M61:M62)</f>
        <v>#DIV/0!</v>
      </c>
      <c r="K59" s="2805" t="e">
        <f>10-SUM(Q61:Q62)</f>
        <v>#DIV/0!</v>
      </c>
      <c r="L59" s="2717" t="s">
        <v>460</v>
      </c>
      <c r="M59" s="2574" t="e">
        <f>SUM(N61:N62)</f>
        <v>#DIV/0!</v>
      </c>
      <c r="N59" s="2704" t="e">
        <f>10-SUM(R61:R62)</f>
        <v>#DIV/0!</v>
      </c>
      <c r="O59" s="2457"/>
      <c r="P59" s="2457"/>
      <c r="Q59" s="2458"/>
    </row>
    <row r="60" spans="1:18" ht="12" customHeight="1" thickBot="1">
      <c r="A60" s="2454"/>
      <c r="B60" s="2596"/>
      <c r="C60" s="2597" t="s">
        <v>1930</v>
      </c>
      <c r="D60" s="2597"/>
      <c r="E60" s="2598"/>
      <c r="F60" s="2598"/>
      <c r="G60" s="2598"/>
      <c r="H60" s="2598"/>
      <c r="I60" s="2597"/>
      <c r="J60" s="2598"/>
      <c r="K60" s="2598"/>
      <c r="L60" s="2598"/>
      <c r="M60" s="2719" t="s">
        <v>459</v>
      </c>
      <c r="N60" s="2720" t="s">
        <v>460</v>
      </c>
      <c r="O60" s="2585"/>
      <c r="P60" s="2615"/>
      <c r="Q60" s="2586"/>
    </row>
    <row r="61" spans="1:18" ht="12" customHeight="1" thickBot="1">
      <c r="A61" s="2454"/>
      <c r="B61" s="2596"/>
      <c r="C61" s="2559" t="s">
        <v>1931</v>
      </c>
      <c r="D61" s="2559"/>
      <c r="E61" s="2564"/>
      <c r="F61" s="2559"/>
      <c r="G61" s="2451"/>
      <c r="H61" s="2451"/>
      <c r="I61" s="2559"/>
      <c r="J61" s="2565"/>
      <c r="K61" s="2565"/>
      <c r="L61" s="2576" t="s">
        <v>1904</v>
      </c>
      <c r="M61" s="2829" t="e">
        <f>独自ｼｽﾃﾑ_改修前!N60</f>
        <v>#DIV/0!</v>
      </c>
      <c r="N61" s="2829" t="e">
        <f>独自ｼｽﾃﾑ_改修後!N60</f>
        <v>#DIV/0!</v>
      </c>
      <c r="O61" s="2457"/>
      <c r="P61" s="2457"/>
      <c r="Q61" s="2709" t="e">
        <f>IF(M61="対象外",5,0)</f>
        <v>#DIV/0!</v>
      </c>
      <c r="R61" s="2709" t="e">
        <f>IF(N61="対象外",5,0)</f>
        <v>#DIV/0!</v>
      </c>
    </row>
    <row r="62" spans="1:18" ht="12" customHeight="1" thickBot="1">
      <c r="A62" s="2454"/>
      <c r="B62" s="2596"/>
      <c r="C62" s="2559" t="s">
        <v>1924</v>
      </c>
      <c r="D62" s="2559"/>
      <c r="E62" s="2564"/>
      <c r="F62" s="2559"/>
      <c r="G62" s="2451"/>
      <c r="H62" s="2451"/>
      <c r="I62" s="2559"/>
      <c r="J62" s="2565"/>
      <c r="K62" s="2565"/>
      <c r="L62" s="2576" t="s">
        <v>1904</v>
      </c>
      <c r="M62" s="2829" t="e">
        <f>独自ｼｽﾃﾑ_改修前!N61</f>
        <v>#DIV/0!</v>
      </c>
      <c r="N62" s="2829" t="e">
        <f>独自ｼｽﾃﾑ_改修後!N61</f>
        <v>#DIV/0!</v>
      </c>
      <c r="O62" s="2457"/>
      <c r="P62" s="2457"/>
      <c r="Q62" s="2709" t="e">
        <f>IF(M62="対象外",5,0)</f>
        <v>#DIV/0!</v>
      </c>
      <c r="R62" s="2709" t="e">
        <f>IF(N62="対象外",5,0)</f>
        <v>#DIV/0!</v>
      </c>
    </row>
    <row r="63" spans="1:18" ht="12" customHeight="1">
      <c r="A63" s="2454"/>
      <c r="B63" s="2600"/>
      <c r="C63" s="3076" t="s">
        <v>1909</v>
      </c>
      <c r="D63" s="3077"/>
      <c r="E63" s="3077"/>
      <c r="F63" s="3077"/>
      <c r="G63" s="3077"/>
      <c r="H63" s="3077"/>
      <c r="I63" s="3077"/>
      <c r="J63" s="3077"/>
      <c r="K63" s="3077"/>
      <c r="L63" s="3077"/>
      <c r="M63" s="3140"/>
      <c r="N63" s="3141"/>
      <c r="O63" s="2457"/>
      <c r="P63" s="2457"/>
    </row>
    <row r="64" spans="1:18" ht="12" customHeight="1" thickBot="1">
      <c r="A64" s="2454"/>
      <c r="B64" s="2600"/>
      <c r="C64" s="3079"/>
      <c r="D64" s="3080"/>
      <c r="E64" s="3080"/>
      <c r="F64" s="3080"/>
      <c r="G64" s="3080"/>
      <c r="H64" s="3080"/>
      <c r="I64" s="3080"/>
      <c r="J64" s="3080"/>
      <c r="K64" s="3080"/>
      <c r="L64" s="3080"/>
      <c r="M64" s="3080"/>
      <c r="N64" s="3081"/>
      <c r="O64" s="2457"/>
      <c r="P64" s="2457"/>
      <c r="Q64" s="2458"/>
      <c r="R64" s="2458"/>
    </row>
    <row r="65" spans="1:20" ht="15" customHeight="1">
      <c r="A65" s="2454"/>
      <c r="B65" s="2601"/>
      <c r="C65" s="2724" t="s">
        <v>1932</v>
      </c>
      <c r="D65" s="2724"/>
      <c r="E65" s="2725"/>
      <c r="F65" s="2725"/>
      <c r="G65" s="2725"/>
      <c r="H65" s="2725"/>
      <c r="I65" s="2555" t="s">
        <v>2023</v>
      </c>
      <c r="J65" s="2726">
        <f>COUNTIF(M67:M68,"○")</f>
        <v>0</v>
      </c>
      <c r="K65" s="2806">
        <f>2-SUM(Q67:Q68)</f>
        <v>2</v>
      </c>
      <c r="L65" s="2717" t="s">
        <v>460</v>
      </c>
      <c r="M65" s="2726">
        <f>COUNTIF(N67:N68,"○")</f>
        <v>0</v>
      </c>
      <c r="N65" s="2727">
        <f>2-SUM(R67:R68)</f>
        <v>2</v>
      </c>
      <c r="O65" s="2457"/>
      <c r="P65" s="2457"/>
      <c r="Q65" s="2458"/>
      <c r="R65" s="2458"/>
    </row>
    <row r="66" spans="1:20" ht="12" customHeight="1" thickBot="1">
      <c r="A66" s="2454"/>
      <c r="B66" s="2601"/>
      <c r="C66" s="2728"/>
      <c r="D66" s="2729"/>
      <c r="E66" s="2730"/>
      <c r="F66" s="2730"/>
      <c r="G66" s="2730"/>
      <c r="H66" s="2730"/>
      <c r="I66" s="2730"/>
      <c r="J66" s="2730"/>
      <c r="K66" s="2730"/>
      <c r="L66" s="2731"/>
      <c r="M66" s="2719" t="s">
        <v>459</v>
      </c>
      <c r="N66" s="2720" t="s">
        <v>460</v>
      </c>
      <c r="O66" s="2457"/>
      <c r="P66" s="2457"/>
      <c r="Q66" s="2458"/>
      <c r="R66" s="2458"/>
    </row>
    <row r="67" spans="1:20" ht="12" customHeight="1" thickBot="1">
      <c r="A67" s="2454"/>
      <c r="B67" s="2601"/>
      <c r="C67" s="3094" t="s">
        <v>1933</v>
      </c>
      <c r="D67" s="3148"/>
      <c r="E67" s="3148"/>
      <c r="F67" s="3148"/>
      <c r="G67" s="3149" t="s">
        <v>1934</v>
      </c>
      <c r="H67" s="3150"/>
      <c r="I67" s="3150"/>
      <c r="J67" s="3150"/>
      <c r="K67" s="3150"/>
      <c r="L67" s="3150"/>
      <c r="M67" s="2829" t="str">
        <f>独自ｼｽﾃﾑ_改修前!N65</f>
        <v>　</v>
      </c>
      <c r="N67" s="2829" t="str">
        <f>独自ｼｽﾃﾑ_改修後!N65</f>
        <v>　</v>
      </c>
      <c r="O67" s="2457"/>
      <c r="P67" s="2457"/>
      <c r="Q67" s="2709">
        <f>IF(M67="対象外",1,0)</f>
        <v>0</v>
      </c>
      <c r="R67" s="2709">
        <f>IF(N67="対象外",1,0)</f>
        <v>0</v>
      </c>
    </row>
    <row r="68" spans="1:20" ht="26.25" customHeight="1" thickBot="1">
      <c r="A68" s="2454"/>
      <c r="B68" s="2602"/>
      <c r="C68" s="3096" t="s">
        <v>2029</v>
      </c>
      <c r="D68" s="3096"/>
      <c r="E68" s="3096"/>
      <c r="F68" s="3096"/>
      <c r="G68" s="3097" t="s">
        <v>1936</v>
      </c>
      <c r="H68" s="3151"/>
      <c r="I68" s="3151"/>
      <c r="J68" s="3151"/>
      <c r="K68" s="3151"/>
      <c r="L68" s="3151"/>
      <c r="M68" s="2829" t="str">
        <f>独自ｼｽﾃﾑ_改修前!N66</f>
        <v>　</v>
      </c>
      <c r="N68" s="2829" t="str">
        <f>独自ｼｽﾃﾑ_改修後!N66</f>
        <v>　</v>
      </c>
      <c r="O68" s="2457"/>
      <c r="P68" s="2457"/>
      <c r="Q68" s="2709">
        <f>IF(M68="対象外",1,0)</f>
        <v>0</v>
      </c>
      <c r="R68" s="2709">
        <f>IF(N68="対象外",1,0)</f>
        <v>0</v>
      </c>
    </row>
    <row r="69" spans="1:20" ht="15" customHeight="1">
      <c r="A69" s="2454"/>
      <c r="B69" s="2603">
        <v>3</v>
      </c>
      <c r="C69" s="2604" t="s">
        <v>1937</v>
      </c>
      <c r="D69" s="2604"/>
      <c r="E69" s="2605"/>
      <c r="F69" s="2605"/>
      <c r="G69" s="2605"/>
      <c r="H69" s="2605"/>
      <c r="I69" s="2735" t="s">
        <v>2027</v>
      </c>
      <c r="J69" s="2606" t="e">
        <f>SUM(J77,J70,J85)</f>
        <v>#DIV/0!</v>
      </c>
      <c r="K69" s="2807" t="e">
        <f>SUM(K77,K70,K85)</f>
        <v>#DIV/0!</v>
      </c>
      <c r="L69" s="2736" t="s">
        <v>460</v>
      </c>
      <c r="M69" s="2606" t="e">
        <f>SUM(M77,M70,M85)</f>
        <v>#DIV/0!</v>
      </c>
      <c r="N69" s="2706" t="e">
        <f>SUM(N70,N77,N85)</f>
        <v>#DIV/0!</v>
      </c>
      <c r="O69" s="2457"/>
      <c r="P69" s="2457"/>
      <c r="Q69" s="2458"/>
    </row>
    <row r="70" spans="1:20" ht="15" customHeight="1">
      <c r="A70" s="2454"/>
      <c r="B70" s="2603"/>
      <c r="C70" s="2737" t="s">
        <v>1939</v>
      </c>
      <c r="D70" s="2738"/>
      <c r="E70" s="2739"/>
      <c r="F70" s="2739"/>
      <c r="G70" s="2740"/>
      <c r="H70" s="2739"/>
      <c r="I70" s="2555" t="s">
        <v>2023</v>
      </c>
      <c r="J70" s="2555" t="e">
        <f>SUM(M72:M74)</f>
        <v>#DIV/0!</v>
      </c>
      <c r="K70" s="2805" t="e">
        <f>15-SUM(Q72:Q74)</f>
        <v>#DIV/0!</v>
      </c>
      <c r="L70" s="2717" t="s">
        <v>460</v>
      </c>
      <c r="M70" s="2555" t="e">
        <f>SUM(N72:N74)</f>
        <v>#DIV/0!</v>
      </c>
      <c r="N70" s="2699" t="e">
        <f>15-SUM(R72:R74)</f>
        <v>#DIV/0!</v>
      </c>
      <c r="O70" s="2457"/>
      <c r="P70" s="2457"/>
      <c r="Q70" s="2458"/>
    </row>
    <row r="71" spans="1:20" ht="12" customHeight="1" thickBot="1">
      <c r="A71" s="2454"/>
      <c r="B71" s="2603"/>
      <c r="C71" s="2741"/>
      <c r="D71" s="2742"/>
      <c r="E71" s="2608"/>
      <c r="F71" s="2608"/>
      <c r="G71" s="2731"/>
      <c r="H71" s="2608"/>
      <c r="I71" s="2608"/>
      <c r="J71" s="2731"/>
      <c r="K71" s="2731"/>
      <c r="L71" s="2731"/>
      <c r="M71" s="2743" t="s">
        <v>459</v>
      </c>
      <c r="N71" s="2744" t="s">
        <v>460</v>
      </c>
      <c r="O71" s="2457"/>
      <c r="P71" s="2457"/>
      <c r="Q71" s="2458"/>
    </row>
    <row r="72" spans="1:20" ht="12" customHeight="1" thickBot="1">
      <c r="A72" s="2454"/>
      <c r="B72" s="2607"/>
      <c r="C72" s="2559" t="s">
        <v>1931</v>
      </c>
      <c r="D72" s="2559"/>
      <c r="E72" s="2609"/>
      <c r="F72" s="2609"/>
      <c r="G72" s="2609"/>
      <c r="H72" s="2609"/>
      <c r="I72" s="2609"/>
      <c r="J72" s="2609"/>
      <c r="K72" s="2609"/>
      <c r="L72" s="2576" t="s">
        <v>1904</v>
      </c>
      <c r="M72" s="2829" t="e">
        <f>独自ｼｽﾃﾑ_改修前!N69</f>
        <v>#DIV/0!</v>
      </c>
      <c r="N72" s="2829" t="e">
        <f>独自ｼｽﾃﾑ_改修後!N69</f>
        <v>#DIV/0!</v>
      </c>
      <c r="O72" s="2457"/>
      <c r="P72" s="2457"/>
      <c r="Q72" s="2798" t="e">
        <f t="shared" ref="Q72:R74" si="4">IF(M72="対象外",5,0)</f>
        <v>#DIV/0!</v>
      </c>
      <c r="R72" s="2798" t="e">
        <f t="shared" si="4"/>
        <v>#DIV/0!</v>
      </c>
    </row>
    <row r="73" spans="1:20" ht="12" customHeight="1" thickBot="1">
      <c r="A73" s="2454"/>
      <c r="B73" s="2607"/>
      <c r="C73" s="2559" t="s">
        <v>1924</v>
      </c>
      <c r="D73" s="2559"/>
      <c r="E73" s="2609"/>
      <c r="F73" s="2609"/>
      <c r="G73" s="2609"/>
      <c r="H73" s="2609"/>
      <c r="I73" s="2609"/>
      <c r="J73" s="2609"/>
      <c r="K73" s="2609"/>
      <c r="L73" s="2576" t="s">
        <v>1904</v>
      </c>
      <c r="M73" s="2829" t="e">
        <f>独自ｼｽﾃﾑ_改修前!N70</f>
        <v>#DIV/0!</v>
      </c>
      <c r="N73" s="2829" t="e">
        <f>独自ｼｽﾃﾑ_改修後!N70</f>
        <v>#DIV/0!</v>
      </c>
      <c r="O73" s="2457"/>
      <c r="P73" s="2457"/>
      <c r="Q73" s="2798" t="e">
        <f t="shared" si="4"/>
        <v>#DIV/0!</v>
      </c>
      <c r="R73" s="2798" t="e">
        <f t="shared" si="4"/>
        <v>#DIV/0!</v>
      </c>
    </row>
    <row r="74" spans="1:20" ht="12" customHeight="1" thickBot="1">
      <c r="A74" s="2454"/>
      <c r="B74" s="2607"/>
      <c r="C74" s="2559" t="s">
        <v>1940</v>
      </c>
      <c r="D74" s="2559"/>
      <c r="E74" s="2609"/>
      <c r="F74" s="2609"/>
      <c r="G74" s="2609"/>
      <c r="H74" s="2609"/>
      <c r="I74" s="2609"/>
      <c r="J74" s="2609"/>
      <c r="K74" s="2609"/>
      <c r="L74" s="2576" t="s">
        <v>1904</v>
      </c>
      <c r="M74" s="2829" t="e">
        <f>独自ｼｽﾃﾑ_改修前!N71</f>
        <v>#DIV/0!</v>
      </c>
      <c r="N74" s="2829" t="e">
        <f>独自ｼｽﾃﾑ_改修後!N71</f>
        <v>#DIV/0!</v>
      </c>
      <c r="O74" s="2457"/>
      <c r="P74" s="2457"/>
      <c r="Q74" s="2798" t="e">
        <f t="shared" si="4"/>
        <v>#DIV/0!</v>
      </c>
      <c r="R74" s="2798" t="e">
        <f t="shared" si="4"/>
        <v>#DIV/0!</v>
      </c>
    </row>
    <row r="75" spans="1:20" ht="12" customHeight="1">
      <c r="A75" s="2454"/>
      <c r="B75" s="2603"/>
      <c r="C75" s="3076" t="s">
        <v>1909</v>
      </c>
      <c r="D75" s="3077"/>
      <c r="E75" s="3077"/>
      <c r="F75" s="3077"/>
      <c r="G75" s="3077"/>
      <c r="H75" s="3077"/>
      <c r="I75" s="3077"/>
      <c r="J75" s="3077"/>
      <c r="K75" s="3077"/>
      <c r="L75" s="3077"/>
      <c r="M75" s="3140"/>
      <c r="N75" s="3141"/>
      <c r="O75" s="2457"/>
      <c r="P75" s="2457"/>
      <c r="Q75" s="2458"/>
      <c r="R75" s="2458"/>
    </row>
    <row r="76" spans="1:20" ht="12" customHeight="1" thickBot="1">
      <c r="A76" s="2454"/>
      <c r="B76" s="2603"/>
      <c r="C76" s="3079"/>
      <c r="D76" s="3080"/>
      <c r="E76" s="3080"/>
      <c r="F76" s="3080"/>
      <c r="G76" s="3080"/>
      <c r="H76" s="3080"/>
      <c r="I76" s="3080"/>
      <c r="J76" s="3080"/>
      <c r="K76" s="3080"/>
      <c r="L76" s="3080"/>
      <c r="M76" s="3080"/>
      <c r="N76" s="3081"/>
      <c r="O76" s="2610"/>
      <c r="P76" s="2615"/>
      <c r="Q76" s="2586"/>
      <c r="R76" s="2586"/>
    </row>
    <row r="77" spans="1:20" ht="15" customHeight="1">
      <c r="A77" s="2454"/>
      <c r="B77" s="2611"/>
      <c r="C77" s="2745" t="s">
        <v>2030</v>
      </c>
      <c r="D77" s="2746"/>
      <c r="E77" s="2595"/>
      <c r="F77" s="2595"/>
      <c r="G77" s="2614"/>
      <c r="H77" s="2614"/>
      <c r="I77" s="2555" t="s">
        <v>2023</v>
      </c>
      <c r="J77" s="2614" t="e">
        <f>SUM(G79:G82,M79:M80)</f>
        <v>#DIV/0!</v>
      </c>
      <c r="K77" s="2808" t="e">
        <f>30-SUM(Q77:Q82)</f>
        <v>#DIV/0!</v>
      </c>
      <c r="L77" s="2717" t="s">
        <v>2058</v>
      </c>
      <c r="M77" s="2614" t="e">
        <f>SUM(H79:H82,N79:N80)</f>
        <v>#DIV/0!</v>
      </c>
      <c r="N77" s="2707" t="e">
        <f>30-SUM(R77:R82)</f>
        <v>#DIV/0!</v>
      </c>
      <c r="O77" s="2615"/>
      <c r="P77" s="2615"/>
      <c r="Q77" s="2798" t="e">
        <f t="shared" ref="Q77:R80" si="5">IF(G79="対象外",5,0)</f>
        <v>#DIV/0!</v>
      </c>
      <c r="R77" s="2798" t="e">
        <f t="shared" si="5"/>
        <v>#DIV/0!</v>
      </c>
    </row>
    <row r="78" spans="1:20" ht="12" customHeight="1" thickBot="1">
      <c r="A78" s="2454"/>
      <c r="B78" s="2611"/>
      <c r="C78" s="2747"/>
      <c r="D78" s="2748"/>
      <c r="E78" s="2608"/>
      <c r="F78" s="2608"/>
      <c r="G78" s="2749" t="s">
        <v>459</v>
      </c>
      <c r="H78" s="2750" t="s">
        <v>460</v>
      </c>
      <c r="I78" s="2608"/>
      <c r="J78" s="2731"/>
      <c r="K78" s="2731"/>
      <c r="L78" s="2731"/>
      <c r="M78" s="2749" t="s">
        <v>459</v>
      </c>
      <c r="N78" s="2751" t="s">
        <v>460</v>
      </c>
      <c r="O78" s="2615"/>
      <c r="P78" s="2615"/>
      <c r="Q78" s="2798" t="e">
        <f t="shared" si="5"/>
        <v>#DIV/0!</v>
      </c>
      <c r="R78" s="2798" t="e">
        <f t="shared" si="5"/>
        <v>#DIV/0!</v>
      </c>
    </row>
    <row r="79" spans="1:20" ht="12" customHeight="1" thickBot="1">
      <c r="A79" s="2454"/>
      <c r="B79" s="2616"/>
      <c r="C79" s="2559" t="s">
        <v>1942</v>
      </c>
      <c r="D79" s="2559"/>
      <c r="E79" s="2559"/>
      <c r="F79" s="700" t="s">
        <v>1904</v>
      </c>
      <c r="G79" s="2829" t="e">
        <f>独自ｼｽﾃﾑ_改修前!H75</f>
        <v>#DIV/0!</v>
      </c>
      <c r="H79" s="2829" t="e">
        <f>独自ｼｽﾃﾑ_改修後!H75</f>
        <v>#DIV/0!</v>
      </c>
      <c r="I79" s="2559" t="s">
        <v>1974</v>
      </c>
      <c r="J79" s="2559"/>
      <c r="K79" s="2559"/>
      <c r="L79" s="2576" t="s">
        <v>1904</v>
      </c>
      <c r="M79" s="2829" t="e">
        <f>独自ｼｽﾃﾑ_改修前!N75</f>
        <v>#DIV/0!</v>
      </c>
      <c r="N79" s="2829" t="e">
        <f>独自ｼｽﾃﾑ_改修後!N75</f>
        <v>#DIV/0!</v>
      </c>
      <c r="O79" s="2457"/>
      <c r="P79" s="2457"/>
      <c r="Q79" s="2798" t="e">
        <f t="shared" si="5"/>
        <v>#DIV/0!</v>
      </c>
      <c r="R79" s="2798" t="e">
        <f t="shared" si="5"/>
        <v>#DIV/0!</v>
      </c>
      <c r="T79" s="2618"/>
    </row>
    <row r="80" spans="1:20" s="2578" customFormat="1" ht="12" customHeight="1" thickBot="1">
      <c r="A80" s="2619"/>
      <c r="B80" s="2616"/>
      <c r="C80" s="2559" t="s">
        <v>1944</v>
      </c>
      <c r="D80" s="2559"/>
      <c r="E80" s="2559"/>
      <c r="F80" s="700" t="s">
        <v>1904</v>
      </c>
      <c r="G80" s="2829" t="e">
        <f>独自ｼｽﾃﾑ_改修前!H76</f>
        <v>#DIV/0!</v>
      </c>
      <c r="H80" s="2829" t="e">
        <f>独自ｼｽﾃﾑ_改修後!H76</f>
        <v>#DIV/0!</v>
      </c>
      <c r="I80" s="2559" t="s">
        <v>1946</v>
      </c>
      <c r="J80" s="2559"/>
      <c r="K80" s="2559"/>
      <c r="L80" s="2576" t="s">
        <v>1904</v>
      </c>
      <c r="M80" s="2829" t="e">
        <f>独自ｼｽﾃﾑ_改修前!N76</f>
        <v>#DIV/0!</v>
      </c>
      <c r="N80" s="2829" t="e">
        <f>独自ｼｽﾃﾑ_改修後!N76</f>
        <v>#DIV/0!</v>
      </c>
      <c r="O80" s="2457"/>
      <c r="P80" s="2457"/>
      <c r="Q80" s="2798" t="e">
        <f t="shared" si="5"/>
        <v>#DIV/0!</v>
      </c>
      <c r="R80" s="2798" t="e">
        <f t="shared" si="5"/>
        <v>#DIV/0!</v>
      </c>
      <c r="T80" s="2618"/>
    </row>
    <row r="81" spans="1:21" ht="12" customHeight="1" thickBot="1">
      <c r="A81" s="2454"/>
      <c r="B81" s="2616"/>
      <c r="C81" s="2559" t="s">
        <v>2056</v>
      </c>
      <c r="D81" s="2559"/>
      <c r="E81" s="2559"/>
      <c r="F81" s="700" t="s">
        <v>1904</v>
      </c>
      <c r="G81" s="2829" t="e">
        <f>独自ｼｽﾃﾑ_改修前!H77</f>
        <v>#DIV/0!</v>
      </c>
      <c r="H81" s="2829" t="e">
        <f>独自ｼｽﾃﾑ_改修後!H77</f>
        <v>#DIV/0!</v>
      </c>
      <c r="I81" s="2559"/>
      <c r="J81" s="2559"/>
      <c r="K81" s="2559"/>
      <c r="L81" s="2559"/>
      <c r="M81" s="700"/>
      <c r="N81" s="2834"/>
      <c r="O81" s="2457"/>
      <c r="P81" s="2457"/>
      <c r="Q81" s="2798" t="e">
        <f>IF(M79="対象外",5,0)</f>
        <v>#DIV/0!</v>
      </c>
      <c r="R81" s="2798" t="e">
        <f>IF(N79="対象外",5,0)</f>
        <v>#DIV/0!</v>
      </c>
      <c r="T81" s="2618"/>
    </row>
    <row r="82" spans="1:21" s="2578" customFormat="1" ht="12" customHeight="1" thickBot="1">
      <c r="A82" s="2565"/>
      <c r="B82" s="2616"/>
      <c r="C82" s="2568" t="s">
        <v>1948</v>
      </c>
      <c r="D82" s="2559"/>
      <c r="E82" s="2559"/>
      <c r="F82" s="700" t="s">
        <v>1904</v>
      </c>
      <c r="G82" s="2829" t="e">
        <f>独自ｼｽﾃﾑ_改修前!H78</f>
        <v>#DIV/0!</v>
      </c>
      <c r="H82" s="2829" t="e">
        <f>独自ｼｽﾃﾑ_改修後!H78</f>
        <v>#DIV/0!</v>
      </c>
      <c r="I82" s="2559"/>
      <c r="J82" s="2559"/>
      <c r="K82" s="2559"/>
      <c r="L82" s="2559"/>
      <c r="M82" s="700"/>
      <c r="N82" s="2622"/>
      <c r="O82" s="2457"/>
      <c r="P82" s="2457"/>
      <c r="Q82" s="2798" t="e">
        <f>IF(M80="対象外",5,0)</f>
        <v>#DIV/0!</v>
      </c>
      <c r="R82" s="2798" t="e">
        <f>IF(N80="対象外",5,0)</f>
        <v>#DIV/0!</v>
      </c>
      <c r="T82" s="2618"/>
    </row>
    <row r="83" spans="1:21" s="2578" customFormat="1" ht="12" customHeight="1">
      <c r="A83" s="2623"/>
      <c r="B83" s="2624"/>
      <c r="C83" s="3076" t="s">
        <v>1909</v>
      </c>
      <c r="D83" s="3077"/>
      <c r="E83" s="3077"/>
      <c r="F83" s="3077"/>
      <c r="G83" s="3140"/>
      <c r="H83" s="3140"/>
      <c r="I83" s="3077"/>
      <c r="J83" s="3077"/>
      <c r="K83" s="3077"/>
      <c r="L83" s="3077"/>
      <c r="M83" s="3077"/>
      <c r="N83" s="3078"/>
      <c r="O83" s="2457"/>
      <c r="P83" s="2457"/>
      <c r="T83" s="2618"/>
    </row>
    <row r="84" spans="1:21" s="2578" customFormat="1" ht="12" customHeight="1" thickBot="1">
      <c r="A84" s="2623"/>
      <c r="B84" s="2625"/>
      <c r="C84" s="3079"/>
      <c r="D84" s="3080"/>
      <c r="E84" s="3080"/>
      <c r="F84" s="3080"/>
      <c r="G84" s="3080"/>
      <c r="H84" s="3080"/>
      <c r="I84" s="3080"/>
      <c r="J84" s="3080"/>
      <c r="K84" s="3080"/>
      <c r="L84" s="3080"/>
      <c r="M84" s="3080"/>
      <c r="N84" s="3081"/>
      <c r="O84" s="2457"/>
      <c r="P84" s="2457"/>
      <c r="T84" s="2618"/>
    </row>
    <row r="85" spans="1:21" ht="15" customHeight="1">
      <c r="A85" s="2475"/>
      <c r="B85" s="2626"/>
      <c r="C85" s="2752" t="s">
        <v>1932</v>
      </c>
      <c r="D85" s="2724"/>
      <c r="E85" s="2725"/>
      <c r="F85" s="2725"/>
      <c r="G85" s="2725"/>
      <c r="H85" s="2725"/>
      <c r="I85" s="2555" t="s">
        <v>2023</v>
      </c>
      <c r="J85" s="2726">
        <f>COUNTIF(M87:M91,"○")+3</f>
        <v>3</v>
      </c>
      <c r="K85" s="2806">
        <f>8-SUM(Q87:Q91)</f>
        <v>8</v>
      </c>
      <c r="L85" s="2717" t="s">
        <v>460</v>
      </c>
      <c r="M85" s="2726">
        <f>COUNTIF(N87:N91,"○")+3</f>
        <v>3</v>
      </c>
      <c r="N85" s="2700">
        <f>8-SUM(R87:R91)</f>
        <v>8</v>
      </c>
      <c r="O85" s="2457"/>
      <c r="P85" s="2457"/>
      <c r="Q85" s="2458"/>
      <c r="R85" s="2458"/>
    </row>
    <row r="86" spans="1:21" ht="12" customHeight="1" thickBot="1">
      <c r="A86" s="2479"/>
      <c r="B86" s="2626"/>
      <c r="C86" s="2728"/>
      <c r="D86" s="2729"/>
      <c r="E86" s="2730"/>
      <c r="F86" s="2730"/>
      <c r="G86" s="2730"/>
      <c r="H86" s="2730"/>
      <c r="I86" s="2730"/>
      <c r="J86" s="2730"/>
      <c r="K86" s="2730"/>
      <c r="L86" s="2753"/>
      <c r="M86" s="2749" t="s">
        <v>459</v>
      </c>
      <c r="N86" s="2751" t="s">
        <v>460</v>
      </c>
      <c r="O86" s="2457"/>
      <c r="P86" s="2457"/>
      <c r="Q86" s="2458"/>
      <c r="R86" s="2458"/>
    </row>
    <row r="87" spans="1:21" ht="12" customHeight="1" thickBot="1">
      <c r="A87" s="2454"/>
      <c r="B87" s="2626"/>
      <c r="C87" s="3152" t="s">
        <v>1952</v>
      </c>
      <c r="D87" s="3118"/>
      <c r="E87" s="2816"/>
      <c r="F87" s="2819" t="s">
        <v>1912</v>
      </c>
      <c r="G87" s="2820"/>
      <c r="H87" s="2820"/>
      <c r="I87" s="2820"/>
      <c r="J87" s="2820"/>
      <c r="K87" s="2820"/>
      <c r="L87" s="2820"/>
      <c r="M87" s="2829" t="str">
        <f>独自ｼｽﾃﾑ_改修前!N82</f>
        <v>　</v>
      </c>
      <c r="N87" s="2829" t="str">
        <f>独自ｼｽﾃﾑ_改修後!N82</f>
        <v>　</v>
      </c>
      <c r="O87" s="2457"/>
      <c r="P87" s="2457"/>
      <c r="Q87" s="2798">
        <f t="shared" ref="Q87:R89" si="6">IF(M87="対象外",1,0)</f>
        <v>0</v>
      </c>
      <c r="R87" s="2798">
        <f t="shared" si="6"/>
        <v>0</v>
      </c>
    </row>
    <row r="88" spans="1:21" ht="12" customHeight="1" thickBot="1">
      <c r="A88" s="2454"/>
      <c r="B88" s="2626"/>
      <c r="C88" s="3088" t="s">
        <v>2037</v>
      </c>
      <c r="D88" s="3088"/>
      <c r="E88" s="2816"/>
      <c r="F88" s="2816" t="s">
        <v>2038</v>
      </c>
      <c r="G88" s="2817"/>
      <c r="H88" s="2817"/>
      <c r="I88" s="2817"/>
      <c r="J88" s="2817"/>
      <c r="K88" s="2817"/>
      <c r="L88" s="2817"/>
      <c r="M88" s="2829" t="str">
        <f>独自ｼｽﾃﾑ_改修前!N83</f>
        <v>　</v>
      </c>
      <c r="N88" s="2829" t="str">
        <f>独自ｼｽﾃﾑ_改修後!N83</f>
        <v>　</v>
      </c>
      <c r="O88" s="2457"/>
      <c r="P88" s="2457"/>
      <c r="Q88" s="2798">
        <f t="shared" si="6"/>
        <v>0</v>
      </c>
      <c r="R88" s="2798">
        <f t="shared" si="6"/>
        <v>0</v>
      </c>
    </row>
    <row r="89" spans="1:21" ht="12" customHeight="1" thickBot="1">
      <c r="A89" s="2454"/>
      <c r="B89" s="2626"/>
      <c r="C89" s="3094" t="s">
        <v>2057</v>
      </c>
      <c r="D89" s="3117"/>
      <c r="E89" s="2819"/>
      <c r="F89" s="2819" t="s">
        <v>2038</v>
      </c>
      <c r="G89" s="2820"/>
      <c r="H89" s="2820"/>
      <c r="I89" s="2820"/>
      <c r="J89" s="2820"/>
      <c r="K89" s="2820"/>
      <c r="L89" s="2818"/>
      <c r="M89" s="2829" t="str">
        <f>独自ｼｽﾃﾑ_改修前!N84</f>
        <v>　</v>
      </c>
      <c r="N89" s="2829" t="str">
        <f>独自ｼｽﾃﾑ_改修後!N84</f>
        <v>　</v>
      </c>
      <c r="O89" s="2457"/>
      <c r="P89" s="2457"/>
      <c r="Q89" s="2798">
        <f t="shared" si="6"/>
        <v>0</v>
      </c>
      <c r="R89" s="2798">
        <f t="shared" si="6"/>
        <v>0</v>
      </c>
    </row>
    <row r="90" spans="1:21" ht="12" customHeight="1" thickBot="1">
      <c r="A90" s="2454"/>
      <c r="B90" s="2626"/>
      <c r="C90" s="3129" t="s">
        <v>1975</v>
      </c>
      <c r="D90" s="3130"/>
      <c r="E90" s="3130"/>
      <c r="F90" s="2819" t="s">
        <v>1976</v>
      </c>
      <c r="G90" s="2820"/>
      <c r="H90" s="2820"/>
      <c r="I90" s="2820"/>
      <c r="J90" s="2820"/>
      <c r="K90" s="2820"/>
      <c r="L90" s="2820"/>
      <c r="M90" s="2829" t="str">
        <f>独自ｼｽﾃﾑ_改修前!N85</f>
        <v>　</v>
      </c>
      <c r="N90" s="2829" t="str">
        <f>独自ｼｽﾃﾑ_改修後!N85</f>
        <v>　</v>
      </c>
      <c r="O90" s="2457"/>
      <c r="P90" s="2457"/>
      <c r="Q90" s="2798">
        <f>IF(M90="対象外",4,0)</f>
        <v>0</v>
      </c>
      <c r="R90" s="2798">
        <f>IF(N90="対象外",4,0)</f>
        <v>0</v>
      </c>
      <c r="S90" s="2709"/>
      <c r="T90" s="2451"/>
      <c r="U90" s="2451"/>
    </row>
    <row r="91" spans="1:21" ht="12" customHeight="1" thickBot="1">
      <c r="A91" s="2454"/>
      <c r="B91" s="2629"/>
      <c r="C91" s="3131"/>
      <c r="D91" s="3132"/>
      <c r="E91" s="3132"/>
      <c r="F91" s="2821" t="s">
        <v>1977</v>
      </c>
      <c r="G91" s="2822"/>
      <c r="H91" s="2822"/>
      <c r="I91" s="2822"/>
      <c r="J91" s="2822"/>
      <c r="K91" s="2822"/>
      <c r="L91" s="2822"/>
      <c r="M91" s="2829" t="str">
        <f>独自ｼｽﾃﾑ_改修前!N86</f>
        <v>　</v>
      </c>
      <c r="N91" s="2829" t="str">
        <f>独自ｼｽﾃﾑ_改修後!N86</f>
        <v>　</v>
      </c>
      <c r="O91" s="2457"/>
      <c r="P91" s="2457"/>
      <c r="Q91" s="2798">
        <f>IF(M91="対象外",1,0)</f>
        <v>0</v>
      </c>
      <c r="R91" s="2798">
        <f>IF(N91="対象外",1,0)</f>
        <v>0</v>
      </c>
      <c r="S91" s="2709"/>
      <c r="T91" s="2451"/>
      <c r="U91" s="2451"/>
    </row>
    <row r="92" spans="1:21" ht="6" customHeight="1" thickBot="1">
      <c r="A92" s="2454"/>
      <c r="B92" s="2630"/>
      <c r="C92" s="2813"/>
      <c r="D92" s="2813"/>
      <c r="E92" s="2813"/>
      <c r="F92" s="2813"/>
      <c r="G92" s="2813"/>
      <c r="H92" s="2813"/>
      <c r="I92" s="2813"/>
      <c r="J92" s="2813"/>
      <c r="K92" s="2813"/>
      <c r="L92" s="2813"/>
      <c r="M92" s="2813"/>
      <c r="N92" s="2631"/>
      <c r="O92" s="2457"/>
      <c r="P92" s="2457"/>
      <c r="Q92" s="2458"/>
    </row>
    <row r="93" spans="1:21" ht="15" customHeight="1" thickBot="1">
      <c r="A93" s="2454"/>
      <c r="B93" s="2487" t="s">
        <v>1955</v>
      </c>
      <c r="C93" s="2488"/>
      <c r="D93" s="2632"/>
      <c r="E93" s="2632"/>
      <c r="F93" s="2633"/>
      <c r="G93" s="2632"/>
      <c r="H93" s="866"/>
      <c r="I93" s="2634"/>
      <c r="J93" s="2635"/>
      <c r="K93" s="2632"/>
      <c r="L93" s="2632"/>
      <c r="M93" s="2632"/>
      <c r="N93" s="2636"/>
      <c r="O93" s="2457"/>
      <c r="P93" s="2457"/>
      <c r="Q93" s="1930" t="b">
        <f>独自ｼｽﾃﾑ_改修前!Q88</f>
        <v>0</v>
      </c>
      <c r="R93" s="2458" t="b">
        <f>独自ｼｽﾃﾑ_改修後!Q88</f>
        <v>0</v>
      </c>
      <c r="S93" s="2617" t="s">
        <v>2031</v>
      </c>
    </row>
    <row r="94" spans="1:21" ht="12" customHeight="1">
      <c r="A94" s="2454"/>
      <c r="B94" s="2637"/>
      <c r="C94" s="3120"/>
      <c r="D94" s="3121"/>
      <c r="E94" s="3121"/>
      <c r="F94" s="3121"/>
      <c r="G94" s="3121"/>
      <c r="H94" s="3121"/>
      <c r="I94" s="3121"/>
      <c r="J94" s="3121"/>
      <c r="K94" s="3122"/>
      <c r="L94" s="3153" t="s">
        <v>2039</v>
      </c>
      <c r="M94" s="3155">
        <f>COUNTIF(Q93:Q98,"TRUE")</f>
        <v>0</v>
      </c>
      <c r="N94" s="3156"/>
      <c r="O94" s="2457"/>
      <c r="P94" s="2457"/>
      <c r="Q94" s="1930" t="b">
        <f>独自ｼｽﾃﾑ_改修前!Q89</f>
        <v>0</v>
      </c>
      <c r="R94" s="2458" t="b">
        <f>独自ｼｽﾃﾑ_改修後!Q89</f>
        <v>0</v>
      </c>
      <c r="S94" s="2620" t="s">
        <v>2032</v>
      </c>
    </row>
    <row r="95" spans="1:21" ht="12" customHeight="1">
      <c r="A95" s="2454"/>
      <c r="B95" s="2637"/>
      <c r="C95" s="3120"/>
      <c r="D95" s="3121"/>
      <c r="E95" s="3121"/>
      <c r="F95" s="3121"/>
      <c r="G95" s="3121"/>
      <c r="H95" s="3121"/>
      <c r="I95" s="3121"/>
      <c r="J95" s="3121"/>
      <c r="K95" s="3122"/>
      <c r="L95" s="3154"/>
      <c r="M95" s="3157"/>
      <c r="N95" s="3158"/>
      <c r="O95" s="2457"/>
      <c r="P95" s="2457"/>
      <c r="Q95" s="1930" t="b">
        <f>独自ｼｽﾃﾑ_改修前!Q90</f>
        <v>0</v>
      </c>
      <c r="R95" s="2458" t="b">
        <f>独自ｼｽﾃﾑ_改修後!Q90</f>
        <v>0</v>
      </c>
      <c r="S95" s="2617" t="s">
        <v>2033</v>
      </c>
    </row>
    <row r="96" spans="1:21" ht="12" customHeight="1">
      <c r="A96" s="2454"/>
      <c r="B96" s="2637"/>
      <c r="C96" s="3121"/>
      <c r="D96" s="3121"/>
      <c r="E96" s="3121"/>
      <c r="F96" s="3121"/>
      <c r="G96" s="3121"/>
      <c r="H96" s="3121"/>
      <c r="I96" s="3121"/>
      <c r="J96" s="3121"/>
      <c r="K96" s="3122"/>
      <c r="L96" s="3108" t="s">
        <v>1957</v>
      </c>
      <c r="M96" s="3159">
        <f>COUNTIF(R93:R98,"TRUE")</f>
        <v>0</v>
      </c>
      <c r="N96" s="3158"/>
      <c r="O96" s="2457"/>
      <c r="P96" s="2457"/>
      <c r="Q96" s="1930" t="b">
        <f>独自ｼｽﾃﾑ_改修前!Q91</f>
        <v>0</v>
      </c>
      <c r="R96" s="2458" t="b">
        <f>独自ｼｽﾃﾑ_改修後!Q91</f>
        <v>0</v>
      </c>
      <c r="S96" s="2617" t="s">
        <v>2034</v>
      </c>
    </row>
    <row r="97" spans="1:19" ht="12" customHeight="1" thickBot="1">
      <c r="A97" s="2454"/>
      <c r="B97" s="2639"/>
      <c r="C97" s="3123"/>
      <c r="D97" s="3123"/>
      <c r="E97" s="3123"/>
      <c r="F97" s="3123"/>
      <c r="G97" s="3123"/>
      <c r="H97" s="3123"/>
      <c r="I97" s="3123"/>
      <c r="J97" s="3123"/>
      <c r="K97" s="3124"/>
      <c r="L97" s="3109"/>
      <c r="M97" s="3160"/>
      <c r="N97" s="3161"/>
      <c r="O97" s="2457"/>
      <c r="P97" s="2457"/>
      <c r="Q97" s="1930" t="b">
        <f>独自ｼｽﾃﾑ_改修前!Q92</f>
        <v>0</v>
      </c>
      <c r="R97" s="2458" t="b">
        <f>独自ｼｽﾃﾑ_改修後!Q92</f>
        <v>0</v>
      </c>
      <c r="S97" s="2617" t="s">
        <v>2035</v>
      </c>
    </row>
    <row r="98" spans="1:19" ht="6" customHeight="1" thickBot="1">
      <c r="A98" s="2454"/>
      <c r="B98" s="2454"/>
      <c r="C98" s="2454"/>
      <c r="D98" s="2454"/>
      <c r="E98" s="2454"/>
      <c r="F98" s="2454"/>
      <c r="G98" s="2454"/>
      <c r="H98" s="2454"/>
      <c r="I98" s="2454"/>
      <c r="J98" s="2454"/>
      <c r="K98" s="2454"/>
      <c r="L98" s="2454"/>
      <c r="M98" s="2640"/>
      <c r="N98" s="2641"/>
      <c r="O98" s="2457"/>
      <c r="P98" s="2457"/>
      <c r="Q98" s="1930" t="b">
        <f>独自ｼｽﾃﾑ_改修前!Q93</f>
        <v>0</v>
      </c>
      <c r="R98" s="2458" t="b">
        <f>独自ｼｽﾃﾑ_改修後!Q93</f>
        <v>0</v>
      </c>
      <c r="S98" s="2617" t="s">
        <v>2036</v>
      </c>
    </row>
    <row r="99" spans="1:19" ht="15" customHeight="1" thickBot="1">
      <c r="A99" s="2454"/>
      <c r="B99" s="2487" t="s">
        <v>1958</v>
      </c>
      <c r="C99" s="2488"/>
      <c r="D99" s="2488"/>
      <c r="E99" s="2632"/>
      <c r="F99" s="2633"/>
      <c r="G99" s="2632"/>
      <c r="H99" s="866"/>
      <c r="I99" s="2634"/>
      <c r="J99" s="2632"/>
      <c r="K99" s="2632"/>
      <c r="L99" s="2632"/>
      <c r="M99" s="2632"/>
      <c r="N99" s="2636"/>
      <c r="O99" s="2457"/>
      <c r="P99" s="2457"/>
    </row>
    <row r="100" spans="1:19" ht="11.25" customHeight="1" thickBot="1">
      <c r="A100" s="2454"/>
      <c r="B100" s="2754"/>
      <c r="C100" s="2755"/>
      <c r="D100" s="2755"/>
      <c r="E100" s="2756"/>
      <c r="F100" s="2757"/>
      <c r="G100" s="2756"/>
      <c r="H100" s="2758"/>
      <c r="I100" s="2749" t="s">
        <v>459</v>
      </c>
      <c r="J100" s="2750" t="s">
        <v>460</v>
      </c>
      <c r="K100" s="2756"/>
      <c r="L100" s="3153" t="s">
        <v>2003</v>
      </c>
      <c r="M100" s="3162" t="e">
        <f>IF(($I$103/$I$102)*99&lt;0,"＋"&amp;+ROUND(ABS(($I$103/$I$102)*100),1),ROUND(($I$103/$I$102)*100,1))&amp;"％"</f>
        <v>#DIV/0!</v>
      </c>
      <c r="N100" s="3163"/>
      <c r="O100" s="2457"/>
      <c r="P100" s="2457"/>
    </row>
    <row r="101" spans="1:19" ht="12" customHeight="1" thickBot="1">
      <c r="A101" s="2454"/>
      <c r="B101" s="2637"/>
      <c r="C101" s="2815" t="s">
        <v>2040</v>
      </c>
      <c r="D101" s="2815"/>
      <c r="E101" s="2813"/>
      <c r="F101" s="2813"/>
      <c r="G101" s="2642"/>
      <c r="H101" s="2579"/>
      <c r="I101" s="2838" t="e">
        <f>独自ｼｽﾃﾑ_改修前!J94</f>
        <v>#DIV/0!</v>
      </c>
      <c r="J101" s="2838" t="e">
        <f>独自ｼｽﾃﾑ_改修後!J94</f>
        <v>#DIV/0!</v>
      </c>
      <c r="K101" s="2810" t="s">
        <v>1960</v>
      </c>
      <c r="L101" s="3154"/>
      <c r="M101" s="3164"/>
      <c r="N101" s="3165"/>
      <c r="O101" s="2457"/>
      <c r="P101" s="2457"/>
    </row>
    <row r="102" spans="1:19" ht="12" customHeight="1" thickBot="1">
      <c r="A102" s="2454"/>
      <c r="B102" s="2637"/>
      <c r="C102" s="2815" t="s">
        <v>1962</v>
      </c>
      <c r="D102" s="2815"/>
      <c r="E102" s="2813"/>
      <c r="F102" s="2813"/>
      <c r="G102" s="2642"/>
      <c r="H102" s="2579"/>
      <c r="I102" s="2835" t="e">
        <f>独自ｼｽﾃﾑ_改修前!J95</f>
        <v>#DIV/0!</v>
      </c>
      <c r="J102" s="2835" t="e">
        <f>独自ｼｽﾃﾑ_改修後!J95</f>
        <v>#DIV/0!</v>
      </c>
      <c r="K102" s="2810" t="s">
        <v>1960</v>
      </c>
      <c r="L102" s="3108" t="s">
        <v>2041</v>
      </c>
      <c r="M102" s="3166" t="e">
        <f>IF(($J$103/$J$102)*99&lt;0,"＋"&amp;+ROUND(ABS(($J$103/$J$102)*100),1),ROUND(($J$103/$J$102)*100,1))&amp;"％"</f>
        <v>#DIV/0!</v>
      </c>
      <c r="N102" s="3165"/>
      <c r="O102" s="2457"/>
      <c r="P102" s="2457"/>
      <c r="Q102" s="2458"/>
    </row>
    <row r="103" spans="1:19" ht="12" customHeight="1" thickBot="1">
      <c r="A103" s="2454"/>
      <c r="B103" s="2639"/>
      <c r="C103" s="2643" t="s">
        <v>1964</v>
      </c>
      <c r="D103" s="2643"/>
      <c r="E103" s="2825"/>
      <c r="F103" s="2825"/>
      <c r="G103" s="2644"/>
      <c r="H103" s="2486"/>
      <c r="I103" s="2693" t="e">
        <f>独自ｼｽﾃﾑ_改修前!J96</f>
        <v>#DIV/0!</v>
      </c>
      <c r="J103" s="2693" t="e">
        <f>独自ｼｽﾃﾑ_改修後!J96</f>
        <v>#DIV/0!</v>
      </c>
      <c r="K103" s="2811" t="s">
        <v>1960</v>
      </c>
      <c r="L103" s="3109"/>
      <c r="M103" s="3167"/>
      <c r="N103" s="3168"/>
      <c r="O103" s="2457"/>
      <c r="P103" s="2457"/>
      <c r="Q103" s="2458"/>
    </row>
    <row r="104" spans="1:19" ht="6" customHeight="1" thickBot="1">
      <c r="A104" s="2454"/>
      <c r="B104" s="2454"/>
      <c r="C104" s="2454"/>
      <c r="D104" s="2454"/>
      <c r="E104" s="2454"/>
      <c r="F104" s="2454"/>
      <c r="G104" s="2454"/>
      <c r="H104" s="2454"/>
      <c r="I104" s="2454"/>
      <c r="J104" s="2454"/>
      <c r="K104" s="2454"/>
      <c r="L104" s="2454"/>
      <c r="M104" s="2455"/>
      <c r="N104" s="2456"/>
      <c r="O104" s="2457"/>
      <c r="P104" s="2457"/>
      <c r="Q104" s="2458"/>
    </row>
    <row r="105" spans="1:19" ht="15" customHeight="1" thickBot="1">
      <c r="A105" s="2454"/>
      <c r="B105" s="2759" t="s">
        <v>1965</v>
      </c>
      <c r="C105" s="2760"/>
      <c r="D105" s="2760"/>
      <c r="E105" s="2635"/>
      <c r="F105" s="2761"/>
      <c r="G105" s="2635"/>
      <c r="H105" s="2762"/>
      <c r="I105" s="2763"/>
      <c r="J105" s="2645"/>
      <c r="K105" s="2635"/>
      <c r="L105" s="2635"/>
      <c r="M105" s="2635"/>
      <c r="N105" s="2645"/>
      <c r="O105" s="2457"/>
      <c r="P105" s="2457"/>
    </row>
    <row r="106" spans="1:19" ht="11.25" customHeight="1" thickBot="1">
      <c r="A106" s="2454"/>
      <c r="B106" s="2764"/>
      <c r="C106" s="2765"/>
      <c r="D106" s="2765"/>
      <c r="E106" s="2766"/>
      <c r="F106" s="2767"/>
      <c r="G106" s="2766"/>
      <c r="H106" s="2768"/>
      <c r="I106" s="2749" t="s">
        <v>459</v>
      </c>
      <c r="J106" s="2750" t="s">
        <v>460</v>
      </c>
      <c r="K106" s="2766"/>
      <c r="L106" s="3169" t="s">
        <v>2042</v>
      </c>
      <c r="M106" s="3170" t="str">
        <f>IF(I108=0,0&amp;"％",ROUND($I$108/($I$107+$I$108)*100,1)&amp;"％")</f>
        <v>0％</v>
      </c>
      <c r="N106" s="3171"/>
      <c r="O106" s="2457"/>
      <c r="P106" s="2457"/>
      <c r="Q106" s="2648">
        <f>IF(OR(I107="",I107=0),1,I107)</f>
        <v>1</v>
      </c>
      <c r="R106" s="2648">
        <f>IF(OR(J107="",J107=0),1,J107)</f>
        <v>1</v>
      </c>
    </row>
    <row r="107" spans="1:19" ht="12" customHeight="1" thickBot="1">
      <c r="A107" s="2454"/>
      <c r="B107" s="2637"/>
      <c r="C107" s="2815" t="s">
        <v>2043</v>
      </c>
      <c r="D107" s="2815"/>
      <c r="E107" s="2813"/>
      <c r="F107" s="2813"/>
      <c r="G107" s="2642"/>
      <c r="H107" s="2769"/>
      <c r="I107" s="2839">
        <f>独自ｼｽﾃﾑ_改修前!J99</f>
        <v>0</v>
      </c>
      <c r="J107" s="2840">
        <f>独自ｼｽﾃﾑ_改修後!J99</f>
        <v>0</v>
      </c>
      <c r="K107" s="2770" t="s">
        <v>2044</v>
      </c>
      <c r="L107" s="3154"/>
      <c r="M107" s="3172"/>
      <c r="N107" s="3173"/>
      <c r="O107" s="2457"/>
      <c r="P107" s="2457"/>
      <c r="Q107" s="2453"/>
      <c r="R107" s="2453"/>
    </row>
    <row r="108" spans="1:19" ht="12" customHeight="1" thickBot="1">
      <c r="A108" s="2454"/>
      <c r="B108" s="2637"/>
      <c r="C108" s="2815" t="s">
        <v>2045</v>
      </c>
      <c r="D108" s="2815"/>
      <c r="E108" s="2813"/>
      <c r="F108" s="2813"/>
      <c r="G108" s="2642"/>
      <c r="H108" s="2769"/>
      <c r="I108" s="2839">
        <f>独自ｼｽﾃﾑ_改修前!J100</f>
        <v>0</v>
      </c>
      <c r="J108" s="2840">
        <f>独自ｼｽﾃﾑ_改修後!J100</f>
        <v>0</v>
      </c>
      <c r="K108" s="2771" t="s">
        <v>2044</v>
      </c>
      <c r="L108" s="3176" t="s">
        <v>2041</v>
      </c>
      <c r="M108" s="3178" t="str">
        <f>IF(I108=0,0&amp;"％",ROUND($J$108/($R$106+$J$108)*100,1)&amp;"％")</f>
        <v>0％</v>
      </c>
      <c r="N108" s="3179"/>
      <c r="O108" s="2457"/>
      <c r="P108" s="2457"/>
      <c r="Q108" s="2458"/>
      <c r="R108" s="2458"/>
    </row>
    <row r="109" spans="1:19" ht="12" customHeight="1" thickBot="1">
      <c r="A109" s="2454"/>
      <c r="B109" s="2639"/>
      <c r="C109" s="2643"/>
      <c r="D109" s="2643"/>
      <c r="E109" s="2825"/>
      <c r="F109" s="2825"/>
      <c r="G109" s="2644"/>
      <c r="H109" s="2486"/>
      <c r="I109" s="2772"/>
      <c r="J109" s="2772"/>
      <c r="K109" s="2811"/>
      <c r="L109" s="3177"/>
      <c r="M109" s="3180"/>
      <c r="N109" s="3181"/>
      <c r="O109" s="2457"/>
      <c r="P109" s="2457"/>
      <c r="Q109" s="2458"/>
      <c r="R109" s="2458"/>
    </row>
    <row r="110" spans="1:19" ht="8.1" customHeight="1" thickBot="1">
      <c r="A110" s="2454"/>
      <c r="B110" s="2630"/>
      <c r="C110" s="2815"/>
      <c r="D110" s="2815"/>
      <c r="E110" s="2813"/>
      <c r="F110" s="2813"/>
      <c r="G110" s="2642"/>
      <c r="H110" s="2579"/>
      <c r="I110" s="2812"/>
      <c r="J110" s="2812"/>
      <c r="K110" s="2810"/>
      <c r="L110" s="2708"/>
      <c r="M110" s="2773"/>
      <c r="N110" s="2773"/>
      <c r="O110" s="2457"/>
      <c r="P110" s="2457"/>
      <c r="Q110" s="2458"/>
      <c r="R110" s="2458"/>
    </row>
    <row r="111" spans="1:19" ht="15" customHeight="1" thickBot="1">
      <c r="A111" s="2454"/>
      <c r="B111" s="2487" t="s">
        <v>2046</v>
      </c>
      <c r="C111" s="2488"/>
      <c r="D111" s="2488"/>
      <c r="E111" s="2632"/>
      <c r="F111" s="2633"/>
      <c r="G111" s="2632"/>
      <c r="H111" s="866"/>
      <c r="I111" s="2634"/>
      <c r="J111" s="2636"/>
      <c r="K111" s="2632"/>
      <c r="L111" s="2632"/>
      <c r="M111" s="2632"/>
      <c r="N111" s="2636"/>
      <c r="O111" s="2457"/>
      <c r="P111" s="2457"/>
    </row>
    <row r="112" spans="1:19" s="2421" customFormat="1" ht="15" customHeight="1">
      <c r="A112" s="2774"/>
      <c r="B112" s="2775"/>
      <c r="C112" s="2776" t="s">
        <v>2047</v>
      </c>
      <c r="D112" s="2776"/>
      <c r="E112" s="2826"/>
      <c r="F112" s="3182"/>
      <c r="G112" s="3182"/>
      <c r="H112" s="2777"/>
      <c r="I112" s="2776" t="s">
        <v>2048</v>
      </c>
      <c r="J112" s="2778"/>
      <c r="K112" s="2779"/>
      <c r="L112" s="2780"/>
      <c r="M112" s="3182"/>
      <c r="N112" s="3183"/>
      <c r="O112" s="2781"/>
      <c r="P112" s="2781"/>
      <c r="Q112" s="2782"/>
      <c r="R112" s="2782"/>
    </row>
    <row r="113" spans="1:17" ht="12" customHeight="1">
      <c r="A113" s="2454"/>
      <c r="B113" s="2783"/>
      <c r="C113" s="2815" t="s">
        <v>2049</v>
      </c>
      <c r="D113" s="2815"/>
      <c r="E113" s="2813"/>
      <c r="F113" s="3092"/>
      <c r="G113" s="3092"/>
      <c r="H113" s="2784"/>
      <c r="I113" s="2815" t="s">
        <v>2050</v>
      </c>
      <c r="J113" s="2812"/>
      <c r="K113" s="2810"/>
      <c r="L113" s="2785"/>
      <c r="M113" s="3092"/>
      <c r="N113" s="3184"/>
      <c r="O113" s="2457"/>
      <c r="P113" s="2457"/>
      <c r="Q113" s="2786"/>
    </row>
    <row r="114" spans="1:17" ht="12" customHeight="1">
      <c r="A114" s="2454"/>
      <c r="B114" s="2783"/>
      <c r="C114" s="2815" t="s">
        <v>2051</v>
      </c>
      <c r="D114" s="2815"/>
      <c r="E114" s="2813"/>
      <c r="F114" s="2815"/>
      <c r="G114" s="2813"/>
      <c r="H114" s="2784"/>
      <c r="I114" s="2787"/>
      <c r="J114" s="2812"/>
      <c r="K114" s="2810"/>
      <c r="L114" s="2785"/>
      <c r="M114" s="2815"/>
      <c r="N114" s="2827"/>
      <c r="O114" s="2457"/>
      <c r="P114" s="2457"/>
      <c r="Q114" s="2786"/>
    </row>
    <row r="115" spans="1:17" ht="12" customHeight="1" thickBot="1">
      <c r="A115" s="2454"/>
      <c r="B115" s="2783"/>
      <c r="C115" s="2643" t="s">
        <v>2052</v>
      </c>
      <c r="D115" s="2643"/>
      <c r="E115" s="2825"/>
      <c r="F115" s="3174"/>
      <c r="G115" s="3174"/>
      <c r="H115" s="2788"/>
      <c r="I115" s="2789"/>
      <c r="J115" s="2772"/>
      <c r="K115" s="2811"/>
      <c r="L115" s="2790"/>
      <c r="M115" s="3174"/>
      <c r="N115" s="3175"/>
      <c r="O115" s="2457"/>
      <c r="P115" s="2457"/>
      <c r="Q115" s="2786"/>
    </row>
    <row r="116" spans="1:17" s="2421" customFormat="1" ht="15" customHeight="1" thickBot="1">
      <c r="A116" s="2774"/>
      <c r="B116" s="2791"/>
      <c r="C116" s="2792" t="s">
        <v>2053</v>
      </c>
      <c r="D116" s="2792"/>
      <c r="E116" s="2724"/>
      <c r="F116" s="2724"/>
      <c r="G116" s="2724"/>
      <c r="H116" s="2793"/>
      <c r="I116" s="2595"/>
      <c r="J116" s="2595"/>
      <c r="K116" s="2794"/>
      <c r="L116" s="2795"/>
      <c r="M116" s="2724"/>
      <c r="N116" s="2796"/>
      <c r="O116" s="2781"/>
      <c r="P116" s="2781"/>
      <c r="Q116" s="2782"/>
    </row>
    <row r="117" spans="1:17" ht="12" customHeight="1">
      <c r="A117" s="2454"/>
      <c r="B117" s="2783"/>
      <c r="C117" s="3077" t="s">
        <v>1909</v>
      </c>
      <c r="D117" s="3077"/>
      <c r="E117" s="3077"/>
      <c r="F117" s="3077"/>
      <c r="G117" s="3077"/>
      <c r="H117" s="3077"/>
      <c r="I117" s="3077"/>
      <c r="J117" s="3077"/>
      <c r="K117" s="3077"/>
      <c r="L117" s="3077"/>
      <c r="M117" s="3077"/>
      <c r="N117" s="3078"/>
      <c r="O117" s="2457"/>
      <c r="P117" s="2457"/>
      <c r="Q117" s="2786"/>
    </row>
    <row r="118" spans="1:17" ht="12" customHeight="1" thickBot="1">
      <c r="A118" s="2454"/>
      <c r="B118" s="2797"/>
      <c r="C118" s="3080"/>
      <c r="D118" s="3080"/>
      <c r="E118" s="3080"/>
      <c r="F118" s="3080"/>
      <c r="G118" s="3080"/>
      <c r="H118" s="3080"/>
      <c r="I118" s="3080"/>
      <c r="J118" s="3080"/>
      <c r="K118" s="3080"/>
      <c r="L118" s="3080"/>
      <c r="M118" s="3080"/>
      <c r="N118" s="3081"/>
      <c r="O118" s="2457"/>
      <c r="P118" s="2457"/>
      <c r="Q118" s="2458"/>
    </row>
    <row r="119" spans="1:17" ht="12" customHeight="1">
      <c r="A119" s="2454"/>
      <c r="B119" s="2630"/>
      <c r="C119" s="2815"/>
      <c r="D119" s="2815"/>
      <c r="E119" s="2813"/>
      <c r="F119" s="2813"/>
      <c r="G119" s="2642"/>
      <c r="H119" s="2579"/>
      <c r="I119" s="2812"/>
      <c r="J119" s="2812"/>
      <c r="K119" s="2810"/>
      <c r="L119" s="2708"/>
      <c r="M119" s="2773"/>
      <c r="N119" s="2773"/>
      <c r="O119" s="2457"/>
      <c r="P119" s="2457"/>
      <c r="Q119" s="2458"/>
    </row>
    <row r="120" spans="1:17" ht="8.1" customHeight="1">
      <c r="A120" s="2454"/>
      <c r="B120" s="2630"/>
      <c r="C120" s="2815"/>
      <c r="D120" s="2815"/>
      <c r="E120" s="2815"/>
      <c r="F120" s="2813"/>
      <c r="G120" s="2813"/>
      <c r="H120" s="2642"/>
      <c r="I120" s="2812"/>
      <c r="J120" s="2810"/>
      <c r="K120" s="2810"/>
      <c r="L120" s="2653"/>
      <c r="M120" s="2653"/>
      <c r="N120" s="2654"/>
      <c r="O120" s="2457"/>
      <c r="P120" s="2457"/>
      <c r="Q120" s="2458"/>
    </row>
    <row r="121" spans="1:17" ht="12" customHeight="1">
      <c r="A121" s="2454"/>
      <c r="B121" s="2454"/>
      <c r="C121" s="2655"/>
      <c r="D121" s="2658" t="s">
        <v>1971</v>
      </c>
      <c r="E121" s="2656"/>
      <c r="F121" s="2451"/>
      <c r="G121" s="2451"/>
      <c r="H121" s="2451"/>
      <c r="I121" s="2841"/>
      <c r="J121" s="2451"/>
      <c r="K121" s="2451"/>
      <c r="L121" s="2841"/>
      <c r="M121" s="2454"/>
      <c r="N121" s="2456"/>
      <c r="O121" s="2457"/>
      <c r="P121" s="2457"/>
      <c r="Q121" s="2659"/>
    </row>
    <row r="122" spans="1:17" ht="14.25" customHeight="1">
      <c r="A122" s="2454"/>
      <c r="B122" s="2454"/>
      <c r="C122" s="2660"/>
      <c r="D122" s="2451"/>
      <c r="E122" s="2451"/>
      <c r="F122" s="2454"/>
      <c r="G122" s="2661"/>
      <c r="H122" s="2451"/>
      <c r="I122" s="2451"/>
      <c r="J122" s="2454"/>
      <c r="K122" s="2454"/>
      <c r="L122" s="2454"/>
      <c r="M122" s="2454"/>
      <c r="N122" s="2456"/>
      <c r="O122" s="2457"/>
      <c r="P122" s="2457"/>
      <c r="Q122" s="2458"/>
    </row>
    <row r="123" spans="1:17" ht="12" hidden="1" customHeight="1">
      <c r="A123" s="2662"/>
      <c r="B123" s="2662"/>
      <c r="N123" s="2663"/>
      <c r="O123" s="2664"/>
      <c r="P123" s="2664"/>
      <c r="Q123" s="2458"/>
    </row>
    <row r="124" spans="1:17" ht="8.1" hidden="1" customHeight="1">
      <c r="A124" s="2662"/>
      <c r="N124" s="2665"/>
      <c r="O124" s="2664"/>
      <c r="P124" s="2664"/>
      <c r="Q124" s="2458"/>
    </row>
    <row r="125" spans="1:17" ht="7.5" hidden="1" customHeight="1">
      <c r="A125" s="2662"/>
      <c r="N125" s="2662"/>
      <c r="O125" s="2664"/>
      <c r="P125" s="2664"/>
      <c r="Q125" s="2458"/>
    </row>
    <row r="126" spans="1:17" ht="12" hidden="1" customHeight="1">
      <c r="A126" s="2662"/>
      <c r="N126" s="2662"/>
      <c r="O126" s="2664"/>
      <c r="P126" s="2664"/>
      <c r="Q126" s="2458"/>
    </row>
    <row r="127" spans="1:17" ht="12" hidden="1" customHeight="1">
      <c r="A127" s="2662"/>
      <c r="O127" s="2664"/>
      <c r="P127" s="2664"/>
      <c r="Q127" s="2458"/>
    </row>
    <row r="128" spans="1:17" ht="12" hidden="1" customHeight="1">
      <c r="A128" s="2662"/>
      <c r="B128" s="2662"/>
      <c r="C128" s="2662"/>
      <c r="D128" s="2662"/>
      <c r="E128" s="2662"/>
      <c r="F128" s="2662"/>
      <c r="G128" s="2662"/>
      <c r="H128" s="2662"/>
      <c r="I128" s="2662"/>
      <c r="J128" s="2662"/>
      <c r="K128" s="2662"/>
      <c r="L128" s="2662"/>
      <c r="M128" s="2666"/>
      <c r="N128" s="2667"/>
      <c r="O128" s="2664"/>
      <c r="P128" s="2664"/>
      <c r="Q128" s="2458"/>
    </row>
    <row r="129" spans="1:14" ht="12" hidden="1" customHeight="1">
      <c r="A129" s="2662"/>
      <c r="B129" s="2662"/>
      <c r="C129" s="2668"/>
      <c r="D129" s="2668"/>
      <c r="F129" s="2662"/>
      <c r="G129" s="2662"/>
      <c r="H129" s="2662"/>
      <c r="I129" s="2662"/>
      <c r="J129" s="2662"/>
      <c r="K129" s="2662"/>
      <c r="L129" s="2662"/>
      <c r="M129" s="2666"/>
      <c r="N129" s="2667"/>
    </row>
    <row r="130" spans="1:14" ht="12" hidden="1" customHeight="1">
      <c r="A130" s="2662"/>
      <c r="B130" s="2662"/>
      <c r="E130" s="2662"/>
      <c r="F130" s="2662"/>
      <c r="G130" s="2662"/>
      <c r="H130" s="2662"/>
      <c r="I130" s="2662"/>
      <c r="J130" s="2662"/>
      <c r="K130" s="2662"/>
      <c r="L130" s="2662"/>
      <c r="M130" s="2666"/>
      <c r="N130" s="2667"/>
    </row>
    <row r="131" spans="1:14" ht="12" hidden="1" customHeight="1">
      <c r="A131" s="2662"/>
      <c r="B131" s="2662"/>
      <c r="C131" s="2662"/>
      <c r="D131" s="2662"/>
      <c r="E131" s="2662"/>
      <c r="F131" s="2662"/>
      <c r="G131" s="2662"/>
      <c r="H131" s="2662"/>
      <c r="I131" s="2662"/>
      <c r="J131" s="2662"/>
      <c r="K131" s="2662"/>
      <c r="L131" s="2662"/>
      <c r="M131" s="2666"/>
      <c r="N131" s="2667"/>
    </row>
    <row r="132" spans="1:14" ht="12" hidden="1" customHeight="1">
      <c r="B132" s="2662"/>
      <c r="C132" s="2662"/>
      <c r="D132" s="2662"/>
      <c r="E132" s="2662"/>
      <c r="F132" s="2662"/>
      <c r="G132" s="2662"/>
      <c r="H132" s="2662"/>
      <c r="I132" s="2662"/>
      <c r="J132" s="2662"/>
      <c r="K132" s="2662"/>
      <c r="L132" s="2662"/>
      <c r="M132" s="2666"/>
      <c r="N132" s="2667"/>
    </row>
    <row r="133" spans="1:14" ht="12" hidden="1" customHeight="1">
      <c r="B133" s="2662"/>
      <c r="C133" s="2662"/>
      <c r="D133" s="2662"/>
      <c r="E133" s="2662"/>
      <c r="F133" s="2662"/>
      <c r="G133" s="2662"/>
      <c r="H133" s="2662"/>
      <c r="I133" s="2662"/>
      <c r="J133" s="2662"/>
      <c r="K133" s="2662"/>
      <c r="L133" s="2662"/>
      <c r="M133" s="2666"/>
      <c r="N133" s="2667"/>
    </row>
    <row r="134" spans="1:14" ht="12" hidden="1" customHeight="1">
      <c r="B134" s="2662"/>
      <c r="C134" s="2662"/>
      <c r="D134" s="2662"/>
      <c r="E134" s="2662"/>
      <c r="F134" s="2662"/>
      <c r="G134" s="2662"/>
      <c r="H134" s="2662"/>
      <c r="I134" s="2662"/>
      <c r="J134" s="2662"/>
      <c r="K134" s="2662"/>
      <c r="L134" s="2662"/>
      <c r="M134" s="2666"/>
      <c r="N134" s="2667"/>
    </row>
  </sheetData>
  <sheetProtection password="CC47" sheet="1" objects="1" scenarios="1"/>
  <mergeCells count="72">
    <mergeCell ref="F115:G115"/>
    <mergeCell ref="M115:N115"/>
    <mergeCell ref="C117:N118"/>
    <mergeCell ref="L108:L109"/>
    <mergeCell ref="M108:N109"/>
    <mergeCell ref="F112:G112"/>
    <mergeCell ref="M112:N112"/>
    <mergeCell ref="F113:G113"/>
    <mergeCell ref="M113:N113"/>
    <mergeCell ref="L100:L101"/>
    <mergeCell ref="M100:N101"/>
    <mergeCell ref="L102:L103"/>
    <mergeCell ref="M102:N103"/>
    <mergeCell ref="L106:L107"/>
    <mergeCell ref="M106:N107"/>
    <mergeCell ref="C83:N84"/>
    <mergeCell ref="C87:D87"/>
    <mergeCell ref="C88:D88"/>
    <mergeCell ref="C89:D89"/>
    <mergeCell ref="C94:K97"/>
    <mergeCell ref="L94:L95"/>
    <mergeCell ref="M94:N95"/>
    <mergeCell ref="L96:L97"/>
    <mergeCell ref="M96:N97"/>
    <mergeCell ref="C90:E91"/>
    <mergeCell ref="C75:N76"/>
    <mergeCell ref="C49:E49"/>
    <mergeCell ref="C50:E50"/>
    <mergeCell ref="F50:K50"/>
    <mergeCell ref="I56:L56"/>
    <mergeCell ref="C57:H58"/>
    <mergeCell ref="I57:N58"/>
    <mergeCell ref="I52:J52"/>
    <mergeCell ref="C63:N64"/>
    <mergeCell ref="C67:F67"/>
    <mergeCell ref="G67:L67"/>
    <mergeCell ref="C68:F68"/>
    <mergeCell ref="G68:L68"/>
    <mergeCell ref="F49:L49"/>
    <mergeCell ref="I31:N32"/>
    <mergeCell ref="C36:H37"/>
    <mergeCell ref="I36:N37"/>
    <mergeCell ref="C44:N45"/>
    <mergeCell ref="C48:E48"/>
    <mergeCell ref="F48:L48"/>
    <mergeCell ref="C24:E24"/>
    <mergeCell ref="F24:G24"/>
    <mergeCell ref="C18:E18"/>
    <mergeCell ref="F18:G18"/>
    <mergeCell ref="C19:E19"/>
    <mergeCell ref="F19:G19"/>
    <mergeCell ref="C20:E20"/>
    <mergeCell ref="F20:G20"/>
    <mergeCell ref="C21:E21"/>
    <mergeCell ref="F21:G21"/>
    <mergeCell ref="C22:E22"/>
    <mergeCell ref="F22:G22"/>
    <mergeCell ref="C23:G23"/>
    <mergeCell ref="C17:E17"/>
    <mergeCell ref="F17:G17"/>
    <mergeCell ref="D7:G7"/>
    <mergeCell ref="J7:L7"/>
    <mergeCell ref="D9:H9"/>
    <mergeCell ref="L9:N9"/>
    <mergeCell ref="L10:N10"/>
    <mergeCell ref="D11:H11"/>
    <mergeCell ref="K11:N11"/>
    <mergeCell ref="D12:H12"/>
    <mergeCell ref="K12:N12"/>
    <mergeCell ref="F15:H15"/>
    <mergeCell ref="C16:E16"/>
    <mergeCell ref="F16:G16"/>
  </mergeCells>
  <phoneticPr fontId="20"/>
  <conditionalFormatting sqref="M22:N24">
    <cfRule type="expression" dxfId="8" priority="1" stopIfTrue="1">
      <formula>$E$22&gt;=#REF!</formula>
    </cfRule>
    <cfRule type="expression" dxfId="7" priority="2" stopIfTrue="1">
      <formula>$E$22&gt;=#REF!</formula>
    </cfRule>
  </conditionalFormatting>
  <conditionalFormatting sqref="M16:N18">
    <cfRule type="expression" dxfId="6" priority="3" stopIfTrue="1">
      <formula>$E$16&gt;=#REF!</formula>
    </cfRule>
    <cfRule type="expression" dxfId="5" priority="4" stopIfTrue="1">
      <formula>$E$16&gt;=#REF!</formula>
    </cfRule>
  </conditionalFormatting>
  <conditionalFormatting sqref="M19:N21">
    <cfRule type="expression" dxfId="4" priority="5" stopIfTrue="1">
      <formula>$E$19&gt;=#REF!</formula>
    </cfRule>
    <cfRule type="expression" dxfId="3" priority="6" stopIfTrue="1">
      <formula>$E$19&gt;=#REF!</formula>
    </cfRule>
  </conditionalFormatting>
  <dataValidations count="4">
    <dataValidation type="list" allowBlank="1" showInputMessage="1" showErrorMessage="1" sqref="JH9:JH10 WVT983051:WVT983052 WLX983051:WLX983052 WCB983051:WCB983052 VSF983051:VSF983052 VIJ983051:VIJ983052 UYN983051:UYN983052 UOR983051:UOR983052 UEV983051:UEV983052 TUZ983051:TUZ983052 TLD983051:TLD983052 TBH983051:TBH983052 SRL983051:SRL983052 SHP983051:SHP983052 RXT983051:RXT983052 RNX983051:RNX983052 REB983051:REB983052 QUF983051:QUF983052 QKJ983051:QKJ983052 QAN983051:QAN983052 PQR983051:PQR983052 PGV983051:PGV983052 OWZ983051:OWZ983052 OND983051:OND983052 ODH983051:ODH983052 NTL983051:NTL983052 NJP983051:NJP983052 MZT983051:MZT983052 MPX983051:MPX983052 MGB983051:MGB983052 LWF983051:LWF983052 LMJ983051:LMJ983052 LCN983051:LCN983052 KSR983051:KSR983052 KIV983051:KIV983052 JYZ983051:JYZ983052 JPD983051:JPD983052 JFH983051:JFH983052 IVL983051:IVL983052 ILP983051:ILP983052 IBT983051:IBT983052 HRX983051:HRX983052 HIB983051:HIB983052 GYF983051:GYF983052 GOJ983051:GOJ983052 GEN983051:GEN983052 FUR983051:FUR983052 FKV983051:FKV983052 FAZ983051:FAZ983052 ERD983051:ERD983052 EHH983051:EHH983052 DXL983051:DXL983052 DNP983051:DNP983052 DDT983051:DDT983052 CTX983051:CTX983052 CKB983051:CKB983052 CAF983051:CAF983052 BQJ983051:BQJ983052 BGN983051:BGN983052 AWR983051:AWR983052 AMV983051:AMV983052 ACZ983051:ACZ983052 TD983051:TD983052 JH983051:JH983052 K983051:K983052 WVT917515:WVT917516 WLX917515:WLX917516 WCB917515:WCB917516 VSF917515:VSF917516 VIJ917515:VIJ917516 UYN917515:UYN917516 UOR917515:UOR917516 UEV917515:UEV917516 TUZ917515:TUZ917516 TLD917515:TLD917516 TBH917515:TBH917516 SRL917515:SRL917516 SHP917515:SHP917516 RXT917515:RXT917516 RNX917515:RNX917516 REB917515:REB917516 QUF917515:QUF917516 QKJ917515:QKJ917516 QAN917515:QAN917516 PQR917515:PQR917516 PGV917515:PGV917516 OWZ917515:OWZ917516 OND917515:OND917516 ODH917515:ODH917516 NTL917515:NTL917516 NJP917515:NJP917516 MZT917515:MZT917516 MPX917515:MPX917516 MGB917515:MGB917516 LWF917515:LWF917516 LMJ917515:LMJ917516 LCN917515:LCN917516 KSR917515:KSR917516 KIV917515:KIV917516 JYZ917515:JYZ917516 JPD917515:JPD917516 JFH917515:JFH917516 IVL917515:IVL917516 ILP917515:ILP917516 IBT917515:IBT917516 HRX917515:HRX917516 HIB917515:HIB917516 GYF917515:GYF917516 GOJ917515:GOJ917516 GEN917515:GEN917516 FUR917515:FUR917516 FKV917515:FKV917516 FAZ917515:FAZ917516 ERD917515:ERD917516 EHH917515:EHH917516 DXL917515:DXL917516 DNP917515:DNP917516 DDT917515:DDT917516 CTX917515:CTX917516 CKB917515:CKB917516 CAF917515:CAF917516 BQJ917515:BQJ917516 BGN917515:BGN917516 AWR917515:AWR917516 AMV917515:AMV917516 ACZ917515:ACZ917516 TD917515:TD917516 JH917515:JH917516 K917515:K917516 WVT851979:WVT851980 WLX851979:WLX851980 WCB851979:WCB851980 VSF851979:VSF851980 VIJ851979:VIJ851980 UYN851979:UYN851980 UOR851979:UOR851980 UEV851979:UEV851980 TUZ851979:TUZ851980 TLD851979:TLD851980 TBH851979:TBH851980 SRL851979:SRL851980 SHP851979:SHP851980 RXT851979:RXT851980 RNX851979:RNX851980 REB851979:REB851980 QUF851979:QUF851980 QKJ851979:QKJ851980 QAN851979:QAN851980 PQR851979:PQR851980 PGV851979:PGV851980 OWZ851979:OWZ851980 OND851979:OND851980 ODH851979:ODH851980 NTL851979:NTL851980 NJP851979:NJP851980 MZT851979:MZT851980 MPX851979:MPX851980 MGB851979:MGB851980 LWF851979:LWF851980 LMJ851979:LMJ851980 LCN851979:LCN851980 KSR851979:KSR851980 KIV851979:KIV851980 JYZ851979:JYZ851980 JPD851979:JPD851980 JFH851979:JFH851980 IVL851979:IVL851980 ILP851979:ILP851980 IBT851979:IBT851980 HRX851979:HRX851980 HIB851979:HIB851980 GYF851979:GYF851980 GOJ851979:GOJ851980 GEN851979:GEN851980 FUR851979:FUR851980 FKV851979:FKV851980 FAZ851979:FAZ851980 ERD851979:ERD851980 EHH851979:EHH851980 DXL851979:DXL851980 DNP851979:DNP851980 DDT851979:DDT851980 CTX851979:CTX851980 CKB851979:CKB851980 CAF851979:CAF851980 BQJ851979:BQJ851980 BGN851979:BGN851980 AWR851979:AWR851980 AMV851979:AMV851980 ACZ851979:ACZ851980 TD851979:TD851980 JH851979:JH851980 K851979:K851980 WVT786443:WVT786444 WLX786443:WLX786444 WCB786443:WCB786444 VSF786443:VSF786444 VIJ786443:VIJ786444 UYN786443:UYN786444 UOR786443:UOR786444 UEV786443:UEV786444 TUZ786443:TUZ786444 TLD786443:TLD786444 TBH786443:TBH786444 SRL786443:SRL786444 SHP786443:SHP786444 RXT786443:RXT786444 RNX786443:RNX786444 REB786443:REB786444 QUF786443:QUF786444 QKJ786443:QKJ786444 QAN786443:QAN786444 PQR786443:PQR786444 PGV786443:PGV786444 OWZ786443:OWZ786444 OND786443:OND786444 ODH786443:ODH786444 NTL786443:NTL786444 NJP786443:NJP786444 MZT786443:MZT786444 MPX786443:MPX786444 MGB786443:MGB786444 LWF786443:LWF786444 LMJ786443:LMJ786444 LCN786443:LCN786444 KSR786443:KSR786444 KIV786443:KIV786444 JYZ786443:JYZ786444 JPD786443:JPD786444 JFH786443:JFH786444 IVL786443:IVL786444 ILP786443:ILP786444 IBT786443:IBT786444 HRX786443:HRX786444 HIB786443:HIB786444 GYF786443:GYF786444 GOJ786443:GOJ786444 GEN786443:GEN786444 FUR786443:FUR786444 FKV786443:FKV786444 FAZ786443:FAZ786444 ERD786443:ERD786444 EHH786443:EHH786444 DXL786443:DXL786444 DNP786443:DNP786444 DDT786443:DDT786444 CTX786443:CTX786444 CKB786443:CKB786444 CAF786443:CAF786444 BQJ786443:BQJ786444 BGN786443:BGN786444 AWR786443:AWR786444 AMV786443:AMV786444 ACZ786443:ACZ786444 TD786443:TD786444 JH786443:JH786444 K786443:K786444 WVT720907:WVT720908 WLX720907:WLX720908 WCB720907:WCB720908 VSF720907:VSF720908 VIJ720907:VIJ720908 UYN720907:UYN720908 UOR720907:UOR720908 UEV720907:UEV720908 TUZ720907:TUZ720908 TLD720907:TLD720908 TBH720907:TBH720908 SRL720907:SRL720908 SHP720907:SHP720908 RXT720907:RXT720908 RNX720907:RNX720908 REB720907:REB720908 QUF720907:QUF720908 QKJ720907:QKJ720908 QAN720907:QAN720908 PQR720907:PQR720908 PGV720907:PGV720908 OWZ720907:OWZ720908 OND720907:OND720908 ODH720907:ODH720908 NTL720907:NTL720908 NJP720907:NJP720908 MZT720907:MZT720908 MPX720907:MPX720908 MGB720907:MGB720908 LWF720907:LWF720908 LMJ720907:LMJ720908 LCN720907:LCN720908 KSR720907:KSR720908 KIV720907:KIV720908 JYZ720907:JYZ720908 JPD720907:JPD720908 JFH720907:JFH720908 IVL720907:IVL720908 ILP720907:ILP720908 IBT720907:IBT720908 HRX720907:HRX720908 HIB720907:HIB720908 GYF720907:GYF720908 GOJ720907:GOJ720908 GEN720907:GEN720908 FUR720907:FUR720908 FKV720907:FKV720908 FAZ720907:FAZ720908 ERD720907:ERD720908 EHH720907:EHH720908 DXL720907:DXL720908 DNP720907:DNP720908 DDT720907:DDT720908 CTX720907:CTX720908 CKB720907:CKB720908 CAF720907:CAF720908 BQJ720907:BQJ720908 BGN720907:BGN720908 AWR720907:AWR720908 AMV720907:AMV720908 ACZ720907:ACZ720908 TD720907:TD720908 JH720907:JH720908 K720907:K720908 WVT655371:WVT655372 WLX655371:WLX655372 WCB655371:WCB655372 VSF655371:VSF655372 VIJ655371:VIJ655372 UYN655371:UYN655372 UOR655371:UOR655372 UEV655371:UEV655372 TUZ655371:TUZ655372 TLD655371:TLD655372 TBH655371:TBH655372 SRL655371:SRL655372 SHP655371:SHP655372 RXT655371:RXT655372 RNX655371:RNX655372 REB655371:REB655372 QUF655371:QUF655372 QKJ655371:QKJ655372 QAN655371:QAN655372 PQR655371:PQR655372 PGV655371:PGV655372 OWZ655371:OWZ655372 OND655371:OND655372 ODH655371:ODH655372 NTL655371:NTL655372 NJP655371:NJP655372 MZT655371:MZT655372 MPX655371:MPX655372 MGB655371:MGB655372 LWF655371:LWF655372 LMJ655371:LMJ655372 LCN655371:LCN655372 KSR655371:KSR655372 KIV655371:KIV655372 JYZ655371:JYZ655372 JPD655371:JPD655372 JFH655371:JFH655372 IVL655371:IVL655372 ILP655371:ILP655372 IBT655371:IBT655372 HRX655371:HRX655372 HIB655371:HIB655372 GYF655371:GYF655372 GOJ655371:GOJ655372 GEN655371:GEN655372 FUR655371:FUR655372 FKV655371:FKV655372 FAZ655371:FAZ655372 ERD655371:ERD655372 EHH655371:EHH655372 DXL655371:DXL655372 DNP655371:DNP655372 DDT655371:DDT655372 CTX655371:CTX655372 CKB655371:CKB655372 CAF655371:CAF655372 BQJ655371:BQJ655372 BGN655371:BGN655372 AWR655371:AWR655372 AMV655371:AMV655372 ACZ655371:ACZ655372 TD655371:TD655372 JH655371:JH655372 K655371:K655372 WVT589835:WVT589836 WLX589835:WLX589836 WCB589835:WCB589836 VSF589835:VSF589836 VIJ589835:VIJ589836 UYN589835:UYN589836 UOR589835:UOR589836 UEV589835:UEV589836 TUZ589835:TUZ589836 TLD589835:TLD589836 TBH589835:TBH589836 SRL589835:SRL589836 SHP589835:SHP589836 RXT589835:RXT589836 RNX589835:RNX589836 REB589835:REB589836 QUF589835:QUF589836 QKJ589835:QKJ589836 QAN589835:QAN589836 PQR589835:PQR589836 PGV589835:PGV589836 OWZ589835:OWZ589836 OND589835:OND589836 ODH589835:ODH589836 NTL589835:NTL589836 NJP589835:NJP589836 MZT589835:MZT589836 MPX589835:MPX589836 MGB589835:MGB589836 LWF589835:LWF589836 LMJ589835:LMJ589836 LCN589835:LCN589836 KSR589835:KSR589836 KIV589835:KIV589836 JYZ589835:JYZ589836 JPD589835:JPD589836 JFH589835:JFH589836 IVL589835:IVL589836 ILP589835:ILP589836 IBT589835:IBT589836 HRX589835:HRX589836 HIB589835:HIB589836 GYF589835:GYF589836 GOJ589835:GOJ589836 GEN589835:GEN589836 FUR589835:FUR589836 FKV589835:FKV589836 FAZ589835:FAZ589836 ERD589835:ERD589836 EHH589835:EHH589836 DXL589835:DXL589836 DNP589835:DNP589836 DDT589835:DDT589836 CTX589835:CTX589836 CKB589835:CKB589836 CAF589835:CAF589836 BQJ589835:BQJ589836 BGN589835:BGN589836 AWR589835:AWR589836 AMV589835:AMV589836 ACZ589835:ACZ589836 TD589835:TD589836 JH589835:JH589836 K589835:K589836 WVT524299:WVT524300 WLX524299:WLX524300 WCB524299:WCB524300 VSF524299:VSF524300 VIJ524299:VIJ524300 UYN524299:UYN524300 UOR524299:UOR524300 UEV524299:UEV524300 TUZ524299:TUZ524300 TLD524299:TLD524300 TBH524299:TBH524300 SRL524299:SRL524300 SHP524299:SHP524300 RXT524299:RXT524300 RNX524299:RNX524300 REB524299:REB524300 QUF524299:QUF524300 QKJ524299:QKJ524300 QAN524299:QAN524300 PQR524299:PQR524300 PGV524299:PGV524300 OWZ524299:OWZ524300 OND524299:OND524300 ODH524299:ODH524300 NTL524299:NTL524300 NJP524299:NJP524300 MZT524299:MZT524300 MPX524299:MPX524300 MGB524299:MGB524300 LWF524299:LWF524300 LMJ524299:LMJ524300 LCN524299:LCN524300 KSR524299:KSR524300 KIV524299:KIV524300 JYZ524299:JYZ524300 JPD524299:JPD524300 JFH524299:JFH524300 IVL524299:IVL524300 ILP524299:ILP524300 IBT524299:IBT524300 HRX524299:HRX524300 HIB524299:HIB524300 GYF524299:GYF524300 GOJ524299:GOJ524300 GEN524299:GEN524300 FUR524299:FUR524300 FKV524299:FKV524300 FAZ524299:FAZ524300 ERD524299:ERD524300 EHH524299:EHH524300 DXL524299:DXL524300 DNP524299:DNP524300 DDT524299:DDT524300 CTX524299:CTX524300 CKB524299:CKB524300 CAF524299:CAF524300 BQJ524299:BQJ524300 BGN524299:BGN524300 AWR524299:AWR524300 AMV524299:AMV524300 ACZ524299:ACZ524300 TD524299:TD524300 JH524299:JH524300 K524299:K524300 WVT458763:WVT458764 WLX458763:WLX458764 WCB458763:WCB458764 VSF458763:VSF458764 VIJ458763:VIJ458764 UYN458763:UYN458764 UOR458763:UOR458764 UEV458763:UEV458764 TUZ458763:TUZ458764 TLD458763:TLD458764 TBH458763:TBH458764 SRL458763:SRL458764 SHP458763:SHP458764 RXT458763:RXT458764 RNX458763:RNX458764 REB458763:REB458764 QUF458763:QUF458764 QKJ458763:QKJ458764 QAN458763:QAN458764 PQR458763:PQR458764 PGV458763:PGV458764 OWZ458763:OWZ458764 OND458763:OND458764 ODH458763:ODH458764 NTL458763:NTL458764 NJP458763:NJP458764 MZT458763:MZT458764 MPX458763:MPX458764 MGB458763:MGB458764 LWF458763:LWF458764 LMJ458763:LMJ458764 LCN458763:LCN458764 KSR458763:KSR458764 KIV458763:KIV458764 JYZ458763:JYZ458764 JPD458763:JPD458764 JFH458763:JFH458764 IVL458763:IVL458764 ILP458763:ILP458764 IBT458763:IBT458764 HRX458763:HRX458764 HIB458763:HIB458764 GYF458763:GYF458764 GOJ458763:GOJ458764 GEN458763:GEN458764 FUR458763:FUR458764 FKV458763:FKV458764 FAZ458763:FAZ458764 ERD458763:ERD458764 EHH458763:EHH458764 DXL458763:DXL458764 DNP458763:DNP458764 DDT458763:DDT458764 CTX458763:CTX458764 CKB458763:CKB458764 CAF458763:CAF458764 BQJ458763:BQJ458764 BGN458763:BGN458764 AWR458763:AWR458764 AMV458763:AMV458764 ACZ458763:ACZ458764 TD458763:TD458764 JH458763:JH458764 K458763:K458764 WVT393227:WVT393228 WLX393227:WLX393228 WCB393227:WCB393228 VSF393227:VSF393228 VIJ393227:VIJ393228 UYN393227:UYN393228 UOR393227:UOR393228 UEV393227:UEV393228 TUZ393227:TUZ393228 TLD393227:TLD393228 TBH393227:TBH393228 SRL393227:SRL393228 SHP393227:SHP393228 RXT393227:RXT393228 RNX393227:RNX393228 REB393227:REB393228 QUF393227:QUF393228 QKJ393227:QKJ393228 QAN393227:QAN393228 PQR393227:PQR393228 PGV393227:PGV393228 OWZ393227:OWZ393228 OND393227:OND393228 ODH393227:ODH393228 NTL393227:NTL393228 NJP393227:NJP393228 MZT393227:MZT393228 MPX393227:MPX393228 MGB393227:MGB393228 LWF393227:LWF393228 LMJ393227:LMJ393228 LCN393227:LCN393228 KSR393227:KSR393228 KIV393227:KIV393228 JYZ393227:JYZ393228 JPD393227:JPD393228 JFH393227:JFH393228 IVL393227:IVL393228 ILP393227:ILP393228 IBT393227:IBT393228 HRX393227:HRX393228 HIB393227:HIB393228 GYF393227:GYF393228 GOJ393227:GOJ393228 GEN393227:GEN393228 FUR393227:FUR393228 FKV393227:FKV393228 FAZ393227:FAZ393228 ERD393227:ERD393228 EHH393227:EHH393228 DXL393227:DXL393228 DNP393227:DNP393228 DDT393227:DDT393228 CTX393227:CTX393228 CKB393227:CKB393228 CAF393227:CAF393228 BQJ393227:BQJ393228 BGN393227:BGN393228 AWR393227:AWR393228 AMV393227:AMV393228 ACZ393227:ACZ393228 TD393227:TD393228 JH393227:JH393228 K393227:K393228 WVT327691:WVT327692 WLX327691:WLX327692 WCB327691:WCB327692 VSF327691:VSF327692 VIJ327691:VIJ327692 UYN327691:UYN327692 UOR327691:UOR327692 UEV327691:UEV327692 TUZ327691:TUZ327692 TLD327691:TLD327692 TBH327691:TBH327692 SRL327691:SRL327692 SHP327691:SHP327692 RXT327691:RXT327692 RNX327691:RNX327692 REB327691:REB327692 QUF327691:QUF327692 QKJ327691:QKJ327692 QAN327691:QAN327692 PQR327691:PQR327692 PGV327691:PGV327692 OWZ327691:OWZ327692 OND327691:OND327692 ODH327691:ODH327692 NTL327691:NTL327692 NJP327691:NJP327692 MZT327691:MZT327692 MPX327691:MPX327692 MGB327691:MGB327692 LWF327691:LWF327692 LMJ327691:LMJ327692 LCN327691:LCN327692 KSR327691:KSR327692 KIV327691:KIV327692 JYZ327691:JYZ327692 JPD327691:JPD327692 JFH327691:JFH327692 IVL327691:IVL327692 ILP327691:ILP327692 IBT327691:IBT327692 HRX327691:HRX327692 HIB327691:HIB327692 GYF327691:GYF327692 GOJ327691:GOJ327692 GEN327691:GEN327692 FUR327691:FUR327692 FKV327691:FKV327692 FAZ327691:FAZ327692 ERD327691:ERD327692 EHH327691:EHH327692 DXL327691:DXL327692 DNP327691:DNP327692 DDT327691:DDT327692 CTX327691:CTX327692 CKB327691:CKB327692 CAF327691:CAF327692 BQJ327691:BQJ327692 BGN327691:BGN327692 AWR327691:AWR327692 AMV327691:AMV327692 ACZ327691:ACZ327692 TD327691:TD327692 JH327691:JH327692 K327691:K327692 WVT262155:WVT262156 WLX262155:WLX262156 WCB262155:WCB262156 VSF262155:VSF262156 VIJ262155:VIJ262156 UYN262155:UYN262156 UOR262155:UOR262156 UEV262155:UEV262156 TUZ262155:TUZ262156 TLD262155:TLD262156 TBH262155:TBH262156 SRL262155:SRL262156 SHP262155:SHP262156 RXT262155:RXT262156 RNX262155:RNX262156 REB262155:REB262156 QUF262155:QUF262156 QKJ262155:QKJ262156 QAN262155:QAN262156 PQR262155:PQR262156 PGV262155:PGV262156 OWZ262155:OWZ262156 OND262155:OND262156 ODH262155:ODH262156 NTL262155:NTL262156 NJP262155:NJP262156 MZT262155:MZT262156 MPX262155:MPX262156 MGB262155:MGB262156 LWF262155:LWF262156 LMJ262155:LMJ262156 LCN262155:LCN262156 KSR262155:KSR262156 KIV262155:KIV262156 JYZ262155:JYZ262156 JPD262155:JPD262156 JFH262155:JFH262156 IVL262155:IVL262156 ILP262155:ILP262156 IBT262155:IBT262156 HRX262155:HRX262156 HIB262155:HIB262156 GYF262155:GYF262156 GOJ262155:GOJ262156 GEN262155:GEN262156 FUR262155:FUR262156 FKV262155:FKV262156 FAZ262155:FAZ262156 ERD262155:ERD262156 EHH262155:EHH262156 DXL262155:DXL262156 DNP262155:DNP262156 DDT262155:DDT262156 CTX262155:CTX262156 CKB262155:CKB262156 CAF262155:CAF262156 BQJ262155:BQJ262156 BGN262155:BGN262156 AWR262155:AWR262156 AMV262155:AMV262156 ACZ262155:ACZ262156 TD262155:TD262156 JH262155:JH262156 K262155:K262156 WVT196619:WVT196620 WLX196619:WLX196620 WCB196619:WCB196620 VSF196619:VSF196620 VIJ196619:VIJ196620 UYN196619:UYN196620 UOR196619:UOR196620 UEV196619:UEV196620 TUZ196619:TUZ196620 TLD196619:TLD196620 TBH196619:TBH196620 SRL196619:SRL196620 SHP196619:SHP196620 RXT196619:RXT196620 RNX196619:RNX196620 REB196619:REB196620 QUF196619:QUF196620 QKJ196619:QKJ196620 QAN196619:QAN196620 PQR196619:PQR196620 PGV196619:PGV196620 OWZ196619:OWZ196620 OND196619:OND196620 ODH196619:ODH196620 NTL196619:NTL196620 NJP196619:NJP196620 MZT196619:MZT196620 MPX196619:MPX196620 MGB196619:MGB196620 LWF196619:LWF196620 LMJ196619:LMJ196620 LCN196619:LCN196620 KSR196619:KSR196620 KIV196619:KIV196620 JYZ196619:JYZ196620 JPD196619:JPD196620 JFH196619:JFH196620 IVL196619:IVL196620 ILP196619:ILP196620 IBT196619:IBT196620 HRX196619:HRX196620 HIB196619:HIB196620 GYF196619:GYF196620 GOJ196619:GOJ196620 GEN196619:GEN196620 FUR196619:FUR196620 FKV196619:FKV196620 FAZ196619:FAZ196620 ERD196619:ERD196620 EHH196619:EHH196620 DXL196619:DXL196620 DNP196619:DNP196620 DDT196619:DDT196620 CTX196619:CTX196620 CKB196619:CKB196620 CAF196619:CAF196620 BQJ196619:BQJ196620 BGN196619:BGN196620 AWR196619:AWR196620 AMV196619:AMV196620 ACZ196619:ACZ196620 TD196619:TD196620 JH196619:JH196620 K196619:K196620 WVT131083:WVT131084 WLX131083:WLX131084 WCB131083:WCB131084 VSF131083:VSF131084 VIJ131083:VIJ131084 UYN131083:UYN131084 UOR131083:UOR131084 UEV131083:UEV131084 TUZ131083:TUZ131084 TLD131083:TLD131084 TBH131083:TBH131084 SRL131083:SRL131084 SHP131083:SHP131084 RXT131083:RXT131084 RNX131083:RNX131084 REB131083:REB131084 QUF131083:QUF131084 QKJ131083:QKJ131084 QAN131083:QAN131084 PQR131083:PQR131084 PGV131083:PGV131084 OWZ131083:OWZ131084 OND131083:OND131084 ODH131083:ODH131084 NTL131083:NTL131084 NJP131083:NJP131084 MZT131083:MZT131084 MPX131083:MPX131084 MGB131083:MGB131084 LWF131083:LWF131084 LMJ131083:LMJ131084 LCN131083:LCN131084 KSR131083:KSR131084 KIV131083:KIV131084 JYZ131083:JYZ131084 JPD131083:JPD131084 JFH131083:JFH131084 IVL131083:IVL131084 ILP131083:ILP131084 IBT131083:IBT131084 HRX131083:HRX131084 HIB131083:HIB131084 GYF131083:GYF131084 GOJ131083:GOJ131084 GEN131083:GEN131084 FUR131083:FUR131084 FKV131083:FKV131084 FAZ131083:FAZ131084 ERD131083:ERD131084 EHH131083:EHH131084 DXL131083:DXL131084 DNP131083:DNP131084 DDT131083:DDT131084 CTX131083:CTX131084 CKB131083:CKB131084 CAF131083:CAF131084 BQJ131083:BQJ131084 BGN131083:BGN131084 AWR131083:AWR131084 AMV131083:AMV131084 ACZ131083:ACZ131084 TD131083:TD131084 JH131083:JH131084 K131083:K131084 WVT65547:WVT65548 WLX65547:WLX65548 WCB65547:WCB65548 VSF65547:VSF65548 VIJ65547:VIJ65548 UYN65547:UYN65548 UOR65547:UOR65548 UEV65547:UEV65548 TUZ65547:TUZ65548 TLD65547:TLD65548 TBH65547:TBH65548 SRL65547:SRL65548 SHP65547:SHP65548 RXT65547:RXT65548 RNX65547:RNX65548 REB65547:REB65548 QUF65547:QUF65548 QKJ65547:QKJ65548 QAN65547:QAN65548 PQR65547:PQR65548 PGV65547:PGV65548 OWZ65547:OWZ65548 OND65547:OND65548 ODH65547:ODH65548 NTL65547:NTL65548 NJP65547:NJP65548 MZT65547:MZT65548 MPX65547:MPX65548 MGB65547:MGB65548 LWF65547:LWF65548 LMJ65547:LMJ65548 LCN65547:LCN65548 KSR65547:KSR65548 KIV65547:KIV65548 JYZ65547:JYZ65548 JPD65547:JPD65548 JFH65547:JFH65548 IVL65547:IVL65548 ILP65547:ILP65548 IBT65547:IBT65548 HRX65547:HRX65548 HIB65547:HIB65548 GYF65547:GYF65548 GOJ65547:GOJ65548 GEN65547:GEN65548 FUR65547:FUR65548 FKV65547:FKV65548 FAZ65547:FAZ65548 ERD65547:ERD65548 EHH65547:EHH65548 DXL65547:DXL65548 DNP65547:DNP65548 DDT65547:DDT65548 CTX65547:CTX65548 CKB65547:CKB65548 CAF65547:CAF65548 BQJ65547:BQJ65548 BGN65547:BGN65548 AWR65547:AWR65548 AMV65547:AMV65548 ACZ65547:ACZ65548 TD65547:TD65548 JH65547:JH65548 K65547:K65548 WVT9:WVT10 WLX9:WLX10 WCB9:WCB10 VSF9:VSF10 VIJ9:VIJ10 UYN9:UYN10 UOR9:UOR10 UEV9:UEV10 TUZ9:TUZ10 TLD9:TLD10 TBH9:TBH10 SRL9:SRL10 SHP9:SHP10 RXT9:RXT10 RNX9:RNX10 REB9:REB10 QUF9:QUF10 QKJ9:QKJ10 QAN9:QAN10 PQR9:PQR10 PGV9:PGV10 OWZ9:OWZ10 OND9:OND10 ODH9:ODH10 NTL9:NTL10 NJP9:NJP10 MZT9:MZT10 MPX9:MPX10 MGB9:MGB10 LWF9:LWF10 LMJ9:LMJ10 LCN9:LCN10 KSR9:KSR10 KIV9:KIV10 JYZ9:JYZ10 JPD9:JPD10 JFH9:JFH10 IVL9:IVL10 ILP9:ILP10 IBT9:IBT10 HRX9:HRX10 HIB9:HIB10 GYF9:GYF10 GOJ9:GOJ10 GEN9:GEN10 FUR9:FUR10 FKV9:FKV10 FAZ9:FAZ10 ERD9:ERD10 EHH9:EHH10 DXL9:DXL10 DNP9:DNP10 DDT9:DDT10 CTX9:CTX10 CKB9:CKB10 CAF9:CAF10 BQJ9:BQJ10 BGN9:BGN10 AWR9:AWR10 AMV9:AMV10 ACZ9:ACZ10 TD9:TD10">
      <formula1>$R$5:$R$9</formula1>
    </dataValidation>
    <dataValidation type="whole" operator="greaterThanOrEqual" allowBlank="1" showInputMessage="1" showErrorMessage="1" sqref="WVR983154:WVR983156 JF101:JG102 TB101:TC102 ACX101:ACY102 AMT101:AMU102 AWP101:AWQ102 BGL101:BGM102 BQH101:BQI102 CAD101:CAE102 CJZ101:CKA102 CTV101:CTW102 DDR101:DDS102 DNN101:DNO102 DXJ101:DXK102 EHF101:EHG102 ERB101:ERC102 FAX101:FAY102 FKT101:FKU102 FUP101:FUQ102 GEL101:GEM102 GOH101:GOI102 GYD101:GYE102 HHZ101:HIA102 HRV101:HRW102 IBR101:IBS102 ILN101:ILO102 IVJ101:IVK102 JFF101:JFG102 JPB101:JPC102 JYX101:JYY102 KIT101:KIU102 KSP101:KSQ102 LCL101:LCM102 LMH101:LMI102 LWD101:LWE102 MFZ101:MGA102 MPV101:MPW102 MZR101:MZS102 NJN101:NJO102 NTJ101:NTK102 ODF101:ODG102 ONB101:ONC102 OWX101:OWY102 PGT101:PGU102 PQP101:PQQ102 QAL101:QAM102 QKH101:QKI102 QUD101:QUE102 RDZ101:REA102 RNV101:RNW102 RXR101:RXS102 SHN101:SHO102 SRJ101:SRK102 TBF101:TBG102 TLB101:TLC102 TUX101:TUY102 UET101:UEU102 UOP101:UOQ102 UYL101:UYM102 VIH101:VII102 VSD101:VSE102 WBZ101:WCA102 WLV101:WLW102 WVR101:WVS102 I65637:J65638 JF65637:JG65638 TB65637:TC65638 ACX65637:ACY65638 AMT65637:AMU65638 AWP65637:AWQ65638 BGL65637:BGM65638 BQH65637:BQI65638 CAD65637:CAE65638 CJZ65637:CKA65638 CTV65637:CTW65638 DDR65637:DDS65638 DNN65637:DNO65638 DXJ65637:DXK65638 EHF65637:EHG65638 ERB65637:ERC65638 FAX65637:FAY65638 FKT65637:FKU65638 FUP65637:FUQ65638 GEL65637:GEM65638 GOH65637:GOI65638 GYD65637:GYE65638 HHZ65637:HIA65638 HRV65637:HRW65638 IBR65637:IBS65638 ILN65637:ILO65638 IVJ65637:IVK65638 JFF65637:JFG65638 JPB65637:JPC65638 JYX65637:JYY65638 KIT65637:KIU65638 KSP65637:KSQ65638 LCL65637:LCM65638 LMH65637:LMI65638 LWD65637:LWE65638 MFZ65637:MGA65638 MPV65637:MPW65638 MZR65637:MZS65638 NJN65637:NJO65638 NTJ65637:NTK65638 ODF65637:ODG65638 ONB65637:ONC65638 OWX65637:OWY65638 PGT65637:PGU65638 PQP65637:PQQ65638 QAL65637:QAM65638 QKH65637:QKI65638 QUD65637:QUE65638 RDZ65637:REA65638 RNV65637:RNW65638 RXR65637:RXS65638 SHN65637:SHO65638 SRJ65637:SRK65638 TBF65637:TBG65638 TLB65637:TLC65638 TUX65637:TUY65638 UET65637:UEU65638 UOP65637:UOQ65638 UYL65637:UYM65638 VIH65637:VII65638 VSD65637:VSE65638 WBZ65637:WCA65638 WLV65637:WLW65638 WVR65637:WVS65638 I131173:J131174 JF131173:JG131174 TB131173:TC131174 ACX131173:ACY131174 AMT131173:AMU131174 AWP131173:AWQ131174 BGL131173:BGM131174 BQH131173:BQI131174 CAD131173:CAE131174 CJZ131173:CKA131174 CTV131173:CTW131174 DDR131173:DDS131174 DNN131173:DNO131174 DXJ131173:DXK131174 EHF131173:EHG131174 ERB131173:ERC131174 FAX131173:FAY131174 FKT131173:FKU131174 FUP131173:FUQ131174 GEL131173:GEM131174 GOH131173:GOI131174 GYD131173:GYE131174 HHZ131173:HIA131174 HRV131173:HRW131174 IBR131173:IBS131174 ILN131173:ILO131174 IVJ131173:IVK131174 JFF131173:JFG131174 JPB131173:JPC131174 JYX131173:JYY131174 KIT131173:KIU131174 KSP131173:KSQ131174 LCL131173:LCM131174 LMH131173:LMI131174 LWD131173:LWE131174 MFZ131173:MGA131174 MPV131173:MPW131174 MZR131173:MZS131174 NJN131173:NJO131174 NTJ131173:NTK131174 ODF131173:ODG131174 ONB131173:ONC131174 OWX131173:OWY131174 PGT131173:PGU131174 PQP131173:PQQ131174 QAL131173:QAM131174 QKH131173:QKI131174 QUD131173:QUE131174 RDZ131173:REA131174 RNV131173:RNW131174 RXR131173:RXS131174 SHN131173:SHO131174 SRJ131173:SRK131174 TBF131173:TBG131174 TLB131173:TLC131174 TUX131173:TUY131174 UET131173:UEU131174 UOP131173:UOQ131174 UYL131173:UYM131174 VIH131173:VII131174 VSD131173:VSE131174 WBZ131173:WCA131174 WLV131173:WLW131174 WVR131173:WVS131174 I196709:J196710 JF196709:JG196710 TB196709:TC196710 ACX196709:ACY196710 AMT196709:AMU196710 AWP196709:AWQ196710 BGL196709:BGM196710 BQH196709:BQI196710 CAD196709:CAE196710 CJZ196709:CKA196710 CTV196709:CTW196710 DDR196709:DDS196710 DNN196709:DNO196710 DXJ196709:DXK196710 EHF196709:EHG196710 ERB196709:ERC196710 FAX196709:FAY196710 FKT196709:FKU196710 FUP196709:FUQ196710 GEL196709:GEM196710 GOH196709:GOI196710 GYD196709:GYE196710 HHZ196709:HIA196710 HRV196709:HRW196710 IBR196709:IBS196710 ILN196709:ILO196710 IVJ196709:IVK196710 JFF196709:JFG196710 JPB196709:JPC196710 JYX196709:JYY196710 KIT196709:KIU196710 KSP196709:KSQ196710 LCL196709:LCM196710 LMH196709:LMI196710 LWD196709:LWE196710 MFZ196709:MGA196710 MPV196709:MPW196710 MZR196709:MZS196710 NJN196709:NJO196710 NTJ196709:NTK196710 ODF196709:ODG196710 ONB196709:ONC196710 OWX196709:OWY196710 PGT196709:PGU196710 PQP196709:PQQ196710 QAL196709:QAM196710 QKH196709:QKI196710 QUD196709:QUE196710 RDZ196709:REA196710 RNV196709:RNW196710 RXR196709:RXS196710 SHN196709:SHO196710 SRJ196709:SRK196710 TBF196709:TBG196710 TLB196709:TLC196710 TUX196709:TUY196710 UET196709:UEU196710 UOP196709:UOQ196710 UYL196709:UYM196710 VIH196709:VII196710 VSD196709:VSE196710 WBZ196709:WCA196710 WLV196709:WLW196710 WVR196709:WVS196710 I262245:J262246 JF262245:JG262246 TB262245:TC262246 ACX262245:ACY262246 AMT262245:AMU262246 AWP262245:AWQ262246 BGL262245:BGM262246 BQH262245:BQI262246 CAD262245:CAE262246 CJZ262245:CKA262246 CTV262245:CTW262246 DDR262245:DDS262246 DNN262245:DNO262246 DXJ262245:DXK262246 EHF262245:EHG262246 ERB262245:ERC262246 FAX262245:FAY262246 FKT262245:FKU262246 FUP262245:FUQ262246 GEL262245:GEM262246 GOH262245:GOI262246 GYD262245:GYE262246 HHZ262245:HIA262246 HRV262245:HRW262246 IBR262245:IBS262246 ILN262245:ILO262246 IVJ262245:IVK262246 JFF262245:JFG262246 JPB262245:JPC262246 JYX262245:JYY262246 KIT262245:KIU262246 KSP262245:KSQ262246 LCL262245:LCM262246 LMH262245:LMI262246 LWD262245:LWE262246 MFZ262245:MGA262246 MPV262245:MPW262246 MZR262245:MZS262246 NJN262245:NJO262246 NTJ262245:NTK262246 ODF262245:ODG262246 ONB262245:ONC262246 OWX262245:OWY262246 PGT262245:PGU262246 PQP262245:PQQ262246 QAL262245:QAM262246 QKH262245:QKI262246 QUD262245:QUE262246 RDZ262245:REA262246 RNV262245:RNW262246 RXR262245:RXS262246 SHN262245:SHO262246 SRJ262245:SRK262246 TBF262245:TBG262246 TLB262245:TLC262246 TUX262245:TUY262246 UET262245:UEU262246 UOP262245:UOQ262246 UYL262245:UYM262246 VIH262245:VII262246 VSD262245:VSE262246 WBZ262245:WCA262246 WLV262245:WLW262246 WVR262245:WVS262246 I327781:J327782 JF327781:JG327782 TB327781:TC327782 ACX327781:ACY327782 AMT327781:AMU327782 AWP327781:AWQ327782 BGL327781:BGM327782 BQH327781:BQI327782 CAD327781:CAE327782 CJZ327781:CKA327782 CTV327781:CTW327782 DDR327781:DDS327782 DNN327781:DNO327782 DXJ327781:DXK327782 EHF327781:EHG327782 ERB327781:ERC327782 FAX327781:FAY327782 FKT327781:FKU327782 FUP327781:FUQ327782 GEL327781:GEM327782 GOH327781:GOI327782 GYD327781:GYE327782 HHZ327781:HIA327782 HRV327781:HRW327782 IBR327781:IBS327782 ILN327781:ILO327782 IVJ327781:IVK327782 JFF327781:JFG327782 JPB327781:JPC327782 JYX327781:JYY327782 KIT327781:KIU327782 KSP327781:KSQ327782 LCL327781:LCM327782 LMH327781:LMI327782 LWD327781:LWE327782 MFZ327781:MGA327782 MPV327781:MPW327782 MZR327781:MZS327782 NJN327781:NJO327782 NTJ327781:NTK327782 ODF327781:ODG327782 ONB327781:ONC327782 OWX327781:OWY327782 PGT327781:PGU327782 PQP327781:PQQ327782 QAL327781:QAM327782 QKH327781:QKI327782 QUD327781:QUE327782 RDZ327781:REA327782 RNV327781:RNW327782 RXR327781:RXS327782 SHN327781:SHO327782 SRJ327781:SRK327782 TBF327781:TBG327782 TLB327781:TLC327782 TUX327781:TUY327782 UET327781:UEU327782 UOP327781:UOQ327782 UYL327781:UYM327782 VIH327781:VII327782 VSD327781:VSE327782 WBZ327781:WCA327782 WLV327781:WLW327782 WVR327781:WVS327782 I393317:J393318 JF393317:JG393318 TB393317:TC393318 ACX393317:ACY393318 AMT393317:AMU393318 AWP393317:AWQ393318 BGL393317:BGM393318 BQH393317:BQI393318 CAD393317:CAE393318 CJZ393317:CKA393318 CTV393317:CTW393318 DDR393317:DDS393318 DNN393317:DNO393318 DXJ393317:DXK393318 EHF393317:EHG393318 ERB393317:ERC393318 FAX393317:FAY393318 FKT393317:FKU393318 FUP393317:FUQ393318 GEL393317:GEM393318 GOH393317:GOI393318 GYD393317:GYE393318 HHZ393317:HIA393318 HRV393317:HRW393318 IBR393317:IBS393318 ILN393317:ILO393318 IVJ393317:IVK393318 JFF393317:JFG393318 JPB393317:JPC393318 JYX393317:JYY393318 KIT393317:KIU393318 KSP393317:KSQ393318 LCL393317:LCM393318 LMH393317:LMI393318 LWD393317:LWE393318 MFZ393317:MGA393318 MPV393317:MPW393318 MZR393317:MZS393318 NJN393317:NJO393318 NTJ393317:NTK393318 ODF393317:ODG393318 ONB393317:ONC393318 OWX393317:OWY393318 PGT393317:PGU393318 PQP393317:PQQ393318 QAL393317:QAM393318 QKH393317:QKI393318 QUD393317:QUE393318 RDZ393317:REA393318 RNV393317:RNW393318 RXR393317:RXS393318 SHN393317:SHO393318 SRJ393317:SRK393318 TBF393317:TBG393318 TLB393317:TLC393318 TUX393317:TUY393318 UET393317:UEU393318 UOP393317:UOQ393318 UYL393317:UYM393318 VIH393317:VII393318 VSD393317:VSE393318 WBZ393317:WCA393318 WLV393317:WLW393318 WVR393317:WVS393318 I458853:J458854 JF458853:JG458854 TB458853:TC458854 ACX458853:ACY458854 AMT458853:AMU458854 AWP458853:AWQ458854 BGL458853:BGM458854 BQH458853:BQI458854 CAD458853:CAE458854 CJZ458853:CKA458854 CTV458853:CTW458854 DDR458853:DDS458854 DNN458853:DNO458854 DXJ458853:DXK458854 EHF458853:EHG458854 ERB458853:ERC458854 FAX458853:FAY458854 FKT458853:FKU458854 FUP458853:FUQ458854 GEL458853:GEM458854 GOH458853:GOI458854 GYD458853:GYE458854 HHZ458853:HIA458854 HRV458853:HRW458854 IBR458853:IBS458854 ILN458853:ILO458854 IVJ458853:IVK458854 JFF458853:JFG458854 JPB458853:JPC458854 JYX458853:JYY458854 KIT458853:KIU458854 KSP458853:KSQ458854 LCL458853:LCM458854 LMH458853:LMI458854 LWD458853:LWE458854 MFZ458853:MGA458854 MPV458853:MPW458854 MZR458853:MZS458854 NJN458853:NJO458854 NTJ458853:NTK458854 ODF458853:ODG458854 ONB458853:ONC458854 OWX458853:OWY458854 PGT458853:PGU458854 PQP458853:PQQ458854 QAL458853:QAM458854 QKH458853:QKI458854 QUD458853:QUE458854 RDZ458853:REA458854 RNV458853:RNW458854 RXR458853:RXS458854 SHN458853:SHO458854 SRJ458853:SRK458854 TBF458853:TBG458854 TLB458853:TLC458854 TUX458853:TUY458854 UET458853:UEU458854 UOP458853:UOQ458854 UYL458853:UYM458854 VIH458853:VII458854 VSD458853:VSE458854 WBZ458853:WCA458854 WLV458853:WLW458854 WVR458853:WVS458854 I524389:J524390 JF524389:JG524390 TB524389:TC524390 ACX524389:ACY524390 AMT524389:AMU524390 AWP524389:AWQ524390 BGL524389:BGM524390 BQH524389:BQI524390 CAD524389:CAE524390 CJZ524389:CKA524390 CTV524389:CTW524390 DDR524389:DDS524390 DNN524389:DNO524390 DXJ524389:DXK524390 EHF524389:EHG524390 ERB524389:ERC524390 FAX524389:FAY524390 FKT524389:FKU524390 FUP524389:FUQ524390 GEL524389:GEM524390 GOH524389:GOI524390 GYD524389:GYE524390 HHZ524389:HIA524390 HRV524389:HRW524390 IBR524389:IBS524390 ILN524389:ILO524390 IVJ524389:IVK524390 JFF524389:JFG524390 JPB524389:JPC524390 JYX524389:JYY524390 KIT524389:KIU524390 KSP524389:KSQ524390 LCL524389:LCM524390 LMH524389:LMI524390 LWD524389:LWE524390 MFZ524389:MGA524390 MPV524389:MPW524390 MZR524389:MZS524390 NJN524389:NJO524390 NTJ524389:NTK524390 ODF524389:ODG524390 ONB524389:ONC524390 OWX524389:OWY524390 PGT524389:PGU524390 PQP524389:PQQ524390 QAL524389:QAM524390 QKH524389:QKI524390 QUD524389:QUE524390 RDZ524389:REA524390 RNV524389:RNW524390 RXR524389:RXS524390 SHN524389:SHO524390 SRJ524389:SRK524390 TBF524389:TBG524390 TLB524389:TLC524390 TUX524389:TUY524390 UET524389:UEU524390 UOP524389:UOQ524390 UYL524389:UYM524390 VIH524389:VII524390 VSD524389:VSE524390 WBZ524389:WCA524390 WLV524389:WLW524390 WVR524389:WVS524390 I589925:J589926 JF589925:JG589926 TB589925:TC589926 ACX589925:ACY589926 AMT589925:AMU589926 AWP589925:AWQ589926 BGL589925:BGM589926 BQH589925:BQI589926 CAD589925:CAE589926 CJZ589925:CKA589926 CTV589925:CTW589926 DDR589925:DDS589926 DNN589925:DNO589926 DXJ589925:DXK589926 EHF589925:EHG589926 ERB589925:ERC589926 FAX589925:FAY589926 FKT589925:FKU589926 FUP589925:FUQ589926 GEL589925:GEM589926 GOH589925:GOI589926 GYD589925:GYE589926 HHZ589925:HIA589926 HRV589925:HRW589926 IBR589925:IBS589926 ILN589925:ILO589926 IVJ589925:IVK589926 JFF589925:JFG589926 JPB589925:JPC589926 JYX589925:JYY589926 KIT589925:KIU589926 KSP589925:KSQ589926 LCL589925:LCM589926 LMH589925:LMI589926 LWD589925:LWE589926 MFZ589925:MGA589926 MPV589925:MPW589926 MZR589925:MZS589926 NJN589925:NJO589926 NTJ589925:NTK589926 ODF589925:ODG589926 ONB589925:ONC589926 OWX589925:OWY589926 PGT589925:PGU589926 PQP589925:PQQ589926 QAL589925:QAM589926 QKH589925:QKI589926 QUD589925:QUE589926 RDZ589925:REA589926 RNV589925:RNW589926 RXR589925:RXS589926 SHN589925:SHO589926 SRJ589925:SRK589926 TBF589925:TBG589926 TLB589925:TLC589926 TUX589925:TUY589926 UET589925:UEU589926 UOP589925:UOQ589926 UYL589925:UYM589926 VIH589925:VII589926 VSD589925:VSE589926 WBZ589925:WCA589926 WLV589925:WLW589926 WVR589925:WVS589926 I655461:J655462 JF655461:JG655462 TB655461:TC655462 ACX655461:ACY655462 AMT655461:AMU655462 AWP655461:AWQ655462 BGL655461:BGM655462 BQH655461:BQI655462 CAD655461:CAE655462 CJZ655461:CKA655462 CTV655461:CTW655462 DDR655461:DDS655462 DNN655461:DNO655462 DXJ655461:DXK655462 EHF655461:EHG655462 ERB655461:ERC655462 FAX655461:FAY655462 FKT655461:FKU655462 FUP655461:FUQ655462 GEL655461:GEM655462 GOH655461:GOI655462 GYD655461:GYE655462 HHZ655461:HIA655462 HRV655461:HRW655462 IBR655461:IBS655462 ILN655461:ILO655462 IVJ655461:IVK655462 JFF655461:JFG655462 JPB655461:JPC655462 JYX655461:JYY655462 KIT655461:KIU655462 KSP655461:KSQ655462 LCL655461:LCM655462 LMH655461:LMI655462 LWD655461:LWE655462 MFZ655461:MGA655462 MPV655461:MPW655462 MZR655461:MZS655462 NJN655461:NJO655462 NTJ655461:NTK655462 ODF655461:ODG655462 ONB655461:ONC655462 OWX655461:OWY655462 PGT655461:PGU655462 PQP655461:PQQ655462 QAL655461:QAM655462 QKH655461:QKI655462 QUD655461:QUE655462 RDZ655461:REA655462 RNV655461:RNW655462 RXR655461:RXS655462 SHN655461:SHO655462 SRJ655461:SRK655462 TBF655461:TBG655462 TLB655461:TLC655462 TUX655461:TUY655462 UET655461:UEU655462 UOP655461:UOQ655462 UYL655461:UYM655462 VIH655461:VII655462 VSD655461:VSE655462 WBZ655461:WCA655462 WLV655461:WLW655462 WVR655461:WVS655462 I720997:J720998 JF720997:JG720998 TB720997:TC720998 ACX720997:ACY720998 AMT720997:AMU720998 AWP720997:AWQ720998 BGL720997:BGM720998 BQH720997:BQI720998 CAD720997:CAE720998 CJZ720997:CKA720998 CTV720997:CTW720998 DDR720997:DDS720998 DNN720997:DNO720998 DXJ720997:DXK720998 EHF720997:EHG720998 ERB720997:ERC720998 FAX720997:FAY720998 FKT720997:FKU720998 FUP720997:FUQ720998 GEL720997:GEM720998 GOH720997:GOI720998 GYD720997:GYE720998 HHZ720997:HIA720998 HRV720997:HRW720998 IBR720997:IBS720998 ILN720997:ILO720998 IVJ720997:IVK720998 JFF720997:JFG720998 JPB720997:JPC720998 JYX720997:JYY720998 KIT720997:KIU720998 KSP720997:KSQ720998 LCL720997:LCM720998 LMH720997:LMI720998 LWD720997:LWE720998 MFZ720997:MGA720998 MPV720997:MPW720998 MZR720997:MZS720998 NJN720997:NJO720998 NTJ720997:NTK720998 ODF720997:ODG720998 ONB720997:ONC720998 OWX720997:OWY720998 PGT720997:PGU720998 PQP720997:PQQ720998 QAL720997:QAM720998 QKH720997:QKI720998 QUD720997:QUE720998 RDZ720997:REA720998 RNV720997:RNW720998 RXR720997:RXS720998 SHN720997:SHO720998 SRJ720997:SRK720998 TBF720997:TBG720998 TLB720997:TLC720998 TUX720997:TUY720998 UET720997:UEU720998 UOP720997:UOQ720998 UYL720997:UYM720998 VIH720997:VII720998 VSD720997:VSE720998 WBZ720997:WCA720998 WLV720997:WLW720998 WVR720997:WVS720998 I786533:J786534 JF786533:JG786534 TB786533:TC786534 ACX786533:ACY786534 AMT786533:AMU786534 AWP786533:AWQ786534 BGL786533:BGM786534 BQH786533:BQI786534 CAD786533:CAE786534 CJZ786533:CKA786534 CTV786533:CTW786534 DDR786533:DDS786534 DNN786533:DNO786534 DXJ786533:DXK786534 EHF786533:EHG786534 ERB786533:ERC786534 FAX786533:FAY786534 FKT786533:FKU786534 FUP786533:FUQ786534 GEL786533:GEM786534 GOH786533:GOI786534 GYD786533:GYE786534 HHZ786533:HIA786534 HRV786533:HRW786534 IBR786533:IBS786534 ILN786533:ILO786534 IVJ786533:IVK786534 JFF786533:JFG786534 JPB786533:JPC786534 JYX786533:JYY786534 KIT786533:KIU786534 KSP786533:KSQ786534 LCL786533:LCM786534 LMH786533:LMI786534 LWD786533:LWE786534 MFZ786533:MGA786534 MPV786533:MPW786534 MZR786533:MZS786534 NJN786533:NJO786534 NTJ786533:NTK786534 ODF786533:ODG786534 ONB786533:ONC786534 OWX786533:OWY786534 PGT786533:PGU786534 PQP786533:PQQ786534 QAL786533:QAM786534 QKH786533:QKI786534 QUD786533:QUE786534 RDZ786533:REA786534 RNV786533:RNW786534 RXR786533:RXS786534 SHN786533:SHO786534 SRJ786533:SRK786534 TBF786533:TBG786534 TLB786533:TLC786534 TUX786533:TUY786534 UET786533:UEU786534 UOP786533:UOQ786534 UYL786533:UYM786534 VIH786533:VII786534 VSD786533:VSE786534 WBZ786533:WCA786534 WLV786533:WLW786534 WVR786533:WVS786534 I852069:J852070 JF852069:JG852070 TB852069:TC852070 ACX852069:ACY852070 AMT852069:AMU852070 AWP852069:AWQ852070 BGL852069:BGM852070 BQH852069:BQI852070 CAD852069:CAE852070 CJZ852069:CKA852070 CTV852069:CTW852070 DDR852069:DDS852070 DNN852069:DNO852070 DXJ852069:DXK852070 EHF852069:EHG852070 ERB852069:ERC852070 FAX852069:FAY852070 FKT852069:FKU852070 FUP852069:FUQ852070 GEL852069:GEM852070 GOH852069:GOI852070 GYD852069:GYE852070 HHZ852069:HIA852070 HRV852069:HRW852070 IBR852069:IBS852070 ILN852069:ILO852070 IVJ852069:IVK852070 JFF852069:JFG852070 JPB852069:JPC852070 JYX852069:JYY852070 KIT852069:KIU852070 KSP852069:KSQ852070 LCL852069:LCM852070 LMH852069:LMI852070 LWD852069:LWE852070 MFZ852069:MGA852070 MPV852069:MPW852070 MZR852069:MZS852070 NJN852069:NJO852070 NTJ852069:NTK852070 ODF852069:ODG852070 ONB852069:ONC852070 OWX852069:OWY852070 PGT852069:PGU852070 PQP852069:PQQ852070 QAL852069:QAM852070 QKH852069:QKI852070 QUD852069:QUE852070 RDZ852069:REA852070 RNV852069:RNW852070 RXR852069:RXS852070 SHN852069:SHO852070 SRJ852069:SRK852070 TBF852069:TBG852070 TLB852069:TLC852070 TUX852069:TUY852070 UET852069:UEU852070 UOP852069:UOQ852070 UYL852069:UYM852070 VIH852069:VII852070 VSD852069:VSE852070 WBZ852069:WCA852070 WLV852069:WLW852070 WVR852069:WVS852070 I917605:J917606 JF917605:JG917606 TB917605:TC917606 ACX917605:ACY917606 AMT917605:AMU917606 AWP917605:AWQ917606 BGL917605:BGM917606 BQH917605:BQI917606 CAD917605:CAE917606 CJZ917605:CKA917606 CTV917605:CTW917606 DDR917605:DDS917606 DNN917605:DNO917606 DXJ917605:DXK917606 EHF917605:EHG917606 ERB917605:ERC917606 FAX917605:FAY917606 FKT917605:FKU917606 FUP917605:FUQ917606 GEL917605:GEM917606 GOH917605:GOI917606 GYD917605:GYE917606 HHZ917605:HIA917606 HRV917605:HRW917606 IBR917605:IBS917606 ILN917605:ILO917606 IVJ917605:IVK917606 JFF917605:JFG917606 JPB917605:JPC917606 JYX917605:JYY917606 KIT917605:KIU917606 KSP917605:KSQ917606 LCL917605:LCM917606 LMH917605:LMI917606 LWD917605:LWE917606 MFZ917605:MGA917606 MPV917605:MPW917606 MZR917605:MZS917606 NJN917605:NJO917606 NTJ917605:NTK917606 ODF917605:ODG917606 ONB917605:ONC917606 OWX917605:OWY917606 PGT917605:PGU917606 PQP917605:PQQ917606 QAL917605:QAM917606 QKH917605:QKI917606 QUD917605:QUE917606 RDZ917605:REA917606 RNV917605:RNW917606 RXR917605:RXS917606 SHN917605:SHO917606 SRJ917605:SRK917606 TBF917605:TBG917606 TLB917605:TLC917606 TUX917605:TUY917606 UET917605:UEU917606 UOP917605:UOQ917606 UYL917605:UYM917606 VIH917605:VII917606 VSD917605:VSE917606 WBZ917605:WCA917606 WLV917605:WLW917606 WVR917605:WVS917606 I983141:J983142 JF983141:JG983142 TB983141:TC983142 ACX983141:ACY983142 AMT983141:AMU983142 AWP983141:AWQ983142 BGL983141:BGM983142 BQH983141:BQI983142 CAD983141:CAE983142 CJZ983141:CKA983142 CTV983141:CTW983142 DDR983141:DDS983142 DNN983141:DNO983142 DXJ983141:DXK983142 EHF983141:EHG983142 ERB983141:ERC983142 FAX983141:FAY983142 FKT983141:FKU983142 FUP983141:FUQ983142 GEL983141:GEM983142 GOH983141:GOI983142 GYD983141:GYE983142 HHZ983141:HIA983142 HRV983141:HRW983142 IBR983141:IBS983142 ILN983141:ILO983142 IVJ983141:IVK983142 JFF983141:JFG983142 JPB983141:JPC983142 JYX983141:JYY983142 KIT983141:KIU983142 KSP983141:KSQ983142 LCL983141:LCM983142 LMH983141:LMI983142 LWD983141:LWE983142 MFZ983141:MGA983142 MPV983141:MPW983142 MZR983141:MZS983142 NJN983141:NJO983142 NTJ983141:NTK983142 ODF983141:ODG983142 ONB983141:ONC983142 OWX983141:OWY983142 PGT983141:PGU983142 PQP983141:PQQ983142 QAL983141:QAM983142 QKH983141:QKI983142 QUD983141:QUE983142 RDZ983141:REA983142 RNV983141:RNW983142 RXR983141:RXS983142 SHN983141:SHO983142 SRJ983141:SRK983142 TBF983141:TBG983142 TLB983141:TLC983142 TUX983141:TUY983142 UET983141:UEU983142 UOP983141:UOQ983142 UYL983141:UYM983142 VIH983141:VII983142 VSD983141:VSE983142 WBZ983141:WCA983142 WLV983141:WLW983142 WVR983141:WVS983142 I107:J110 JF107:JG110 TB107:TC110 ACX107:ACY110 AMT107:AMU110 AWP107:AWQ110 BGL107:BGM110 BQH107:BQI110 CAD107:CAE110 CJZ107:CKA110 CTV107:CTW110 DDR107:DDS110 DNN107:DNO110 DXJ107:DXK110 EHF107:EHG110 ERB107:ERC110 FAX107:FAY110 FKT107:FKU110 FUP107:FUQ110 GEL107:GEM110 GOH107:GOI110 GYD107:GYE110 HHZ107:HIA110 HRV107:HRW110 IBR107:IBS110 ILN107:ILO110 IVJ107:IVK110 JFF107:JFG110 JPB107:JPC110 JYX107:JYY110 KIT107:KIU110 KSP107:KSQ110 LCL107:LCM110 LMH107:LMI110 LWD107:LWE110 MFZ107:MGA110 MPV107:MPW110 MZR107:MZS110 NJN107:NJO110 NTJ107:NTK110 ODF107:ODG110 ONB107:ONC110 OWX107:OWY110 PGT107:PGU110 PQP107:PQQ110 QAL107:QAM110 QKH107:QKI110 QUD107:QUE110 RDZ107:REA110 RNV107:RNW110 RXR107:RXS110 SHN107:SHO110 SRJ107:SRK110 TBF107:TBG110 TLB107:TLC110 TUX107:TUY110 UET107:UEU110 UOP107:UOQ110 UYL107:UYM110 VIH107:VII110 VSD107:VSE110 WBZ107:WCA110 WLV107:WLW110 WVR107:WVS110 I65643:J65646 JF65643:JG65646 TB65643:TC65646 ACX65643:ACY65646 AMT65643:AMU65646 AWP65643:AWQ65646 BGL65643:BGM65646 BQH65643:BQI65646 CAD65643:CAE65646 CJZ65643:CKA65646 CTV65643:CTW65646 DDR65643:DDS65646 DNN65643:DNO65646 DXJ65643:DXK65646 EHF65643:EHG65646 ERB65643:ERC65646 FAX65643:FAY65646 FKT65643:FKU65646 FUP65643:FUQ65646 GEL65643:GEM65646 GOH65643:GOI65646 GYD65643:GYE65646 HHZ65643:HIA65646 HRV65643:HRW65646 IBR65643:IBS65646 ILN65643:ILO65646 IVJ65643:IVK65646 JFF65643:JFG65646 JPB65643:JPC65646 JYX65643:JYY65646 KIT65643:KIU65646 KSP65643:KSQ65646 LCL65643:LCM65646 LMH65643:LMI65646 LWD65643:LWE65646 MFZ65643:MGA65646 MPV65643:MPW65646 MZR65643:MZS65646 NJN65643:NJO65646 NTJ65643:NTK65646 ODF65643:ODG65646 ONB65643:ONC65646 OWX65643:OWY65646 PGT65643:PGU65646 PQP65643:PQQ65646 QAL65643:QAM65646 QKH65643:QKI65646 QUD65643:QUE65646 RDZ65643:REA65646 RNV65643:RNW65646 RXR65643:RXS65646 SHN65643:SHO65646 SRJ65643:SRK65646 TBF65643:TBG65646 TLB65643:TLC65646 TUX65643:TUY65646 UET65643:UEU65646 UOP65643:UOQ65646 UYL65643:UYM65646 VIH65643:VII65646 VSD65643:VSE65646 WBZ65643:WCA65646 WLV65643:WLW65646 WVR65643:WVS65646 I131179:J131182 JF131179:JG131182 TB131179:TC131182 ACX131179:ACY131182 AMT131179:AMU131182 AWP131179:AWQ131182 BGL131179:BGM131182 BQH131179:BQI131182 CAD131179:CAE131182 CJZ131179:CKA131182 CTV131179:CTW131182 DDR131179:DDS131182 DNN131179:DNO131182 DXJ131179:DXK131182 EHF131179:EHG131182 ERB131179:ERC131182 FAX131179:FAY131182 FKT131179:FKU131182 FUP131179:FUQ131182 GEL131179:GEM131182 GOH131179:GOI131182 GYD131179:GYE131182 HHZ131179:HIA131182 HRV131179:HRW131182 IBR131179:IBS131182 ILN131179:ILO131182 IVJ131179:IVK131182 JFF131179:JFG131182 JPB131179:JPC131182 JYX131179:JYY131182 KIT131179:KIU131182 KSP131179:KSQ131182 LCL131179:LCM131182 LMH131179:LMI131182 LWD131179:LWE131182 MFZ131179:MGA131182 MPV131179:MPW131182 MZR131179:MZS131182 NJN131179:NJO131182 NTJ131179:NTK131182 ODF131179:ODG131182 ONB131179:ONC131182 OWX131179:OWY131182 PGT131179:PGU131182 PQP131179:PQQ131182 QAL131179:QAM131182 QKH131179:QKI131182 QUD131179:QUE131182 RDZ131179:REA131182 RNV131179:RNW131182 RXR131179:RXS131182 SHN131179:SHO131182 SRJ131179:SRK131182 TBF131179:TBG131182 TLB131179:TLC131182 TUX131179:TUY131182 UET131179:UEU131182 UOP131179:UOQ131182 UYL131179:UYM131182 VIH131179:VII131182 VSD131179:VSE131182 WBZ131179:WCA131182 WLV131179:WLW131182 WVR131179:WVS131182 I196715:J196718 JF196715:JG196718 TB196715:TC196718 ACX196715:ACY196718 AMT196715:AMU196718 AWP196715:AWQ196718 BGL196715:BGM196718 BQH196715:BQI196718 CAD196715:CAE196718 CJZ196715:CKA196718 CTV196715:CTW196718 DDR196715:DDS196718 DNN196715:DNO196718 DXJ196715:DXK196718 EHF196715:EHG196718 ERB196715:ERC196718 FAX196715:FAY196718 FKT196715:FKU196718 FUP196715:FUQ196718 GEL196715:GEM196718 GOH196715:GOI196718 GYD196715:GYE196718 HHZ196715:HIA196718 HRV196715:HRW196718 IBR196715:IBS196718 ILN196715:ILO196718 IVJ196715:IVK196718 JFF196715:JFG196718 JPB196715:JPC196718 JYX196715:JYY196718 KIT196715:KIU196718 KSP196715:KSQ196718 LCL196715:LCM196718 LMH196715:LMI196718 LWD196715:LWE196718 MFZ196715:MGA196718 MPV196715:MPW196718 MZR196715:MZS196718 NJN196715:NJO196718 NTJ196715:NTK196718 ODF196715:ODG196718 ONB196715:ONC196718 OWX196715:OWY196718 PGT196715:PGU196718 PQP196715:PQQ196718 QAL196715:QAM196718 QKH196715:QKI196718 QUD196715:QUE196718 RDZ196715:REA196718 RNV196715:RNW196718 RXR196715:RXS196718 SHN196715:SHO196718 SRJ196715:SRK196718 TBF196715:TBG196718 TLB196715:TLC196718 TUX196715:TUY196718 UET196715:UEU196718 UOP196715:UOQ196718 UYL196715:UYM196718 VIH196715:VII196718 VSD196715:VSE196718 WBZ196715:WCA196718 WLV196715:WLW196718 WVR196715:WVS196718 I262251:J262254 JF262251:JG262254 TB262251:TC262254 ACX262251:ACY262254 AMT262251:AMU262254 AWP262251:AWQ262254 BGL262251:BGM262254 BQH262251:BQI262254 CAD262251:CAE262254 CJZ262251:CKA262254 CTV262251:CTW262254 DDR262251:DDS262254 DNN262251:DNO262254 DXJ262251:DXK262254 EHF262251:EHG262254 ERB262251:ERC262254 FAX262251:FAY262254 FKT262251:FKU262254 FUP262251:FUQ262254 GEL262251:GEM262254 GOH262251:GOI262254 GYD262251:GYE262254 HHZ262251:HIA262254 HRV262251:HRW262254 IBR262251:IBS262254 ILN262251:ILO262254 IVJ262251:IVK262254 JFF262251:JFG262254 JPB262251:JPC262254 JYX262251:JYY262254 KIT262251:KIU262254 KSP262251:KSQ262254 LCL262251:LCM262254 LMH262251:LMI262254 LWD262251:LWE262254 MFZ262251:MGA262254 MPV262251:MPW262254 MZR262251:MZS262254 NJN262251:NJO262254 NTJ262251:NTK262254 ODF262251:ODG262254 ONB262251:ONC262254 OWX262251:OWY262254 PGT262251:PGU262254 PQP262251:PQQ262254 QAL262251:QAM262254 QKH262251:QKI262254 QUD262251:QUE262254 RDZ262251:REA262254 RNV262251:RNW262254 RXR262251:RXS262254 SHN262251:SHO262254 SRJ262251:SRK262254 TBF262251:TBG262254 TLB262251:TLC262254 TUX262251:TUY262254 UET262251:UEU262254 UOP262251:UOQ262254 UYL262251:UYM262254 VIH262251:VII262254 VSD262251:VSE262254 WBZ262251:WCA262254 WLV262251:WLW262254 WVR262251:WVS262254 I327787:J327790 JF327787:JG327790 TB327787:TC327790 ACX327787:ACY327790 AMT327787:AMU327790 AWP327787:AWQ327790 BGL327787:BGM327790 BQH327787:BQI327790 CAD327787:CAE327790 CJZ327787:CKA327790 CTV327787:CTW327790 DDR327787:DDS327790 DNN327787:DNO327790 DXJ327787:DXK327790 EHF327787:EHG327790 ERB327787:ERC327790 FAX327787:FAY327790 FKT327787:FKU327790 FUP327787:FUQ327790 GEL327787:GEM327790 GOH327787:GOI327790 GYD327787:GYE327790 HHZ327787:HIA327790 HRV327787:HRW327790 IBR327787:IBS327790 ILN327787:ILO327790 IVJ327787:IVK327790 JFF327787:JFG327790 JPB327787:JPC327790 JYX327787:JYY327790 KIT327787:KIU327790 KSP327787:KSQ327790 LCL327787:LCM327790 LMH327787:LMI327790 LWD327787:LWE327790 MFZ327787:MGA327790 MPV327787:MPW327790 MZR327787:MZS327790 NJN327787:NJO327790 NTJ327787:NTK327790 ODF327787:ODG327790 ONB327787:ONC327790 OWX327787:OWY327790 PGT327787:PGU327790 PQP327787:PQQ327790 QAL327787:QAM327790 QKH327787:QKI327790 QUD327787:QUE327790 RDZ327787:REA327790 RNV327787:RNW327790 RXR327787:RXS327790 SHN327787:SHO327790 SRJ327787:SRK327790 TBF327787:TBG327790 TLB327787:TLC327790 TUX327787:TUY327790 UET327787:UEU327790 UOP327787:UOQ327790 UYL327787:UYM327790 VIH327787:VII327790 VSD327787:VSE327790 WBZ327787:WCA327790 WLV327787:WLW327790 WVR327787:WVS327790 I393323:J393326 JF393323:JG393326 TB393323:TC393326 ACX393323:ACY393326 AMT393323:AMU393326 AWP393323:AWQ393326 BGL393323:BGM393326 BQH393323:BQI393326 CAD393323:CAE393326 CJZ393323:CKA393326 CTV393323:CTW393326 DDR393323:DDS393326 DNN393323:DNO393326 DXJ393323:DXK393326 EHF393323:EHG393326 ERB393323:ERC393326 FAX393323:FAY393326 FKT393323:FKU393326 FUP393323:FUQ393326 GEL393323:GEM393326 GOH393323:GOI393326 GYD393323:GYE393326 HHZ393323:HIA393326 HRV393323:HRW393326 IBR393323:IBS393326 ILN393323:ILO393326 IVJ393323:IVK393326 JFF393323:JFG393326 JPB393323:JPC393326 JYX393323:JYY393326 KIT393323:KIU393326 KSP393323:KSQ393326 LCL393323:LCM393326 LMH393323:LMI393326 LWD393323:LWE393326 MFZ393323:MGA393326 MPV393323:MPW393326 MZR393323:MZS393326 NJN393323:NJO393326 NTJ393323:NTK393326 ODF393323:ODG393326 ONB393323:ONC393326 OWX393323:OWY393326 PGT393323:PGU393326 PQP393323:PQQ393326 QAL393323:QAM393326 QKH393323:QKI393326 QUD393323:QUE393326 RDZ393323:REA393326 RNV393323:RNW393326 RXR393323:RXS393326 SHN393323:SHO393326 SRJ393323:SRK393326 TBF393323:TBG393326 TLB393323:TLC393326 TUX393323:TUY393326 UET393323:UEU393326 UOP393323:UOQ393326 UYL393323:UYM393326 VIH393323:VII393326 VSD393323:VSE393326 WBZ393323:WCA393326 WLV393323:WLW393326 WVR393323:WVS393326 I458859:J458862 JF458859:JG458862 TB458859:TC458862 ACX458859:ACY458862 AMT458859:AMU458862 AWP458859:AWQ458862 BGL458859:BGM458862 BQH458859:BQI458862 CAD458859:CAE458862 CJZ458859:CKA458862 CTV458859:CTW458862 DDR458859:DDS458862 DNN458859:DNO458862 DXJ458859:DXK458862 EHF458859:EHG458862 ERB458859:ERC458862 FAX458859:FAY458862 FKT458859:FKU458862 FUP458859:FUQ458862 GEL458859:GEM458862 GOH458859:GOI458862 GYD458859:GYE458862 HHZ458859:HIA458862 HRV458859:HRW458862 IBR458859:IBS458862 ILN458859:ILO458862 IVJ458859:IVK458862 JFF458859:JFG458862 JPB458859:JPC458862 JYX458859:JYY458862 KIT458859:KIU458862 KSP458859:KSQ458862 LCL458859:LCM458862 LMH458859:LMI458862 LWD458859:LWE458862 MFZ458859:MGA458862 MPV458859:MPW458862 MZR458859:MZS458862 NJN458859:NJO458862 NTJ458859:NTK458862 ODF458859:ODG458862 ONB458859:ONC458862 OWX458859:OWY458862 PGT458859:PGU458862 PQP458859:PQQ458862 QAL458859:QAM458862 QKH458859:QKI458862 QUD458859:QUE458862 RDZ458859:REA458862 RNV458859:RNW458862 RXR458859:RXS458862 SHN458859:SHO458862 SRJ458859:SRK458862 TBF458859:TBG458862 TLB458859:TLC458862 TUX458859:TUY458862 UET458859:UEU458862 UOP458859:UOQ458862 UYL458859:UYM458862 VIH458859:VII458862 VSD458859:VSE458862 WBZ458859:WCA458862 WLV458859:WLW458862 WVR458859:WVS458862 I524395:J524398 JF524395:JG524398 TB524395:TC524398 ACX524395:ACY524398 AMT524395:AMU524398 AWP524395:AWQ524398 BGL524395:BGM524398 BQH524395:BQI524398 CAD524395:CAE524398 CJZ524395:CKA524398 CTV524395:CTW524398 DDR524395:DDS524398 DNN524395:DNO524398 DXJ524395:DXK524398 EHF524395:EHG524398 ERB524395:ERC524398 FAX524395:FAY524398 FKT524395:FKU524398 FUP524395:FUQ524398 GEL524395:GEM524398 GOH524395:GOI524398 GYD524395:GYE524398 HHZ524395:HIA524398 HRV524395:HRW524398 IBR524395:IBS524398 ILN524395:ILO524398 IVJ524395:IVK524398 JFF524395:JFG524398 JPB524395:JPC524398 JYX524395:JYY524398 KIT524395:KIU524398 KSP524395:KSQ524398 LCL524395:LCM524398 LMH524395:LMI524398 LWD524395:LWE524398 MFZ524395:MGA524398 MPV524395:MPW524398 MZR524395:MZS524398 NJN524395:NJO524398 NTJ524395:NTK524398 ODF524395:ODG524398 ONB524395:ONC524398 OWX524395:OWY524398 PGT524395:PGU524398 PQP524395:PQQ524398 QAL524395:QAM524398 QKH524395:QKI524398 QUD524395:QUE524398 RDZ524395:REA524398 RNV524395:RNW524398 RXR524395:RXS524398 SHN524395:SHO524398 SRJ524395:SRK524398 TBF524395:TBG524398 TLB524395:TLC524398 TUX524395:TUY524398 UET524395:UEU524398 UOP524395:UOQ524398 UYL524395:UYM524398 VIH524395:VII524398 VSD524395:VSE524398 WBZ524395:WCA524398 WLV524395:WLW524398 WVR524395:WVS524398 I589931:J589934 JF589931:JG589934 TB589931:TC589934 ACX589931:ACY589934 AMT589931:AMU589934 AWP589931:AWQ589934 BGL589931:BGM589934 BQH589931:BQI589934 CAD589931:CAE589934 CJZ589931:CKA589934 CTV589931:CTW589934 DDR589931:DDS589934 DNN589931:DNO589934 DXJ589931:DXK589934 EHF589931:EHG589934 ERB589931:ERC589934 FAX589931:FAY589934 FKT589931:FKU589934 FUP589931:FUQ589934 GEL589931:GEM589934 GOH589931:GOI589934 GYD589931:GYE589934 HHZ589931:HIA589934 HRV589931:HRW589934 IBR589931:IBS589934 ILN589931:ILO589934 IVJ589931:IVK589934 JFF589931:JFG589934 JPB589931:JPC589934 JYX589931:JYY589934 KIT589931:KIU589934 KSP589931:KSQ589934 LCL589931:LCM589934 LMH589931:LMI589934 LWD589931:LWE589934 MFZ589931:MGA589934 MPV589931:MPW589934 MZR589931:MZS589934 NJN589931:NJO589934 NTJ589931:NTK589934 ODF589931:ODG589934 ONB589931:ONC589934 OWX589931:OWY589934 PGT589931:PGU589934 PQP589931:PQQ589934 QAL589931:QAM589934 QKH589931:QKI589934 QUD589931:QUE589934 RDZ589931:REA589934 RNV589931:RNW589934 RXR589931:RXS589934 SHN589931:SHO589934 SRJ589931:SRK589934 TBF589931:TBG589934 TLB589931:TLC589934 TUX589931:TUY589934 UET589931:UEU589934 UOP589931:UOQ589934 UYL589931:UYM589934 VIH589931:VII589934 VSD589931:VSE589934 WBZ589931:WCA589934 WLV589931:WLW589934 WVR589931:WVS589934 I655467:J655470 JF655467:JG655470 TB655467:TC655470 ACX655467:ACY655470 AMT655467:AMU655470 AWP655467:AWQ655470 BGL655467:BGM655470 BQH655467:BQI655470 CAD655467:CAE655470 CJZ655467:CKA655470 CTV655467:CTW655470 DDR655467:DDS655470 DNN655467:DNO655470 DXJ655467:DXK655470 EHF655467:EHG655470 ERB655467:ERC655470 FAX655467:FAY655470 FKT655467:FKU655470 FUP655467:FUQ655470 GEL655467:GEM655470 GOH655467:GOI655470 GYD655467:GYE655470 HHZ655467:HIA655470 HRV655467:HRW655470 IBR655467:IBS655470 ILN655467:ILO655470 IVJ655467:IVK655470 JFF655467:JFG655470 JPB655467:JPC655470 JYX655467:JYY655470 KIT655467:KIU655470 KSP655467:KSQ655470 LCL655467:LCM655470 LMH655467:LMI655470 LWD655467:LWE655470 MFZ655467:MGA655470 MPV655467:MPW655470 MZR655467:MZS655470 NJN655467:NJO655470 NTJ655467:NTK655470 ODF655467:ODG655470 ONB655467:ONC655470 OWX655467:OWY655470 PGT655467:PGU655470 PQP655467:PQQ655470 QAL655467:QAM655470 QKH655467:QKI655470 QUD655467:QUE655470 RDZ655467:REA655470 RNV655467:RNW655470 RXR655467:RXS655470 SHN655467:SHO655470 SRJ655467:SRK655470 TBF655467:TBG655470 TLB655467:TLC655470 TUX655467:TUY655470 UET655467:UEU655470 UOP655467:UOQ655470 UYL655467:UYM655470 VIH655467:VII655470 VSD655467:VSE655470 WBZ655467:WCA655470 WLV655467:WLW655470 WVR655467:WVS655470 I721003:J721006 JF721003:JG721006 TB721003:TC721006 ACX721003:ACY721006 AMT721003:AMU721006 AWP721003:AWQ721006 BGL721003:BGM721006 BQH721003:BQI721006 CAD721003:CAE721006 CJZ721003:CKA721006 CTV721003:CTW721006 DDR721003:DDS721006 DNN721003:DNO721006 DXJ721003:DXK721006 EHF721003:EHG721006 ERB721003:ERC721006 FAX721003:FAY721006 FKT721003:FKU721006 FUP721003:FUQ721006 GEL721003:GEM721006 GOH721003:GOI721006 GYD721003:GYE721006 HHZ721003:HIA721006 HRV721003:HRW721006 IBR721003:IBS721006 ILN721003:ILO721006 IVJ721003:IVK721006 JFF721003:JFG721006 JPB721003:JPC721006 JYX721003:JYY721006 KIT721003:KIU721006 KSP721003:KSQ721006 LCL721003:LCM721006 LMH721003:LMI721006 LWD721003:LWE721006 MFZ721003:MGA721006 MPV721003:MPW721006 MZR721003:MZS721006 NJN721003:NJO721006 NTJ721003:NTK721006 ODF721003:ODG721006 ONB721003:ONC721006 OWX721003:OWY721006 PGT721003:PGU721006 PQP721003:PQQ721006 QAL721003:QAM721006 QKH721003:QKI721006 QUD721003:QUE721006 RDZ721003:REA721006 RNV721003:RNW721006 RXR721003:RXS721006 SHN721003:SHO721006 SRJ721003:SRK721006 TBF721003:TBG721006 TLB721003:TLC721006 TUX721003:TUY721006 UET721003:UEU721006 UOP721003:UOQ721006 UYL721003:UYM721006 VIH721003:VII721006 VSD721003:VSE721006 WBZ721003:WCA721006 WLV721003:WLW721006 WVR721003:WVS721006 I786539:J786542 JF786539:JG786542 TB786539:TC786542 ACX786539:ACY786542 AMT786539:AMU786542 AWP786539:AWQ786542 BGL786539:BGM786542 BQH786539:BQI786542 CAD786539:CAE786542 CJZ786539:CKA786542 CTV786539:CTW786542 DDR786539:DDS786542 DNN786539:DNO786542 DXJ786539:DXK786542 EHF786539:EHG786542 ERB786539:ERC786542 FAX786539:FAY786542 FKT786539:FKU786542 FUP786539:FUQ786542 GEL786539:GEM786542 GOH786539:GOI786542 GYD786539:GYE786542 HHZ786539:HIA786542 HRV786539:HRW786542 IBR786539:IBS786542 ILN786539:ILO786542 IVJ786539:IVK786542 JFF786539:JFG786542 JPB786539:JPC786542 JYX786539:JYY786542 KIT786539:KIU786542 KSP786539:KSQ786542 LCL786539:LCM786542 LMH786539:LMI786542 LWD786539:LWE786542 MFZ786539:MGA786542 MPV786539:MPW786542 MZR786539:MZS786542 NJN786539:NJO786542 NTJ786539:NTK786542 ODF786539:ODG786542 ONB786539:ONC786542 OWX786539:OWY786542 PGT786539:PGU786542 PQP786539:PQQ786542 QAL786539:QAM786542 QKH786539:QKI786542 QUD786539:QUE786542 RDZ786539:REA786542 RNV786539:RNW786542 RXR786539:RXS786542 SHN786539:SHO786542 SRJ786539:SRK786542 TBF786539:TBG786542 TLB786539:TLC786542 TUX786539:TUY786542 UET786539:UEU786542 UOP786539:UOQ786542 UYL786539:UYM786542 VIH786539:VII786542 VSD786539:VSE786542 WBZ786539:WCA786542 WLV786539:WLW786542 WVR786539:WVS786542 I852075:J852078 JF852075:JG852078 TB852075:TC852078 ACX852075:ACY852078 AMT852075:AMU852078 AWP852075:AWQ852078 BGL852075:BGM852078 BQH852075:BQI852078 CAD852075:CAE852078 CJZ852075:CKA852078 CTV852075:CTW852078 DDR852075:DDS852078 DNN852075:DNO852078 DXJ852075:DXK852078 EHF852075:EHG852078 ERB852075:ERC852078 FAX852075:FAY852078 FKT852075:FKU852078 FUP852075:FUQ852078 GEL852075:GEM852078 GOH852075:GOI852078 GYD852075:GYE852078 HHZ852075:HIA852078 HRV852075:HRW852078 IBR852075:IBS852078 ILN852075:ILO852078 IVJ852075:IVK852078 JFF852075:JFG852078 JPB852075:JPC852078 JYX852075:JYY852078 KIT852075:KIU852078 KSP852075:KSQ852078 LCL852075:LCM852078 LMH852075:LMI852078 LWD852075:LWE852078 MFZ852075:MGA852078 MPV852075:MPW852078 MZR852075:MZS852078 NJN852075:NJO852078 NTJ852075:NTK852078 ODF852075:ODG852078 ONB852075:ONC852078 OWX852075:OWY852078 PGT852075:PGU852078 PQP852075:PQQ852078 QAL852075:QAM852078 QKH852075:QKI852078 QUD852075:QUE852078 RDZ852075:REA852078 RNV852075:RNW852078 RXR852075:RXS852078 SHN852075:SHO852078 SRJ852075:SRK852078 TBF852075:TBG852078 TLB852075:TLC852078 TUX852075:TUY852078 UET852075:UEU852078 UOP852075:UOQ852078 UYL852075:UYM852078 VIH852075:VII852078 VSD852075:VSE852078 WBZ852075:WCA852078 WLV852075:WLW852078 WVR852075:WVS852078 I917611:J917614 JF917611:JG917614 TB917611:TC917614 ACX917611:ACY917614 AMT917611:AMU917614 AWP917611:AWQ917614 BGL917611:BGM917614 BQH917611:BQI917614 CAD917611:CAE917614 CJZ917611:CKA917614 CTV917611:CTW917614 DDR917611:DDS917614 DNN917611:DNO917614 DXJ917611:DXK917614 EHF917611:EHG917614 ERB917611:ERC917614 FAX917611:FAY917614 FKT917611:FKU917614 FUP917611:FUQ917614 GEL917611:GEM917614 GOH917611:GOI917614 GYD917611:GYE917614 HHZ917611:HIA917614 HRV917611:HRW917614 IBR917611:IBS917614 ILN917611:ILO917614 IVJ917611:IVK917614 JFF917611:JFG917614 JPB917611:JPC917614 JYX917611:JYY917614 KIT917611:KIU917614 KSP917611:KSQ917614 LCL917611:LCM917614 LMH917611:LMI917614 LWD917611:LWE917614 MFZ917611:MGA917614 MPV917611:MPW917614 MZR917611:MZS917614 NJN917611:NJO917614 NTJ917611:NTK917614 ODF917611:ODG917614 ONB917611:ONC917614 OWX917611:OWY917614 PGT917611:PGU917614 PQP917611:PQQ917614 QAL917611:QAM917614 QKH917611:QKI917614 QUD917611:QUE917614 RDZ917611:REA917614 RNV917611:RNW917614 RXR917611:RXS917614 SHN917611:SHO917614 SRJ917611:SRK917614 TBF917611:TBG917614 TLB917611:TLC917614 TUX917611:TUY917614 UET917611:UEU917614 UOP917611:UOQ917614 UYL917611:UYM917614 VIH917611:VII917614 VSD917611:VSE917614 WBZ917611:WCA917614 WLV917611:WLW917614 WVR917611:WVS917614 I983147:J983150 JF983147:JG983150 TB983147:TC983150 ACX983147:ACY983150 AMT983147:AMU983150 AWP983147:AWQ983150 BGL983147:BGM983150 BQH983147:BQI983150 CAD983147:CAE983150 CJZ983147:CKA983150 CTV983147:CTW983150 DDR983147:DDS983150 DNN983147:DNO983150 DXJ983147:DXK983150 EHF983147:EHG983150 ERB983147:ERC983150 FAX983147:FAY983150 FKT983147:FKU983150 FUP983147:FUQ983150 GEL983147:GEM983150 GOH983147:GOI983150 GYD983147:GYE983150 HHZ983147:HIA983150 HRV983147:HRW983150 IBR983147:IBS983150 ILN983147:ILO983150 IVJ983147:IVK983150 JFF983147:JFG983150 JPB983147:JPC983150 JYX983147:JYY983150 KIT983147:KIU983150 KSP983147:KSQ983150 LCL983147:LCM983150 LMH983147:LMI983150 LWD983147:LWE983150 MFZ983147:MGA983150 MPV983147:MPW983150 MZR983147:MZS983150 NJN983147:NJO983150 NTJ983147:NTK983150 ODF983147:ODG983150 ONB983147:ONC983150 OWX983147:OWY983150 PGT983147:PGU983150 PQP983147:PQQ983150 QAL983147:QAM983150 QKH983147:QKI983150 QUD983147:QUE983150 RDZ983147:REA983150 RNV983147:RNW983150 RXR983147:RXS983150 SHN983147:SHO983150 SRJ983147:SRK983150 TBF983147:TBG983150 TLB983147:TLC983150 TUX983147:TUY983150 UET983147:UEU983150 UOP983147:UOQ983150 UYL983147:UYM983150 VIH983147:VII983150 VSD983147:VSE983150 WBZ983147:WCA983150 WLV983147:WLW983150 WVR983147:WVS983150 I119:J119 JF119:JG119 TB119:TC119 ACX119:ACY119 AMT119:AMU119 AWP119:AWQ119 BGL119:BGM119 BQH119:BQI119 CAD119:CAE119 CJZ119:CKA119 CTV119:CTW119 DDR119:DDS119 DNN119:DNO119 DXJ119:DXK119 EHF119:EHG119 ERB119:ERC119 FAX119:FAY119 FKT119:FKU119 FUP119:FUQ119 GEL119:GEM119 GOH119:GOI119 GYD119:GYE119 HHZ119:HIA119 HRV119:HRW119 IBR119:IBS119 ILN119:ILO119 IVJ119:IVK119 JFF119:JFG119 JPB119:JPC119 JYX119:JYY119 KIT119:KIU119 KSP119:KSQ119 LCL119:LCM119 LMH119:LMI119 LWD119:LWE119 MFZ119:MGA119 MPV119:MPW119 MZR119:MZS119 NJN119:NJO119 NTJ119:NTK119 ODF119:ODG119 ONB119:ONC119 OWX119:OWY119 PGT119:PGU119 PQP119:PQQ119 QAL119:QAM119 QKH119:QKI119 QUD119:QUE119 RDZ119:REA119 RNV119:RNW119 RXR119:RXS119 SHN119:SHO119 SRJ119:SRK119 TBF119:TBG119 TLB119:TLC119 TUX119:TUY119 UET119:UEU119 UOP119:UOQ119 UYL119:UYM119 VIH119:VII119 VSD119:VSE119 WBZ119:WCA119 WLV119:WLW119 WVR119:WVS119 I65655:J65655 JF65655:JG65655 TB65655:TC65655 ACX65655:ACY65655 AMT65655:AMU65655 AWP65655:AWQ65655 BGL65655:BGM65655 BQH65655:BQI65655 CAD65655:CAE65655 CJZ65655:CKA65655 CTV65655:CTW65655 DDR65655:DDS65655 DNN65655:DNO65655 DXJ65655:DXK65655 EHF65655:EHG65655 ERB65655:ERC65655 FAX65655:FAY65655 FKT65655:FKU65655 FUP65655:FUQ65655 GEL65655:GEM65655 GOH65655:GOI65655 GYD65655:GYE65655 HHZ65655:HIA65655 HRV65655:HRW65655 IBR65655:IBS65655 ILN65655:ILO65655 IVJ65655:IVK65655 JFF65655:JFG65655 JPB65655:JPC65655 JYX65655:JYY65655 KIT65655:KIU65655 KSP65655:KSQ65655 LCL65655:LCM65655 LMH65655:LMI65655 LWD65655:LWE65655 MFZ65655:MGA65655 MPV65655:MPW65655 MZR65655:MZS65655 NJN65655:NJO65655 NTJ65655:NTK65655 ODF65655:ODG65655 ONB65655:ONC65655 OWX65655:OWY65655 PGT65655:PGU65655 PQP65655:PQQ65655 QAL65655:QAM65655 QKH65655:QKI65655 QUD65655:QUE65655 RDZ65655:REA65655 RNV65655:RNW65655 RXR65655:RXS65655 SHN65655:SHO65655 SRJ65655:SRK65655 TBF65655:TBG65655 TLB65655:TLC65655 TUX65655:TUY65655 UET65655:UEU65655 UOP65655:UOQ65655 UYL65655:UYM65655 VIH65655:VII65655 VSD65655:VSE65655 WBZ65655:WCA65655 WLV65655:WLW65655 WVR65655:WVS65655 I131191:J131191 JF131191:JG131191 TB131191:TC131191 ACX131191:ACY131191 AMT131191:AMU131191 AWP131191:AWQ131191 BGL131191:BGM131191 BQH131191:BQI131191 CAD131191:CAE131191 CJZ131191:CKA131191 CTV131191:CTW131191 DDR131191:DDS131191 DNN131191:DNO131191 DXJ131191:DXK131191 EHF131191:EHG131191 ERB131191:ERC131191 FAX131191:FAY131191 FKT131191:FKU131191 FUP131191:FUQ131191 GEL131191:GEM131191 GOH131191:GOI131191 GYD131191:GYE131191 HHZ131191:HIA131191 HRV131191:HRW131191 IBR131191:IBS131191 ILN131191:ILO131191 IVJ131191:IVK131191 JFF131191:JFG131191 JPB131191:JPC131191 JYX131191:JYY131191 KIT131191:KIU131191 KSP131191:KSQ131191 LCL131191:LCM131191 LMH131191:LMI131191 LWD131191:LWE131191 MFZ131191:MGA131191 MPV131191:MPW131191 MZR131191:MZS131191 NJN131191:NJO131191 NTJ131191:NTK131191 ODF131191:ODG131191 ONB131191:ONC131191 OWX131191:OWY131191 PGT131191:PGU131191 PQP131191:PQQ131191 QAL131191:QAM131191 QKH131191:QKI131191 QUD131191:QUE131191 RDZ131191:REA131191 RNV131191:RNW131191 RXR131191:RXS131191 SHN131191:SHO131191 SRJ131191:SRK131191 TBF131191:TBG131191 TLB131191:TLC131191 TUX131191:TUY131191 UET131191:UEU131191 UOP131191:UOQ131191 UYL131191:UYM131191 VIH131191:VII131191 VSD131191:VSE131191 WBZ131191:WCA131191 WLV131191:WLW131191 WVR131191:WVS131191 I196727:J196727 JF196727:JG196727 TB196727:TC196727 ACX196727:ACY196727 AMT196727:AMU196727 AWP196727:AWQ196727 BGL196727:BGM196727 BQH196727:BQI196727 CAD196727:CAE196727 CJZ196727:CKA196727 CTV196727:CTW196727 DDR196727:DDS196727 DNN196727:DNO196727 DXJ196727:DXK196727 EHF196727:EHG196727 ERB196727:ERC196727 FAX196727:FAY196727 FKT196727:FKU196727 FUP196727:FUQ196727 GEL196727:GEM196727 GOH196727:GOI196727 GYD196727:GYE196727 HHZ196727:HIA196727 HRV196727:HRW196727 IBR196727:IBS196727 ILN196727:ILO196727 IVJ196727:IVK196727 JFF196727:JFG196727 JPB196727:JPC196727 JYX196727:JYY196727 KIT196727:KIU196727 KSP196727:KSQ196727 LCL196727:LCM196727 LMH196727:LMI196727 LWD196727:LWE196727 MFZ196727:MGA196727 MPV196727:MPW196727 MZR196727:MZS196727 NJN196727:NJO196727 NTJ196727:NTK196727 ODF196727:ODG196727 ONB196727:ONC196727 OWX196727:OWY196727 PGT196727:PGU196727 PQP196727:PQQ196727 QAL196727:QAM196727 QKH196727:QKI196727 QUD196727:QUE196727 RDZ196727:REA196727 RNV196727:RNW196727 RXR196727:RXS196727 SHN196727:SHO196727 SRJ196727:SRK196727 TBF196727:TBG196727 TLB196727:TLC196727 TUX196727:TUY196727 UET196727:UEU196727 UOP196727:UOQ196727 UYL196727:UYM196727 VIH196727:VII196727 VSD196727:VSE196727 WBZ196727:WCA196727 WLV196727:WLW196727 WVR196727:WVS196727 I262263:J262263 JF262263:JG262263 TB262263:TC262263 ACX262263:ACY262263 AMT262263:AMU262263 AWP262263:AWQ262263 BGL262263:BGM262263 BQH262263:BQI262263 CAD262263:CAE262263 CJZ262263:CKA262263 CTV262263:CTW262263 DDR262263:DDS262263 DNN262263:DNO262263 DXJ262263:DXK262263 EHF262263:EHG262263 ERB262263:ERC262263 FAX262263:FAY262263 FKT262263:FKU262263 FUP262263:FUQ262263 GEL262263:GEM262263 GOH262263:GOI262263 GYD262263:GYE262263 HHZ262263:HIA262263 HRV262263:HRW262263 IBR262263:IBS262263 ILN262263:ILO262263 IVJ262263:IVK262263 JFF262263:JFG262263 JPB262263:JPC262263 JYX262263:JYY262263 KIT262263:KIU262263 KSP262263:KSQ262263 LCL262263:LCM262263 LMH262263:LMI262263 LWD262263:LWE262263 MFZ262263:MGA262263 MPV262263:MPW262263 MZR262263:MZS262263 NJN262263:NJO262263 NTJ262263:NTK262263 ODF262263:ODG262263 ONB262263:ONC262263 OWX262263:OWY262263 PGT262263:PGU262263 PQP262263:PQQ262263 QAL262263:QAM262263 QKH262263:QKI262263 QUD262263:QUE262263 RDZ262263:REA262263 RNV262263:RNW262263 RXR262263:RXS262263 SHN262263:SHO262263 SRJ262263:SRK262263 TBF262263:TBG262263 TLB262263:TLC262263 TUX262263:TUY262263 UET262263:UEU262263 UOP262263:UOQ262263 UYL262263:UYM262263 VIH262263:VII262263 VSD262263:VSE262263 WBZ262263:WCA262263 WLV262263:WLW262263 WVR262263:WVS262263 I327799:J327799 JF327799:JG327799 TB327799:TC327799 ACX327799:ACY327799 AMT327799:AMU327799 AWP327799:AWQ327799 BGL327799:BGM327799 BQH327799:BQI327799 CAD327799:CAE327799 CJZ327799:CKA327799 CTV327799:CTW327799 DDR327799:DDS327799 DNN327799:DNO327799 DXJ327799:DXK327799 EHF327799:EHG327799 ERB327799:ERC327799 FAX327799:FAY327799 FKT327799:FKU327799 FUP327799:FUQ327799 GEL327799:GEM327799 GOH327799:GOI327799 GYD327799:GYE327799 HHZ327799:HIA327799 HRV327799:HRW327799 IBR327799:IBS327799 ILN327799:ILO327799 IVJ327799:IVK327799 JFF327799:JFG327799 JPB327799:JPC327799 JYX327799:JYY327799 KIT327799:KIU327799 KSP327799:KSQ327799 LCL327799:LCM327799 LMH327799:LMI327799 LWD327799:LWE327799 MFZ327799:MGA327799 MPV327799:MPW327799 MZR327799:MZS327799 NJN327799:NJO327799 NTJ327799:NTK327799 ODF327799:ODG327799 ONB327799:ONC327799 OWX327799:OWY327799 PGT327799:PGU327799 PQP327799:PQQ327799 QAL327799:QAM327799 QKH327799:QKI327799 QUD327799:QUE327799 RDZ327799:REA327799 RNV327799:RNW327799 RXR327799:RXS327799 SHN327799:SHO327799 SRJ327799:SRK327799 TBF327799:TBG327799 TLB327799:TLC327799 TUX327799:TUY327799 UET327799:UEU327799 UOP327799:UOQ327799 UYL327799:UYM327799 VIH327799:VII327799 VSD327799:VSE327799 WBZ327799:WCA327799 WLV327799:WLW327799 WVR327799:WVS327799 I393335:J393335 JF393335:JG393335 TB393335:TC393335 ACX393335:ACY393335 AMT393335:AMU393335 AWP393335:AWQ393335 BGL393335:BGM393335 BQH393335:BQI393335 CAD393335:CAE393335 CJZ393335:CKA393335 CTV393335:CTW393335 DDR393335:DDS393335 DNN393335:DNO393335 DXJ393335:DXK393335 EHF393335:EHG393335 ERB393335:ERC393335 FAX393335:FAY393335 FKT393335:FKU393335 FUP393335:FUQ393335 GEL393335:GEM393335 GOH393335:GOI393335 GYD393335:GYE393335 HHZ393335:HIA393335 HRV393335:HRW393335 IBR393335:IBS393335 ILN393335:ILO393335 IVJ393335:IVK393335 JFF393335:JFG393335 JPB393335:JPC393335 JYX393335:JYY393335 KIT393335:KIU393335 KSP393335:KSQ393335 LCL393335:LCM393335 LMH393335:LMI393335 LWD393335:LWE393335 MFZ393335:MGA393335 MPV393335:MPW393335 MZR393335:MZS393335 NJN393335:NJO393335 NTJ393335:NTK393335 ODF393335:ODG393335 ONB393335:ONC393335 OWX393335:OWY393335 PGT393335:PGU393335 PQP393335:PQQ393335 QAL393335:QAM393335 QKH393335:QKI393335 QUD393335:QUE393335 RDZ393335:REA393335 RNV393335:RNW393335 RXR393335:RXS393335 SHN393335:SHO393335 SRJ393335:SRK393335 TBF393335:TBG393335 TLB393335:TLC393335 TUX393335:TUY393335 UET393335:UEU393335 UOP393335:UOQ393335 UYL393335:UYM393335 VIH393335:VII393335 VSD393335:VSE393335 WBZ393335:WCA393335 WLV393335:WLW393335 WVR393335:WVS393335 I458871:J458871 JF458871:JG458871 TB458871:TC458871 ACX458871:ACY458871 AMT458871:AMU458871 AWP458871:AWQ458871 BGL458871:BGM458871 BQH458871:BQI458871 CAD458871:CAE458871 CJZ458871:CKA458871 CTV458871:CTW458871 DDR458871:DDS458871 DNN458871:DNO458871 DXJ458871:DXK458871 EHF458871:EHG458871 ERB458871:ERC458871 FAX458871:FAY458871 FKT458871:FKU458871 FUP458871:FUQ458871 GEL458871:GEM458871 GOH458871:GOI458871 GYD458871:GYE458871 HHZ458871:HIA458871 HRV458871:HRW458871 IBR458871:IBS458871 ILN458871:ILO458871 IVJ458871:IVK458871 JFF458871:JFG458871 JPB458871:JPC458871 JYX458871:JYY458871 KIT458871:KIU458871 KSP458871:KSQ458871 LCL458871:LCM458871 LMH458871:LMI458871 LWD458871:LWE458871 MFZ458871:MGA458871 MPV458871:MPW458871 MZR458871:MZS458871 NJN458871:NJO458871 NTJ458871:NTK458871 ODF458871:ODG458871 ONB458871:ONC458871 OWX458871:OWY458871 PGT458871:PGU458871 PQP458871:PQQ458871 QAL458871:QAM458871 QKH458871:QKI458871 QUD458871:QUE458871 RDZ458871:REA458871 RNV458871:RNW458871 RXR458871:RXS458871 SHN458871:SHO458871 SRJ458871:SRK458871 TBF458871:TBG458871 TLB458871:TLC458871 TUX458871:TUY458871 UET458871:UEU458871 UOP458871:UOQ458871 UYL458871:UYM458871 VIH458871:VII458871 VSD458871:VSE458871 WBZ458871:WCA458871 WLV458871:WLW458871 WVR458871:WVS458871 I524407:J524407 JF524407:JG524407 TB524407:TC524407 ACX524407:ACY524407 AMT524407:AMU524407 AWP524407:AWQ524407 BGL524407:BGM524407 BQH524407:BQI524407 CAD524407:CAE524407 CJZ524407:CKA524407 CTV524407:CTW524407 DDR524407:DDS524407 DNN524407:DNO524407 DXJ524407:DXK524407 EHF524407:EHG524407 ERB524407:ERC524407 FAX524407:FAY524407 FKT524407:FKU524407 FUP524407:FUQ524407 GEL524407:GEM524407 GOH524407:GOI524407 GYD524407:GYE524407 HHZ524407:HIA524407 HRV524407:HRW524407 IBR524407:IBS524407 ILN524407:ILO524407 IVJ524407:IVK524407 JFF524407:JFG524407 JPB524407:JPC524407 JYX524407:JYY524407 KIT524407:KIU524407 KSP524407:KSQ524407 LCL524407:LCM524407 LMH524407:LMI524407 LWD524407:LWE524407 MFZ524407:MGA524407 MPV524407:MPW524407 MZR524407:MZS524407 NJN524407:NJO524407 NTJ524407:NTK524407 ODF524407:ODG524407 ONB524407:ONC524407 OWX524407:OWY524407 PGT524407:PGU524407 PQP524407:PQQ524407 QAL524407:QAM524407 QKH524407:QKI524407 QUD524407:QUE524407 RDZ524407:REA524407 RNV524407:RNW524407 RXR524407:RXS524407 SHN524407:SHO524407 SRJ524407:SRK524407 TBF524407:TBG524407 TLB524407:TLC524407 TUX524407:TUY524407 UET524407:UEU524407 UOP524407:UOQ524407 UYL524407:UYM524407 VIH524407:VII524407 VSD524407:VSE524407 WBZ524407:WCA524407 WLV524407:WLW524407 WVR524407:WVS524407 I589943:J589943 JF589943:JG589943 TB589943:TC589943 ACX589943:ACY589943 AMT589943:AMU589943 AWP589943:AWQ589943 BGL589943:BGM589943 BQH589943:BQI589943 CAD589943:CAE589943 CJZ589943:CKA589943 CTV589943:CTW589943 DDR589943:DDS589943 DNN589943:DNO589943 DXJ589943:DXK589943 EHF589943:EHG589943 ERB589943:ERC589943 FAX589943:FAY589943 FKT589943:FKU589943 FUP589943:FUQ589943 GEL589943:GEM589943 GOH589943:GOI589943 GYD589943:GYE589943 HHZ589943:HIA589943 HRV589943:HRW589943 IBR589943:IBS589943 ILN589943:ILO589943 IVJ589943:IVK589943 JFF589943:JFG589943 JPB589943:JPC589943 JYX589943:JYY589943 KIT589943:KIU589943 KSP589943:KSQ589943 LCL589943:LCM589943 LMH589943:LMI589943 LWD589943:LWE589943 MFZ589943:MGA589943 MPV589943:MPW589943 MZR589943:MZS589943 NJN589943:NJO589943 NTJ589943:NTK589943 ODF589943:ODG589943 ONB589943:ONC589943 OWX589943:OWY589943 PGT589943:PGU589943 PQP589943:PQQ589943 QAL589943:QAM589943 QKH589943:QKI589943 QUD589943:QUE589943 RDZ589943:REA589943 RNV589943:RNW589943 RXR589943:RXS589943 SHN589943:SHO589943 SRJ589943:SRK589943 TBF589943:TBG589943 TLB589943:TLC589943 TUX589943:TUY589943 UET589943:UEU589943 UOP589943:UOQ589943 UYL589943:UYM589943 VIH589943:VII589943 VSD589943:VSE589943 WBZ589943:WCA589943 WLV589943:WLW589943 WVR589943:WVS589943 I655479:J655479 JF655479:JG655479 TB655479:TC655479 ACX655479:ACY655479 AMT655479:AMU655479 AWP655479:AWQ655479 BGL655479:BGM655479 BQH655479:BQI655479 CAD655479:CAE655479 CJZ655479:CKA655479 CTV655479:CTW655479 DDR655479:DDS655479 DNN655479:DNO655479 DXJ655479:DXK655479 EHF655479:EHG655479 ERB655479:ERC655479 FAX655479:FAY655479 FKT655479:FKU655479 FUP655479:FUQ655479 GEL655479:GEM655479 GOH655479:GOI655479 GYD655479:GYE655479 HHZ655479:HIA655479 HRV655479:HRW655479 IBR655479:IBS655479 ILN655479:ILO655479 IVJ655479:IVK655479 JFF655479:JFG655479 JPB655479:JPC655479 JYX655479:JYY655479 KIT655479:KIU655479 KSP655479:KSQ655479 LCL655479:LCM655479 LMH655479:LMI655479 LWD655479:LWE655479 MFZ655479:MGA655479 MPV655479:MPW655479 MZR655479:MZS655479 NJN655479:NJO655479 NTJ655479:NTK655479 ODF655479:ODG655479 ONB655479:ONC655479 OWX655479:OWY655479 PGT655479:PGU655479 PQP655479:PQQ655479 QAL655479:QAM655479 QKH655479:QKI655479 QUD655479:QUE655479 RDZ655479:REA655479 RNV655479:RNW655479 RXR655479:RXS655479 SHN655479:SHO655479 SRJ655479:SRK655479 TBF655479:TBG655479 TLB655479:TLC655479 TUX655479:TUY655479 UET655479:UEU655479 UOP655479:UOQ655479 UYL655479:UYM655479 VIH655479:VII655479 VSD655479:VSE655479 WBZ655479:WCA655479 WLV655479:WLW655479 WVR655479:WVS655479 I721015:J721015 JF721015:JG721015 TB721015:TC721015 ACX721015:ACY721015 AMT721015:AMU721015 AWP721015:AWQ721015 BGL721015:BGM721015 BQH721015:BQI721015 CAD721015:CAE721015 CJZ721015:CKA721015 CTV721015:CTW721015 DDR721015:DDS721015 DNN721015:DNO721015 DXJ721015:DXK721015 EHF721015:EHG721015 ERB721015:ERC721015 FAX721015:FAY721015 FKT721015:FKU721015 FUP721015:FUQ721015 GEL721015:GEM721015 GOH721015:GOI721015 GYD721015:GYE721015 HHZ721015:HIA721015 HRV721015:HRW721015 IBR721015:IBS721015 ILN721015:ILO721015 IVJ721015:IVK721015 JFF721015:JFG721015 JPB721015:JPC721015 JYX721015:JYY721015 KIT721015:KIU721015 KSP721015:KSQ721015 LCL721015:LCM721015 LMH721015:LMI721015 LWD721015:LWE721015 MFZ721015:MGA721015 MPV721015:MPW721015 MZR721015:MZS721015 NJN721015:NJO721015 NTJ721015:NTK721015 ODF721015:ODG721015 ONB721015:ONC721015 OWX721015:OWY721015 PGT721015:PGU721015 PQP721015:PQQ721015 QAL721015:QAM721015 QKH721015:QKI721015 QUD721015:QUE721015 RDZ721015:REA721015 RNV721015:RNW721015 RXR721015:RXS721015 SHN721015:SHO721015 SRJ721015:SRK721015 TBF721015:TBG721015 TLB721015:TLC721015 TUX721015:TUY721015 UET721015:UEU721015 UOP721015:UOQ721015 UYL721015:UYM721015 VIH721015:VII721015 VSD721015:VSE721015 WBZ721015:WCA721015 WLV721015:WLW721015 WVR721015:WVS721015 I786551:J786551 JF786551:JG786551 TB786551:TC786551 ACX786551:ACY786551 AMT786551:AMU786551 AWP786551:AWQ786551 BGL786551:BGM786551 BQH786551:BQI786551 CAD786551:CAE786551 CJZ786551:CKA786551 CTV786551:CTW786551 DDR786551:DDS786551 DNN786551:DNO786551 DXJ786551:DXK786551 EHF786551:EHG786551 ERB786551:ERC786551 FAX786551:FAY786551 FKT786551:FKU786551 FUP786551:FUQ786551 GEL786551:GEM786551 GOH786551:GOI786551 GYD786551:GYE786551 HHZ786551:HIA786551 HRV786551:HRW786551 IBR786551:IBS786551 ILN786551:ILO786551 IVJ786551:IVK786551 JFF786551:JFG786551 JPB786551:JPC786551 JYX786551:JYY786551 KIT786551:KIU786551 KSP786551:KSQ786551 LCL786551:LCM786551 LMH786551:LMI786551 LWD786551:LWE786551 MFZ786551:MGA786551 MPV786551:MPW786551 MZR786551:MZS786551 NJN786551:NJO786551 NTJ786551:NTK786551 ODF786551:ODG786551 ONB786551:ONC786551 OWX786551:OWY786551 PGT786551:PGU786551 PQP786551:PQQ786551 QAL786551:QAM786551 QKH786551:QKI786551 QUD786551:QUE786551 RDZ786551:REA786551 RNV786551:RNW786551 RXR786551:RXS786551 SHN786551:SHO786551 SRJ786551:SRK786551 TBF786551:TBG786551 TLB786551:TLC786551 TUX786551:TUY786551 UET786551:UEU786551 UOP786551:UOQ786551 UYL786551:UYM786551 VIH786551:VII786551 VSD786551:VSE786551 WBZ786551:WCA786551 WLV786551:WLW786551 WVR786551:WVS786551 I852087:J852087 JF852087:JG852087 TB852087:TC852087 ACX852087:ACY852087 AMT852087:AMU852087 AWP852087:AWQ852087 BGL852087:BGM852087 BQH852087:BQI852087 CAD852087:CAE852087 CJZ852087:CKA852087 CTV852087:CTW852087 DDR852087:DDS852087 DNN852087:DNO852087 DXJ852087:DXK852087 EHF852087:EHG852087 ERB852087:ERC852087 FAX852087:FAY852087 FKT852087:FKU852087 FUP852087:FUQ852087 GEL852087:GEM852087 GOH852087:GOI852087 GYD852087:GYE852087 HHZ852087:HIA852087 HRV852087:HRW852087 IBR852087:IBS852087 ILN852087:ILO852087 IVJ852087:IVK852087 JFF852087:JFG852087 JPB852087:JPC852087 JYX852087:JYY852087 KIT852087:KIU852087 KSP852087:KSQ852087 LCL852087:LCM852087 LMH852087:LMI852087 LWD852087:LWE852087 MFZ852087:MGA852087 MPV852087:MPW852087 MZR852087:MZS852087 NJN852087:NJO852087 NTJ852087:NTK852087 ODF852087:ODG852087 ONB852087:ONC852087 OWX852087:OWY852087 PGT852087:PGU852087 PQP852087:PQQ852087 QAL852087:QAM852087 QKH852087:QKI852087 QUD852087:QUE852087 RDZ852087:REA852087 RNV852087:RNW852087 RXR852087:RXS852087 SHN852087:SHO852087 SRJ852087:SRK852087 TBF852087:TBG852087 TLB852087:TLC852087 TUX852087:TUY852087 UET852087:UEU852087 UOP852087:UOQ852087 UYL852087:UYM852087 VIH852087:VII852087 VSD852087:VSE852087 WBZ852087:WCA852087 WLV852087:WLW852087 WVR852087:WVS852087 I917623:J917623 JF917623:JG917623 TB917623:TC917623 ACX917623:ACY917623 AMT917623:AMU917623 AWP917623:AWQ917623 BGL917623:BGM917623 BQH917623:BQI917623 CAD917623:CAE917623 CJZ917623:CKA917623 CTV917623:CTW917623 DDR917623:DDS917623 DNN917623:DNO917623 DXJ917623:DXK917623 EHF917623:EHG917623 ERB917623:ERC917623 FAX917623:FAY917623 FKT917623:FKU917623 FUP917623:FUQ917623 GEL917623:GEM917623 GOH917623:GOI917623 GYD917623:GYE917623 HHZ917623:HIA917623 HRV917623:HRW917623 IBR917623:IBS917623 ILN917623:ILO917623 IVJ917623:IVK917623 JFF917623:JFG917623 JPB917623:JPC917623 JYX917623:JYY917623 KIT917623:KIU917623 KSP917623:KSQ917623 LCL917623:LCM917623 LMH917623:LMI917623 LWD917623:LWE917623 MFZ917623:MGA917623 MPV917623:MPW917623 MZR917623:MZS917623 NJN917623:NJO917623 NTJ917623:NTK917623 ODF917623:ODG917623 ONB917623:ONC917623 OWX917623:OWY917623 PGT917623:PGU917623 PQP917623:PQQ917623 QAL917623:QAM917623 QKH917623:QKI917623 QUD917623:QUE917623 RDZ917623:REA917623 RNV917623:RNW917623 RXR917623:RXS917623 SHN917623:SHO917623 SRJ917623:SRK917623 TBF917623:TBG917623 TLB917623:TLC917623 TUX917623:TUY917623 UET917623:UEU917623 UOP917623:UOQ917623 UYL917623:UYM917623 VIH917623:VII917623 VSD917623:VSE917623 WBZ917623:WCA917623 WLV917623:WLW917623 WVR917623:WVS917623 I983159:J983159 JF983159:JG983159 TB983159:TC983159 ACX983159:ACY983159 AMT983159:AMU983159 AWP983159:AWQ983159 BGL983159:BGM983159 BQH983159:BQI983159 CAD983159:CAE983159 CJZ983159:CKA983159 CTV983159:CTW983159 DDR983159:DDS983159 DNN983159:DNO983159 DXJ983159:DXK983159 EHF983159:EHG983159 ERB983159:ERC983159 FAX983159:FAY983159 FKT983159:FKU983159 FUP983159:FUQ983159 GEL983159:GEM983159 GOH983159:GOI983159 GYD983159:GYE983159 HHZ983159:HIA983159 HRV983159:HRW983159 IBR983159:IBS983159 ILN983159:ILO983159 IVJ983159:IVK983159 JFF983159:JFG983159 JPB983159:JPC983159 JYX983159:JYY983159 KIT983159:KIU983159 KSP983159:KSQ983159 LCL983159:LCM983159 LMH983159:LMI983159 LWD983159:LWE983159 MFZ983159:MGA983159 MPV983159:MPW983159 MZR983159:MZS983159 NJN983159:NJO983159 NTJ983159:NTK983159 ODF983159:ODG983159 ONB983159:ONC983159 OWX983159:OWY983159 PGT983159:PGU983159 PQP983159:PQQ983159 QAL983159:QAM983159 QKH983159:QKI983159 QUD983159:QUE983159 RDZ983159:REA983159 RNV983159:RNW983159 RXR983159:RXS983159 SHN983159:SHO983159 SRJ983159:SRK983159 TBF983159:TBG983159 TLB983159:TLC983159 TUX983159:TUY983159 UET983159:UEU983159 UOP983159:UOQ983159 UYL983159:UYM983159 VIH983159:VII983159 VSD983159:VSE983159 WBZ983159:WCA983159 WLV983159:WLW983159 WVR983159:WVS983159 J112:J116 JG112:JG116 TC112:TC116 ACY112:ACY116 AMU112:AMU116 AWQ112:AWQ116 BGM112:BGM116 BQI112:BQI116 CAE112:CAE116 CKA112:CKA116 CTW112:CTW116 DDS112:DDS116 DNO112:DNO116 DXK112:DXK116 EHG112:EHG116 ERC112:ERC116 FAY112:FAY116 FKU112:FKU116 FUQ112:FUQ116 GEM112:GEM116 GOI112:GOI116 GYE112:GYE116 HIA112:HIA116 HRW112:HRW116 IBS112:IBS116 ILO112:ILO116 IVK112:IVK116 JFG112:JFG116 JPC112:JPC116 JYY112:JYY116 KIU112:KIU116 KSQ112:KSQ116 LCM112:LCM116 LMI112:LMI116 LWE112:LWE116 MGA112:MGA116 MPW112:MPW116 MZS112:MZS116 NJO112:NJO116 NTK112:NTK116 ODG112:ODG116 ONC112:ONC116 OWY112:OWY116 PGU112:PGU116 PQQ112:PQQ116 QAM112:QAM116 QKI112:QKI116 QUE112:QUE116 REA112:REA116 RNW112:RNW116 RXS112:RXS116 SHO112:SHO116 SRK112:SRK116 TBG112:TBG116 TLC112:TLC116 TUY112:TUY116 UEU112:UEU116 UOQ112:UOQ116 UYM112:UYM116 VII112:VII116 VSE112:VSE116 WCA112:WCA116 WLW112:WLW116 WVS112:WVS116 J65648:J65652 JG65648:JG65652 TC65648:TC65652 ACY65648:ACY65652 AMU65648:AMU65652 AWQ65648:AWQ65652 BGM65648:BGM65652 BQI65648:BQI65652 CAE65648:CAE65652 CKA65648:CKA65652 CTW65648:CTW65652 DDS65648:DDS65652 DNO65648:DNO65652 DXK65648:DXK65652 EHG65648:EHG65652 ERC65648:ERC65652 FAY65648:FAY65652 FKU65648:FKU65652 FUQ65648:FUQ65652 GEM65648:GEM65652 GOI65648:GOI65652 GYE65648:GYE65652 HIA65648:HIA65652 HRW65648:HRW65652 IBS65648:IBS65652 ILO65648:ILO65652 IVK65648:IVK65652 JFG65648:JFG65652 JPC65648:JPC65652 JYY65648:JYY65652 KIU65648:KIU65652 KSQ65648:KSQ65652 LCM65648:LCM65652 LMI65648:LMI65652 LWE65648:LWE65652 MGA65648:MGA65652 MPW65648:MPW65652 MZS65648:MZS65652 NJO65648:NJO65652 NTK65648:NTK65652 ODG65648:ODG65652 ONC65648:ONC65652 OWY65648:OWY65652 PGU65648:PGU65652 PQQ65648:PQQ65652 QAM65648:QAM65652 QKI65648:QKI65652 QUE65648:QUE65652 REA65648:REA65652 RNW65648:RNW65652 RXS65648:RXS65652 SHO65648:SHO65652 SRK65648:SRK65652 TBG65648:TBG65652 TLC65648:TLC65652 TUY65648:TUY65652 UEU65648:UEU65652 UOQ65648:UOQ65652 UYM65648:UYM65652 VII65648:VII65652 VSE65648:VSE65652 WCA65648:WCA65652 WLW65648:WLW65652 WVS65648:WVS65652 J131184:J131188 JG131184:JG131188 TC131184:TC131188 ACY131184:ACY131188 AMU131184:AMU131188 AWQ131184:AWQ131188 BGM131184:BGM131188 BQI131184:BQI131188 CAE131184:CAE131188 CKA131184:CKA131188 CTW131184:CTW131188 DDS131184:DDS131188 DNO131184:DNO131188 DXK131184:DXK131188 EHG131184:EHG131188 ERC131184:ERC131188 FAY131184:FAY131188 FKU131184:FKU131188 FUQ131184:FUQ131188 GEM131184:GEM131188 GOI131184:GOI131188 GYE131184:GYE131188 HIA131184:HIA131188 HRW131184:HRW131188 IBS131184:IBS131188 ILO131184:ILO131188 IVK131184:IVK131188 JFG131184:JFG131188 JPC131184:JPC131188 JYY131184:JYY131188 KIU131184:KIU131188 KSQ131184:KSQ131188 LCM131184:LCM131188 LMI131184:LMI131188 LWE131184:LWE131188 MGA131184:MGA131188 MPW131184:MPW131188 MZS131184:MZS131188 NJO131184:NJO131188 NTK131184:NTK131188 ODG131184:ODG131188 ONC131184:ONC131188 OWY131184:OWY131188 PGU131184:PGU131188 PQQ131184:PQQ131188 QAM131184:QAM131188 QKI131184:QKI131188 QUE131184:QUE131188 REA131184:REA131188 RNW131184:RNW131188 RXS131184:RXS131188 SHO131184:SHO131188 SRK131184:SRK131188 TBG131184:TBG131188 TLC131184:TLC131188 TUY131184:TUY131188 UEU131184:UEU131188 UOQ131184:UOQ131188 UYM131184:UYM131188 VII131184:VII131188 VSE131184:VSE131188 WCA131184:WCA131188 WLW131184:WLW131188 WVS131184:WVS131188 J196720:J196724 JG196720:JG196724 TC196720:TC196724 ACY196720:ACY196724 AMU196720:AMU196724 AWQ196720:AWQ196724 BGM196720:BGM196724 BQI196720:BQI196724 CAE196720:CAE196724 CKA196720:CKA196724 CTW196720:CTW196724 DDS196720:DDS196724 DNO196720:DNO196724 DXK196720:DXK196724 EHG196720:EHG196724 ERC196720:ERC196724 FAY196720:FAY196724 FKU196720:FKU196724 FUQ196720:FUQ196724 GEM196720:GEM196724 GOI196720:GOI196724 GYE196720:GYE196724 HIA196720:HIA196724 HRW196720:HRW196724 IBS196720:IBS196724 ILO196720:ILO196724 IVK196720:IVK196724 JFG196720:JFG196724 JPC196720:JPC196724 JYY196720:JYY196724 KIU196720:KIU196724 KSQ196720:KSQ196724 LCM196720:LCM196724 LMI196720:LMI196724 LWE196720:LWE196724 MGA196720:MGA196724 MPW196720:MPW196724 MZS196720:MZS196724 NJO196720:NJO196724 NTK196720:NTK196724 ODG196720:ODG196724 ONC196720:ONC196724 OWY196720:OWY196724 PGU196720:PGU196724 PQQ196720:PQQ196724 QAM196720:QAM196724 QKI196720:QKI196724 QUE196720:QUE196724 REA196720:REA196724 RNW196720:RNW196724 RXS196720:RXS196724 SHO196720:SHO196724 SRK196720:SRK196724 TBG196720:TBG196724 TLC196720:TLC196724 TUY196720:TUY196724 UEU196720:UEU196724 UOQ196720:UOQ196724 UYM196720:UYM196724 VII196720:VII196724 VSE196720:VSE196724 WCA196720:WCA196724 WLW196720:WLW196724 WVS196720:WVS196724 J262256:J262260 JG262256:JG262260 TC262256:TC262260 ACY262256:ACY262260 AMU262256:AMU262260 AWQ262256:AWQ262260 BGM262256:BGM262260 BQI262256:BQI262260 CAE262256:CAE262260 CKA262256:CKA262260 CTW262256:CTW262260 DDS262256:DDS262260 DNO262256:DNO262260 DXK262256:DXK262260 EHG262256:EHG262260 ERC262256:ERC262260 FAY262256:FAY262260 FKU262256:FKU262260 FUQ262256:FUQ262260 GEM262256:GEM262260 GOI262256:GOI262260 GYE262256:GYE262260 HIA262256:HIA262260 HRW262256:HRW262260 IBS262256:IBS262260 ILO262256:ILO262260 IVK262256:IVK262260 JFG262256:JFG262260 JPC262256:JPC262260 JYY262256:JYY262260 KIU262256:KIU262260 KSQ262256:KSQ262260 LCM262256:LCM262260 LMI262256:LMI262260 LWE262256:LWE262260 MGA262256:MGA262260 MPW262256:MPW262260 MZS262256:MZS262260 NJO262256:NJO262260 NTK262256:NTK262260 ODG262256:ODG262260 ONC262256:ONC262260 OWY262256:OWY262260 PGU262256:PGU262260 PQQ262256:PQQ262260 QAM262256:QAM262260 QKI262256:QKI262260 QUE262256:QUE262260 REA262256:REA262260 RNW262256:RNW262260 RXS262256:RXS262260 SHO262256:SHO262260 SRK262256:SRK262260 TBG262256:TBG262260 TLC262256:TLC262260 TUY262256:TUY262260 UEU262256:UEU262260 UOQ262256:UOQ262260 UYM262256:UYM262260 VII262256:VII262260 VSE262256:VSE262260 WCA262256:WCA262260 WLW262256:WLW262260 WVS262256:WVS262260 J327792:J327796 JG327792:JG327796 TC327792:TC327796 ACY327792:ACY327796 AMU327792:AMU327796 AWQ327792:AWQ327796 BGM327792:BGM327796 BQI327792:BQI327796 CAE327792:CAE327796 CKA327792:CKA327796 CTW327792:CTW327796 DDS327792:DDS327796 DNO327792:DNO327796 DXK327792:DXK327796 EHG327792:EHG327796 ERC327792:ERC327796 FAY327792:FAY327796 FKU327792:FKU327796 FUQ327792:FUQ327796 GEM327792:GEM327796 GOI327792:GOI327796 GYE327792:GYE327796 HIA327792:HIA327796 HRW327792:HRW327796 IBS327792:IBS327796 ILO327792:ILO327796 IVK327792:IVK327796 JFG327792:JFG327796 JPC327792:JPC327796 JYY327792:JYY327796 KIU327792:KIU327796 KSQ327792:KSQ327796 LCM327792:LCM327796 LMI327792:LMI327796 LWE327792:LWE327796 MGA327792:MGA327796 MPW327792:MPW327796 MZS327792:MZS327796 NJO327792:NJO327796 NTK327792:NTK327796 ODG327792:ODG327796 ONC327792:ONC327796 OWY327792:OWY327796 PGU327792:PGU327796 PQQ327792:PQQ327796 QAM327792:QAM327796 QKI327792:QKI327796 QUE327792:QUE327796 REA327792:REA327796 RNW327792:RNW327796 RXS327792:RXS327796 SHO327792:SHO327796 SRK327792:SRK327796 TBG327792:TBG327796 TLC327792:TLC327796 TUY327792:TUY327796 UEU327792:UEU327796 UOQ327792:UOQ327796 UYM327792:UYM327796 VII327792:VII327796 VSE327792:VSE327796 WCA327792:WCA327796 WLW327792:WLW327796 WVS327792:WVS327796 J393328:J393332 JG393328:JG393332 TC393328:TC393332 ACY393328:ACY393332 AMU393328:AMU393332 AWQ393328:AWQ393332 BGM393328:BGM393332 BQI393328:BQI393332 CAE393328:CAE393332 CKA393328:CKA393332 CTW393328:CTW393332 DDS393328:DDS393332 DNO393328:DNO393332 DXK393328:DXK393332 EHG393328:EHG393332 ERC393328:ERC393332 FAY393328:FAY393332 FKU393328:FKU393332 FUQ393328:FUQ393332 GEM393328:GEM393332 GOI393328:GOI393332 GYE393328:GYE393332 HIA393328:HIA393332 HRW393328:HRW393332 IBS393328:IBS393332 ILO393328:ILO393332 IVK393328:IVK393332 JFG393328:JFG393332 JPC393328:JPC393332 JYY393328:JYY393332 KIU393328:KIU393332 KSQ393328:KSQ393332 LCM393328:LCM393332 LMI393328:LMI393332 LWE393328:LWE393332 MGA393328:MGA393332 MPW393328:MPW393332 MZS393328:MZS393332 NJO393328:NJO393332 NTK393328:NTK393332 ODG393328:ODG393332 ONC393328:ONC393332 OWY393328:OWY393332 PGU393328:PGU393332 PQQ393328:PQQ393332 QAM393328:QAM393332 QKI393328:QKI393332 QUE393328:QUE393332 REA393328:REA393332 RNW393328:RNW393332 RXS393328:RXS393332 SHO393328:SHO393332 SRK393328:SRK393332 TBG393328:TBG393332 TLC393328:TLC393332 TUY393328:TUY393332 UEU393328:UEU393332 UOQ393328:UOQ393332 UYM393328:UYM393332 VII393328:VII393332 VSE393328:VSE393332 WCA393328:WCA393332 WLW393328:WLW393332 WVS393328:WVS393332 J458864:J458868 JG458864:JG458868 TC458864:TC458868 ACY458864:ACY458868 AMU458864:AMU458868 AWQ458864:AWQ458868 BGM458864:BGM458868 BQI458864:BQI458868 CAE458864:CAE458868 CKA458864:CKA458868 CTW458864:CTW458868 DDS458864:DDS458868 DNO458864:DNO458868 DXK458864:DXK458868 EHG458864:EHG458868 ERC458864:ERC458868 FAY458864:FAY458868 FKU458864:FKU458868 FUQ458864:FUQ458868 GEM458864:GEM458868 GOI458864:GOI458868 GYE458864:GYE458868 HIA458864:HIA458868 HRW458864:HRW458868 IBS458864:IBS458868 ILO458864:ILO458868 IVK458864:IVK458868 JFG458864:JFG458868 JPC458864:JPC458868 JYY458864:JYY458868 KIU458864:KIU458868 KSQ458864:KSQ458868 LCM458864:LCM458868 LMI458864:LMI458868 LWE458864:LWE458868 MGA458864:MGA458868 MPW458864:MPW458868 MZS458864:MZS458868 NJO458864:NJO458868 NTK458864:NTK458868 ODG458864:ODG458868 ONC458864:ONC458868 OWY458864:OWY458868 PGU458864:PGU458868 PQQ458864:PQQ458868 QAM458864:QAM458868 QKI458864:QKI458868 QUE458864:QUE458868 REA458864:REA458868 RNW458864:RNW458868 RXS458864:RXS458868 SHO458864:SHO458868 SRK458864:SRK458868 TBG458864:TBG458868 TLC458864:TLC458868 TUY458864:TUY458868 UEU458864:UEU458868 UOQ458864:UOQ458868 UYM458864:UYM458868 VII458864:VII458868 VSE458864:VSE458868 WCA458864:WCA458868 WLW458864:WLW458868 WVS458864:WVS458868 J524400:J524404 JG524400:JG524404 TC524400:TC524404 ACY524400:ACY524404 AMU524400:AMU524404 AWQ524400:AWQ524404 BGM524400:BGM524404 BQI524400:BQI524404 CAE524400:CAE524404 CKA524400:CKA524404 CTW524400:CTW524404 DDS524400:DDS524404 DNO524400:DNO524404 DXK524400:DXK524404 EHG524400:EHG524404 ERC524400:ERC524404 FAY524400:FAY524404 FKU524400:FKU524404 FUQ524400:FUQ524404 GEM524400:GEM524404 GOI524400:GOI524404 GYE524400:GYE524404 HIA524400:HIA524404 HRW524400:HRW524404 IBS524400:IBS524404 ILO524400:ILO524404 IVK524400:IVK524404 JFG524400:JFG524404 JPC524400:JPC524404 JYY524400:JYY524404 KIU524400:KIU524404 KSQ524400:KSQ524404 LCM524400:LCM524404 LMI524400:LMI524404 LWE524400:LWE524404 MGA524400:MGA524404 MPW524400:MPW524404 MZS524400:MZS524404 NJO524400:NJO524404 NTK524400:NTK524404 ODG524400:ODG524404 ONC524400:ONC524404 OWY524400:OWY524404 PGU524400:PGU524404 PQQ524400:PQQ524404 QAM524400:QAM524404 QKI524400:QKI524404 QUE524400:QUE524404 REA524400:REA524404 RNW524400:RNW524404 RXS524400:RXS524404 SHO524400:SHO524404 SRK524400:SRK524404 TBG524400:TBG524404 TLC524400:TLC524404 TUY524400:TUY524404 UEU524400:UEU524404 UOQ524400:UOQ524404 UYM524400:UYM524404 VII524400:VII524404 VSE524400:VSE524404 WCA524400:WCA524404 WLW524400:WLW524404 WVS524400:WVS524404 J589936:J589940 JG589936:JG589940 TC589936:TC589940 ACY589936:ACY589940 AMU589936:AMU589940 AWQ589936:AWQ589940 BGM589936:BGM589940 BQI589936:BQI589940 CAE589936:CAE589940 CKA589936:CKA589940 CTW589936:CTW589940 DDS589936:DDS589940 DNO589936:DNO589940 DXK589936:DXK589940 EHG589936:EHG589940 ERC589936:ERC589940 FAY589936:FAY589940 FKU589936:FKU589940 FUQ589936:FUQ589940 GEM589936:GEM589940 GOI589936:GOI589940 GYE589936:GYE589940 HIA589936:HIA589940 HRW589936:HRW589940 IBS589936:IBS589940 ILO589936:ILO589940 IVK589936:IVK589940 JFG589936:JFG589940 JPC589936:JPC589940 JYY589936:JYY589940 KIU589936:KIU589940 KSQ589936:KSQ589940 LCM589936:LCM589940 LMI589936:LMI589940 LWE589936:LWE589940 MGA589936:MGA589940 MPW589936:MPW589940 MZS589936:MZS589940 NJO589936:NJO589940 NTK589936:NTK589940 ODG589936:ODG589940 ONC589936:ONC589940 OWY589936:OWY589940 PGU589936:PGU589940 PQQ589936:PQQ589940 QAM589936:QAM589940 QKI589936:QKI589940 QUE589936:QUE589940 REA589936:REA589940 RNW589936:RNW589940 RXS589936:RXS589940 SHO589936:SHO589940 SRK589936:SRK589940 TBG589936:TBG589940 TLC589936:TLC589940 TUY589936:TUY589940 UEU589936:UEU589940 UOQ589936:UOQ589940 UYM589936:UYM589940 VII589936:VII589940 VSE589936:VSE589940 WCA589936:WCA589940 WLW589936:WLW589940 WVS589936:WVS589940 J655472:J655476 JG655472:JG655476 TC655472:TC655476 ACY655472:ACY655476 AMU655472:AMU655476 AWQ655472:AWQ655476 BGM655472:BGM655476 BQI655472:BQI655476 CAE655472:CAE655476 CKA655472:CKA655476 CTW655472:CTW655476 DDS655472:DDS655476 DNO655472:DNO655476 DXK655472:DXK655476 EHG655472:EHG655476 ERC655472:ERC655476 FAY655472:FAY655476 FKU655472:FKU655476 FUQ655472:FUQ655476 GEM655472:GEM655476 GOI655472:GOI655476 GYE655472:GYE655476 HIA655472:HIA655476 HRW655472:HRW655476 IBS655472:IBS655476 ILO655472:ILO655476 IVK655472:IVK655476 JFG655472:JFG655476 JPC655472:JPC655476 JYY655472:JYY655476 KIU655472:KIU655476 KSQ655472:KSQ655476 LCM655472:LCM655476 LMI655472:LMI655476 LWE655472:LWE655476 MGA655472:MGA655476 MPW655472:MPW655476 MZS655472:MZS655476 NJO655472:NJO655476 NTK655472:NTK655476 ODG655472:ODG655476 ONC655472:ONC655476 OWY655472:OWY655476 PGU655472:PGU655476 PQQ655472:PQQ655476 QAM655472:QAM655476 QKI655472:QKI655476 QUE655472:QUE655476 REA655472:REA655476 RNW655472:RNW655476 RXS655472:RXS655476 SHO655472:SHO655476 SRK655472:SRK655476 TBG655472:TBG655476 TLC655472:TLC655476 TUY655472:TUY655476 UEU655472:UEU655476 UOQ655472:UOQ655476 UYM655472:UYM655476 VII655472:VII655476 VSE655472:VSE655476 WCA655472:WCA655476 WLW655472:WLW655476 WVS655472:WVS655476 J721008:J721012 JG721008:JG721012 TC721008:TC721012 ACY721008:ACY721012 AMU721008:AMU721012 AWQ721008:AWQ721012 BGM721008:BGM721012 BQI721008:BQI721012 CAE721008:CAE721012 CKA721008:CKA721012 CTW721008:CTW721012 DDS721008:DDS721012 DNO721008:DNO721012 DXK721008:DXK721012 EHG721008:EHG721012 ERC721008:ERC721012 FAY721008:FAY721012 FKU721008:FKU721012 FUQ721008:FUQ721012 GEM721008:GEM721012 GOI721008:GOI721012 GYE721008:GYE721012 HIA721008:HIA721012 HRW721008:HRW721012 IBS721008:IBS721012 ILO721008:ILO721012 IVK721008:IVK721012 JFG721008:JFG721012 JPC721008:JPC721012 JYY721008:JYY721012 KIU721008:KIU721012 KSQ721008:KSQ721012 LCM721008:LCM721012 LMI721008:LMI721012 LWE721008:LWE721012 MGA721008:MGA721012 MPW721008:MPW721012 MZS721008:MZS721012 NJO721008:NJO721012 NTK721008:NTK721012 ODG721008:ODG721012 ONC721008:ONC721012 OWY721008:OWY721012 PGU721008:PGU721012 PQQ721008:PQQ721012 QAM721008:QAM721012 QKI721008:QKI721012 QUE721008:QUE721012 REA721008:REA721012 RNW721008:RNW721012 RXS721008:RXS721012 SHO721008:SHO721012 SRK721008:SRK721012 TBG721008:TBG721012 TLC721008:TLC721012 TUY721008:TUY721012 UEU721008:UEU721012 UOQ721008:UOQ721012 UYM721008:UYM721012 VII721008:VII721012 VSE721008:VSE721012 WCA721008:WCA721012 WLW721008:WLW721012 WVS721008:WVS721012 J786544:J786548 JG786544:JG786548 TC786544:TC786548 ACY786544:ACY786548 AMU786544:AMU786548 AWQ786544:AWQ786548 BGM786544:BGM786548 BQI786544:BQI786548 CAE786544:CAE786548 CKA786544:CKA786548 CTW786544:CTW786548 DDS786544:DDS786548 DNO786544:DNO786548 DXK786544:DXK786548 EHG786544:EHG786548 ERC786544:ERC786548 FAY786544:FAY786548 FKU786544:FKU786548 FUQ786544:FUQ786548 GEM786544:GEM786548 GOI786544:GOI786548 GYE786544:GYE786548 HIA786544:HIA786548 HRW786544:HRW786548 IBS786544:IBS786548 ILO786544:ILO786548 IVK786544:IVK786548 JFG786544:JFG786548 JPC786544:JPC786548 JYY786544:JYY786548 KIU786544:KIU786548 KSQ786544:KSQ786548 LCM786544:LCM786548 LMI786544:LMI786548 LWE786544:LWE786548 MGA786544:MGA786548 MPW786544:MPW786548 MZS786544:MZS786548 NJO786544:NJO786548 NTK786544:NTK786548 ODG786544:ODG786548 ONC786544:ONC786548 OWY786544:OWY786548 PGU786544:PGU786548 PQQ786544:PQQ786548 QAM786544:QAM786548 QKI786544:QKI786548 QUE786544:QUE786548 REA786544:REA786548 RNW786544:RNW786548 RXS786544:RXS786548 SHO786544:SHO786548 SRK786544:SRK786548 TBG786544:TBG786548 TLC786544:TLC786548 TUY786544:TUY786548 UEU786544:UEU786548 UOQ786544:UOQ786548 UYM786544:UYM786548 VII786544:VII786548 VSE786544:VSE786548 WCA786544:WCA786548 WLW786544:WLW786548 WVS786544:WVS786548 J852080:J852084 JG852080:JG852084 TC852080:TC852084 ACY852080:ACY852084 AMU852080:AMU852084 AWQ852080:AWQ852084 BGM852080:BGM852084 BQI852080:BQI852084 CAE852080:CAE852084 CKA852080:CKA852084 CTW852080:CTW852084 DDS852080:DDS852084 DNO852080:DNO852084 DXK852080:DXK852084 EHG852080:EHG852084 ERC852080:ERC852084 FAY852080:FAY852084 FKU852080:FKU852084 FUQ852080:FUQ852084 GEM852080:GEM852084 GOI852080:GOI852084 GYE852080:GYE852084 HIA852080:HIA852084 HRW852080:HRW852084 IBS852080:IBS852084 ILO852080:ILO852084 IVK852080:IVK852084 JFG852080:JFG852084 JPC852080:JPC852084 JYY852080:JYY852084 KIU852080:KIU852084 KSQ852080:KSQ852084 LCM852080:LCM852084 LMI852080:LMI852084 LWE852080:LWE852084 MGA852080:MGA852084 MPW852080:MPW852084 MZS852080:MZS852084 NJO852080:NJO852084 NTK852080:NTK852084 ODG852080:ODG852084 ONC852080:ONC852084 OWY852080:OWY852084 PGU852080:PGU852084 PQQ852080:PQQ852084 QAM852080:QAM852084 QKI852080:QKI852084 QUE852080:QUE852084 REA852080:REA852084 RNW852080:RNW852084 RXS852080:RXS852084 SHO852080:SHO852084 SRK852080:SRK852084 TBG852080:TBG852084 TLC852080:TLC852084 TUY852080:TUY852084 UEU852080:UEU852084 UOQ852080:UOQ852084 UYM852080:UYM852084 VII852080:VII852084 VSE852080:VSE852084 WCA852080:WCA852084 WLW852080:WLW852084 WVS852080:WVS852084 J917616:J917620 JG917616:JG917620 TC917616:TC917620 ACY917616:ACY917620 AMU917616:AMU917620 AWQ917616:AWQ917620 BGM917616:BGM917620 BQI917616:BQI917620 CAE917616:CAE917620 CKA917616:CKA917620 CTW917616:CTW917620 DDS917616:DDS917620 DNO917616:DNO917620 DXK917616:DXK917620 EHG917616:EHG917620 ERC917616:ERC917620 FAY917616:FAY917620 FKU917616:FKU917620 FUQ917616:FUQ917620 GEM917616:GEM917620 GOI917616:GOI917620 GYE917616:GYE917620 HIA917616:HIA917620 HRW917616:HRW917620 IBS917616:IBS917620 ILO917616:ILO917620 IVK917616:IVK917620 JFG917616:JFG917620 JPC917616:JPC917620 JYY917616:JYY917620 KIU917616:KIU917620 KSQ917616:KSQ917620 LCM917616:LCM917620 LMI917616:LMI917620 LWE917616:LWE917620 MGA917616:MGA917620 MPW917616:MPW917620 MZS917616:MZS917620 NJO917616:NJO917620 NTK917616:NTK917620 ODG917616:ODG917620 ONC917616:ONC917620 OWY917616:OWY917620 PGU917616:PGU917620 PQQ917616:PQQ917620 QAM917616:QAM917620 QKI917616:QKI917620 QUE917616:QUE917620 REA917616:REA917620 RNW917616:RNW917620 RXS917616:RXS917620 SHO917616:SHO917620 SRK917616:SRK917620 TBG917616:TBG917620 TLC917616:TLC917620 TUY917616:TUY917620 UEU917616:UEU917620 UOQ917616:UOQ917620 UYM917616:UYM917620 VII917616:VII917620 VSE917616:VSE917620 WCA917616:WCA917620 WLW917616:WLW917620 WVS917616:WVS917620 J983152:J983156 JG983152:JG983156 TC983152:TC983156 ACY983152:ACY983156 AMU983152:AMU983156 AWQ983152:AWQ983156 BGM983152:BGM983156 BQI983152:BQI983156 CAE983152:CAE983156 CKA983152:CKA983156 CTW983152:CTW983156 DDS983152:DDS983156 DNO983152:DNO983156 DXK983152:DXK983156 EHG983152:EHG983156 ERC983152:ERC983156 FAY983152:FAY983156 FKU983152:FKU983156 FUQ983152:FUQ983156 GEM983152:GEM983156 GOI983152:GOI983156 GYE983152:GYE983156 HIA983152:HIA983156 HRW983152:HRW983156 IBS983152:IBS983156 ILO983152:ILO983156 IVK983152:IVK983156 JFG983152:JFG983156 JPC983152:JPC983156 JYY983152:JYY983156 KIU983152:KIU983156 KSQ983152:KSQ983156 LCM983152:LCM983156 LMI983152:LMI983156 LWE983152:LWE983156 MGA983152:MGA983156 MPW983152:MPW983156 MZS983152:MZS983156 NJO983152:NJO983156 NTK983152:NTK983156 ODG983152:ODG983156 ONC983152:ONC983156 OWY983152:OWY983156 PGU983152:PGU983156 PQQ983152:PQQ983156 QAM983152:QAM983156 QKI983152:QKI983156 QUE983152:QUE983156 REA983152:REA983156 RNW983152:RNW983156 RXS983152:RXS983156 SHO983152:SHO983156 SRK983152:SRK983156 TBG983152:TBG983156 TLC983152:TLC983156 TUY983152:TUY983156 UEU983152:UEU983156 UOQ983152:UOQ983156 UYM983152:UYM983156 VII983152:VII983156 VSE983152:VSE983156 WCA983152:WCA983156 WLW983152:WLW983156 WVS983152:WVS983156 I114:I116 JF114:JF116 TB114:TB116 ACX114:ACX116 AMT114:AMT116 AWP114:AWP116 BGL114:BGL116 BQH114:BQH116 CAD114:CAD116 CJZ114:CJZ116 CTV114:CTV116 DDR114:DDR116 DNN114:DNN116 DXJ114:DXJ116 EHF114:EHF116 ERB114:ERB116 FAX114:FAX116 FKT114:FKT116 FUP114:FUP116 GEL114:GEL116 GOH114:GOH116 GYD114:GYD116 HHZ114:HHZ116 HRV114:HRV116 IBR114:IBR116 ILN114:ILN116 IVJ114:IVJ116 JFF114:JFF116 JPB114:JPB116 JYX114:JYX116 KIT114:KIT116 KSP114:KSP116 LCL114:LCL116 LMH114:LMH116 LWD114:LWD116 MFZ114:MFZ116 MPV114:MPV116 MZR114:MZR116 NJN114:NJN116 NTJ114:NTJ116 ODF114:ODF116 ONB114:ONB116 OWX114:OWX116 PGT114:PGT116 PQP114:PQP116 QAL114:QAL116 QKH114:QKH116 QUD114:QUD116 RDZ114:RDZ116 RNV114:RNV116 RXR114:RXR116 SHN114:SHN116 SRJ114:SRJ116 TBF114:TBF116 TLB114:TLB116 TUX114:TUX116 UET114:UET116 UOP114:UOP116 UYL114:UYL116 VIH114:VIH116 VSD114:VSD116 WBZ114:WBZ116 WLV114:WLV116 WVR114:WVR116 I65650:I65652 JF65650:JF65652 TB65650:TB65652 ACX65650:ACX65652 AMT65650:AMT65652 AWP65650:AWP65652 BGL65650:BGL65652 BQH65650:BQH65652 CAD65650:CAD65652 CJZ65650:CJZ65652 CTV65650:CTV65652 DDR65650:DDR65652 DNN65650:DNN65652 DXJ65650:DXJ65652 EHF65650:EHF65652 ERB65650:ERB65652 FAX65650:FAX65652 FKT65650:FKT65652 FUP65650:FUP65652 GEL65650:GEL65652 GOH65650:GOH65652 GYD65650:GYD65652 HHZ65650:HHZ65652 HRV65650:HRV65652 IBR65650:IBR65652 ILN65650:ILN65652 IVJ65650:IVJ65652 JFF65650:JFF65652 JPB65650:JPB65652 JYX65650:JYX65652 KIT65650:KIT65652 KSP65650:KSP65652 LCL65650:LCL65652 LMH65650:LMH65652 LWD65650:LWD65652 MFZ65650:MFZ65652 MPV65650:MPV65652 MZR65650:MZR65652 NJN65650:NJN65652 NTJ65650:NTJ65652 ODF65650:ODF65652 ONB65650:ONB65652 OWX65650:OWX65652 PGT65650:PGT65652 PQP65650:PQP65652 QAL65650:QAL65652 QKH65650:QKH65652 QUD65650:QUD65652 RDZ65650:RDZ65652 RNV65650:RNV65652 RXR65650:RXR65652 SHN65650:SHN65652 SRJ65650:SRJ65652 TBF65650:TBF65652 TLB65650:TLB65652 TUX65650:TUX65652 UET65650:UET65652 UOP65650:UOP65652 UYL65650:UYL65652 VIH65650:VIH65652 VSD65650:VSD65652 WBZ65650:WBZ65652 WLV65650:WLV65652 WVR65650:WVR65652 I131186:I131188 JF131186:JF131188 TB131186:TB131188 ACX131186:ACX131188 AMT131186:AMT131188 AWP131186:AWP131188 BGL131186:BGL131188 BQH131186:BQH131188 CAD131186:CAD131188 CJZ131186:CJZ131188 CTV131186:CTV131188 DDR131186:DDR131188 DNN131186:DNN131188 DXJ131186:DXJ131188 EHF131186:EHF131188 ERB131186:ERB131188 FAX131186:FAX131188 FKT131186:FKT131188 FUP131186:FUP131188 GEL131186:GEL131188 GOH131186:GOH131188 GYD131186:GYD131188 HHZ131186:HHZ131188 HRV131186:HRV131188 IBR131186:IBR131188 ILN131186:ILN131188 IVJ131186:IVJ131188 JFF131186:JFF131188 JPB131186:JPB131188 JYX131186:JYX131188 KIT131186:KIT131188 KSP131186:KSP131188 LCL131186:LCL131188 LMH131186:LMH131188 LWD131186:LWD131188 MFZ131186:MFZ131188 MPV131186:MPV131188 MZR131186:MZR131188 NJN131186:NJN131188 NTJ131186:NTJ131188 ODF131186:ODF131188 ONB131186:ONB131188 OWX131186:OWX131188 PGT131186:PGT131188 PQP131186:PQP131188 QAL131186:QAL131188 QKH131186:QKH131188 QUD131186:QUD131188 RDZ131186:RDZ131188 RNV131186:RNV131188 RXR131186:RXR131188 SHN131186:SHN131188 SRJ131186:SRJ131188 TBF131186:TBF131188 TLB131186:TLB131188 TUX131186:TUX131188 UET131186:UET131188 UOP131186:UOP131188 UYL131186:UYL131188 VIH131186:VIH131188 VSD131186:VSD131188 WBZ131186:WBZ131188 WLV131186:WLV131188 WVR131186:WVR131188 I196722:I196724 JF196722:JF196724 TB196722:TB196724 ACX196722:ACX196724 AMT196722:AMT196724 AWP196722:AWP196724 BGL196722:BGL196724 BQH196722:BQH196724 CAD196722:CAD196724 CJZ196722:CJZ196724 CTV196722:CTV196724 DDR196722:DDR196724 DNN196722:DNN196724 DXJ196722:DXJ196724 EHF196722:EHF196724 ERB196722:ERB196724 FAX196722:FAX196724 FKT196722:FKT196724 FUP196722:FUP196724 GEL196722:GEL196724 GOH196722:GOH196724 GYD196722:GYD196724 HHZ196722:HHZ196724 HRV196722:HRV196724 IBR196722:IBR196724 ILN196722:ILN196724 IVJ196722:IVJ196724 JFF196722:JFF196724 JPB196722:JPB196724 JYX196722:JYX196724 KIT196722:KIT196724 KSP196722:KSP196724 LCL196722:LCL196724 LMH196722:LMH196724 LWD196722:LWD196724 MFZ196722:MFZ196724 MPV196722:MPV196724 MZR196722:MZR196724 NJN196722:NJN196724 NTJ196722:NTJ196724 ODF196722:ODF196724 ONB196722:ONB196724 OWX196722:OWX196724 PGT196722:PGT196724 PQP196722:PQP196724 QAL196722:QAL196724 QKH196722:QKH196724 QUD196722:QUD196724 RDZ196722:RDZ196724 RNV196722:RNV196724 RXR196722:RXR196724 SHN196722:SHN196724 SRJ196722:SRJ196724 TBF196722:TBF196724 TLB196722:TLB196724 TUX196722:TUX196724 UET196722:UET196724 UOP196722:UOP196724 UYL196722:UYL196724 VIH196722:VIH196724 VSD196722:VSD196724 WBZ196722:WBZ196724 WLV196722:WLV196724 WVR196722:WVR196724 I262258:I262260 JF262258:JF262260 TB262258:TB262260 ACX262258:ACX262260 AMT262258:AMT262260 AWP262258:AWP262260 BGL262258:BGL262260 BQH262258:BQH262260 CAD262258:CAD262260 CJZ262258:CJZ262260 CTV262258:CTV262260 DDR262258:DDR262260 DNN262258:DNN262260 DXJ262258:DXJ262260 EHF262258:EHF262260 ERB262258:ERB262260 FAX262258:FAX262260 FKT262258:FKT262260 FUP262258:FUP262260 GEL262258:GEL262260 GOH262258:GOH262260 GYD262258:GYD262260 HHZ262258:HHZ262260 HRV262258:HRV262260 IBR262258:IBR262260 ILN262258:ILN262260 IVJ262258:IVJ262260 JFF262258:JFF262260 JPB262258:JPB262260 JYX262258:JYX262260 KIT262258:KIT262260 KSP262258:KSP262260 LCL262258:LCL262260 LMH262258:LMH262260 LWD262258:LWD262260 MFZ262258:MFZ262260 MPV262258:MPV262260 MZR262258:MZR262260 NJN262258:NJN262260 NTJ262258:NTJ262260 ODF262258:ODF262260 ONB262258:ONB262260 OWX262258:OWX262260 PGT262258:PGT262260 PQP262258:PQP262260 QAL262258:QAL262260 QKH262258:QKH262260 QUD262258:QUD262260 RDZ262258:RDZ262260 RNV262258:RNV262260 RXR262258:RXR262260 SHN262258:SHN262260 SRJ262258:SRJ262260 TBF262258:TBF262260 TLB262258:TLB262260 TUX262258:TUX262260 UET262258:UET262260 UOP262258:UOP262260 UYL262258:UYL262260 VIH262258:VIH262260 VSD262258:VSD262260 WBZ262258:WBZ262260 WLV262258:WLV262260 WVR262258:WVR262260 I327794:I327796 JF327794:JF327796 TB327794:TB327796 ACX327794:ACX327796 AMT327794:AMT327796 AWP327794:AWP327796 BGL327794:BGL327796 BQH327794:BQH327796 CAD327794:CAD327796 CJZ327794:CJZ327796 CTV327794:CTV327796 DDR327794:DDR327796 DNN327794:DNN327796 DXJ327794:DXJ327796 EHF327794:EHF327796 ERB327794:ERB327796 FAX327794:FAX327796 FKT327794:FKT327796 FUP327794:FUP327796 GEL327794:GEL327796 GOH327794:GOH327796 GYD327794:GYD327796 HHZ327794:HHZ327796 HRV327794:HRV327796 IBR327794:IBR327796 ILN327794:ILN327796 IVJ327794:IVJ327796 JFF327794:JFF327796 JPB327794:JPB327796 JYX327794:JYX327796 KIT327794:KIT327796 KSP327794:KSP327796 LCL327794:LCL327796 LMH327794:LMH327796 LWD327794:LWD327796 MFZ327794:MFZ327796 MPV327794:MPV327796 MZR327794:MZR327796 NJN327794:NJN327796 NTJ327794:NTJ327796 ODF327794:ODF327796 ONB327794:ONB327796 OWX327794:OWX327796 PGT327794:PGT327796 PQP327794:PQP327796 QAL327794:QAL327796 QKH327794:QKH327796 QUD327794:QUD327796 RDZ327794:RDZ327796 RNV327794:RNV327796 RXR327794:RXR327796 SHN327794:SHN327796 SRJ327794:SRJ327796 TBF327794:TBF327796 TLB327794:TLB327796 TUX327794:TUX327796 UET327794:UET327796 UOP327794:UOP327796 UYL327794:UYL327796 VIH327794:VIH327796 VSD327794:VSD327796 WBZ327794:WBZ327796 WLV327794:WLV327796 WVR327794:WVR327796 I393330:I393332 JF393330:JF393332 TB393330:TB393332 ACX393330:ACX393332 AMT393330:AMT393332 AWP393330:AWP393332 BGL393330:BGL393332 BQH393330:BQH393332 CAD393330:CAD393332 CJZ393330:CJZ393332 CTV393330:CTV393332 DDR393330:DDR393332 DNN393330:DNN393332 DXJ393330:DXJ393332 EHF393330:EHF393332 ERB393330:ERB393332 FAX393330:FAX393332 FKT393330:FKT393332 FUP393330:FUP393332 GEL393330:GEL393332 GOH393330:GOH393332 GYD393330:GYD393332 HHZ393330:HHZ393332 HRV393330:HRV393332 IBR393330:IBR393332 ILN393330:ILN393332 IVJ393330:IVJ393332 JFF393330:JFF393332 JPB393330:JPB393332 JYX393330:JYX393332 KIT393330:KIT393332 KSP393330:KSP393332 LCL393330:LCL393332 LMH393330:LMH393332 LWD393330:LWD393332 MFZ393330:MFZ393332 MPV393330:MPV393332 MZR393330:MZR393332 NJN393330:NJN393332 NTJ393330:NTJ393332 ODF393330:ODF393332 ONB393330:ONB393332 OWX393330:OWX393332 PGT393330:PGT393332 PQP393330:PQP393332 QAL393330:QAL393332 QKH393330:QKH393332 QUD393330:QUD393332 RDZ393330:RDZ393332 RNV393330:RNV393332 RXR393330:RXR393332 SHN393330:SHN393332 SRJ393330:SRJ393332 TBF393330:TBF393332 TLB393330:TLB393332 TUX393330:TUX393332 UET393330:UET393332 UOP393330:UOP393332 UYL393330:UYL393332 VIH393330:VIH393332 VSD393330:VSD393332 WBZ393330:WBZ393332 WLV393330:WLV393332 WVR393330:WVR393332 I458866:I458868 JF458866:JF458868 TB458866:TB458868 ACX458866:ACX458868 AMT458866:AMT458868 AWP458866:AWP458868 BGL458866:BGL458868 BQH458866:BQH458868 CAD458866:CAD458868 CJZ458866:CJZ458868 CTV458866:CTV458868 DDR458866:DDR458868 DNN458866:DNN458868 DXJ458866:DXJ458868 EHF458866:EHF458868 ERB458866:ERB458868 FAX458866:FAX458868 FKT458866:FKT458868 FUP458866:FUP458868 GEL458866:GEL458868 GOH458866:GOH458868 GYD458866:GYD458868 HHZ458866:HHZ458868 HRV458866:HRV458868 IBR458866:IBR458868 ILN458866:ILN458868 IVJ458866:IVJ458868 JFF458866:JFF458868 JPB458866:JPB458868 JYX458866:JYX458868 KIT458866:KIT458868 KSP458866:KSP458868 LCL458866:LCL458868 LMH458866:LMH458868 LWD458866:LWD458868 MFZ458866:MFZ458868 MPV458866:MPV458868 MZR458866:MZR458868 NJN458866:NJN458868 NTJ458866:NTJ458868 ODF458866:ODF458868 ONB458866:ONB458868 OWX458866:OWX458868 PGT458866:PGT458868 PQP458866:PQP458868 QAL458866:QAL458868 QKH458866:QKH458868 QUD458866:QUD458868 RDZ458866:RDZ458868 RNV458866:RNV458868 RXR458866:RXR458868 SHN458866:SHN458868 SRJ458866:SRJ458868 TBF458866:TBF458868 TLB458866:TLB458868 TUX458866:TUX458868 UET458866:UET458868 UOP458866:UOP458868 UYL458866:UYL458868 VIH458866:VIH458868 VSD458866:VSD458868 WBZ458866:WBZ458868 WLV458866:WLV458868 WVR458866:WVR458868 I524402:I524404 JF524402:JF524404 TB524402:TB524404 ACX524402:ACX524404 AMT524402:AMT524404 AWP524402:AWP524404 BGL524402:BGL524404 BQH524402:BQH524404 CAD524402:CAD524404 CJZ524402:CJZ524404 CTV524402:CTV524404 DDR524402:DDR524404 DNN524402:DNN524404 DXJ524402:DXJ524404 EHF524402:EHF524404 ERB524402:ERB524404 FAX524402:FAX524404 FKT524402:FKT524404 FUP524402:FUP524404 GEL524402:GEL524404 GOH524402:GOH524404 GYD524402:GYD524404 HHZ524402:HHZ524404 HRV524402:HRV524404 IBR524402:IBR524404 ILN524402:ILN524404 IVJ524402:IVJ524404 JFF524402:JFF524404 JPB524402:JPB524404 JYX524402:JYX524404 KIT524402:KIT524404 KSP524402:KSP524404 LCL524402:LCL524404 LMH524402:LMH524404 LWD524402:LWD524404 MFZ524402:MFZ524404 MPV524402:MPV524404 MZR524402:MZR524404 NJN524402:NJN524404 NTJ524402:NTJ524404 ODF524402:ODF524404 ONB524402:ONB524404 OWX524402:OWX524404 PGT524402:PGT524404 PQP524402:PQP524404 QAL524402:QAL524404 QKH524402:QKH524404 QUD524402:QUD524404 RDZ524402:RDZ524404 RNV524402:RNV524404 RXR524402:RXR524404 SHN524402:SHN524404 SRJ524402:SRJ524404 TBF524402:TBF524404 TLB524402:TLB524404 TUX524402:TUX524404 UET524402:UET524404 UOP524402:UOP524404 UYL524402:UYL524404 VIH524402:VIH524404 VSD524402:VSD524404 WBZ524402:WBZ524404 WLV524402:WLV524404 WVR524402:WVR524404 I589938:I589940 JF589938:JF589940 TB589938:TB589940 ACX589938:ACX589940 AMT589938:AMT589940 AWP589938:AWP589940 BGL589938:BGL589940 BQH589938:BQH589940 CAD589938:CAD589940 CJZ589938:CJZ589940 CTV589938:CTV589940 DDR589938:DDR589940 DNN589938:DNN589940 DXJ589938:DXJ589940 EHF589938:EHF589940 ERB589938:ERB589940 FAX589938:FAX589940 FKT589938:FKT589940 FUP589938:FUP589940 GEL589938:GEL589940 GOH589938:GOH589940 GYD589938:GYD589940 HHZ589938:HHZ589940 HRV589938:HRV589940 IBR589938:IBR589940 ILN589938:ILN589940 IVJ589938:IVJ589940 JFF589938:JFF589940 JPB589938:JPB589940 JYX589938:JYX589940 KIT589938:KIT589940 KSP589938:KSP589940 LCL589938:LCL589940 LMH589938:LMH589940 LWD589938:LWD589940 MFZ589938:MFZ589940 MPV589938:MPV589940 MZR589938:MZR589940 NJN589938:NJN589940 NTJ589938:NTJ589940 ODF589938:ODF589940 ONB589938:ONB589940 OWX589938:OWX589940 PGT589938:PGT589940 PQP589938:PQP589940 QAL589938:QAL589940 QKH589938:QKH589940 QUD589938:QUD589940 RDZ589938:RDZ589940 RNV589938:RNV589940 RXR589938:RXR589940 SHN589938:SHN589940 SRJ589938:SRJ589940 TBF589938:TBF589940 TLB589938:TLB589940 TUX589938:TUX589940 UET589938:UET589940 UOP589938:UOP589940 UYL589938:UYL589940 VIH589938:VIH589940 VSD589938:VSD589940 WBZ589938:WBZ589940 WLV589938:WLV589940 WVR589938:WVR589940 I655474:I655476 JF655474:JF655476 TB655474:TB655476 ACX655474:ACX655476 AMT655474:AMT655476 AWP655474:AWP655476 BGL655474:BGL655476 BQH655474:BQH655476 CAD655474:CAD655476 CJZ655474:CJZ655476 CTV655474:CTV655476 DDR655474:DDR655476 DNN655474:DNN655476 DXJ655474:DXJ655476 EHF655474:EHF655476 ERB655474:ERB655476 FAX655474:FAX655476 FKT655474:FKT655476 FUP655474:FUP655476 GEL655474:GEL655476 GOH655474:GOH655476 GYD655474:GYD655476 HHZ655474:HHZ655476 HRV655474:HRV655476 IBR655474:IBR655476 ILN655474:ILN655476 IVJ655474:IVJ655476 JFF655474:JFF655476 JPB655474:JPB655476 JYX655474:JYX655476 KIT655474:KIT655476 KSP655474:KSP655476 LCL655474:LCL655476 LMH655474:LMH655476 LWD655474:LWD655476 MFZ655474:MFZ655476 MPV655474:MPV655476 MZR655474:MZR655476 NJN655474:NJN655476 NTJ655474:NTJ655476 ODF655474:ODF655476 ONB655474:ONB655476 OWX655474:OWX655476 PGT655474:PGT655476 PQP655474:PQP655476 QAL655474:QAL655476 QKH655474:QKH655476 QUD655474:QUD655476 RDZ655474:RDZ655476 RNV655474:RNV655476 RXR655474:RXR655476 SHN655474:SHN655476 SRJ655474:SRJ655476 TBF655474:TBF655476 TLB655474:TLB655476 TUX655474:TUX655476 UET655474:UET655476 UOP655474:UOP655476 UYL655474:UYL655476 VIH655474:VIH655476 VSD655474:VSD655476 WBZ655474:WBZ655476 WLV655474:WLV655476 WVR655474:WVR655476 I721010:I721012 JF721010:JF721012 TB721010:TB721012 ACX721010:ACX721012 AMT721010:AMT721012 AWP721010:AWP721012 BGL721010:BGL721012 BQH721010:BQH721012 CAD721010:CAD721012 CJZ721010:CJZ721012 CTV721010:CTV721012 DDR721010:DDR721012 DNN721010:DNN721012 DXJ721010:DXJ721012 EHF721010:EHF721012 ERB721010:ERB721012 FAX721010:FAX721012 FKT721010:FKT721012 FUP721010:FUP721012 GEL721010:GEL721012 GOH721010:GOH721012 GYD721010:GYD721012 HHZ721010:HHZ721012 HRV721010:HRV721012 IBR721010:IBR721012 ILN721010:ILN721012 IVJ721010:IVJ721012 JFF721010:JFF721012 JPB721010:JPB721012 JYX721010:JYX721012 KIT721010:KIT721012 KSP721010:KSP721012 LCL721010:LCL721012 LMH721010:LMH721012 LWD721010:LWD721012 MFZ721010:MFZ721012 MPV721010:MPV721012 MZR721010:MZR721012 NJN721010:NJN721012 NTJ721010:NTJ721012 ODF721010:ODF721012 ONB721010:ONB721012 OWX721010:OWX721012 PGT721010:PGT721012 PQP721010:PQP721012 QAL721010:QAL721012 QKH721010:QKH721012 QUD721010:QUD721012 RDZ721010:RDZ721012 RNV721010:RNV721012 RXR721010:RXR721012 SHN721010:SHN721012 SRJ721010:SRJ721012 TBF721010:TBF721012 TLB721010:TLB721012 TUX721010:TUX721012 UET721010:UET721012 UOP721010:UOP721012 UYL721010:UYL721012 VIH721010:VIH721012 VSD721010:VSD721012 WBZ721010:WBZ721012 WLV721010:WLV721012 WVR721010:WVR721012 I786546:I786548 JF786546:JF786548 TB786546:TB786548 ACX786546:ACX786548 AMT786546:AMT786548 AWP786546:AWP786548 BGL786546:BGL786548 BQH786546:BQH786548 CAD786546:CAD786548 CJZ786546:CJZ786548 CTV786546:CTV786548 DDR786546:DDR786548 DNN786546:DNN786548 DXJ786546:DXJ786548 EHF786546:EHF786548 ERB786546:ERB786548 FAX786546:FAX786548 FKT786546:FKT786548 FUP786546:FUP786548 GEL786546:GEL786548 GOH786546:GOH786548 GYD786546:GYD786548 HHZ786546:HHZ786548 HRV786546:HRV786548 IBR786546:IBR786548 ILN786546:ILN786548 IVJ786546:IVJ786548 JFF786546:JFF786548 JPB786546:JPB786548 JYX786546:JYX786548 KIT786546:KIT786548 KSP786546:KSP786548 LCL786546:LCL786548 LMH786546:LMH786548 LWD786546:LWD786548 MFZ786546:MFZ786548 MPV786546:MPV786548 MZR786546:MZR786548 NJN786546:NJN786548 NTJ786546:NTJ786548 ODF786546:ODF786548 ONB786546:ONB786548 OWX786546:OWX786548 PGT786546:PGT786548 PQP786546:PQP786548 QAL786546:QAL786548 QKH786546:QKH786548 QUD786546:QUD786548 RDZ786546:RDZ786548 RNV786546:RNV786548 RXR786546:RXR786548 SHN786546:SHN786548 SRJ786546:SRJ786548 TBF786546:TBF786548 TLB786546:TLB786548 TUX786546:TUX786548 UET786546:UET786548 UOP786546:UOP786548 UYL786546:UYL786548 VIH786546:VIH786548 VSD786546:VSD786548 WBZ786546:WBZ786548 WLV786546:WLV786548 WVR786546:WVR786548 I852082:I852084 JF852082:JF852084 TB852082:TB852084 ACX852082:ACX852084 AMT852082:AMT852084 AWP852082:AWP852084 BGL852082:BGL852084 BQH852082:BQH852084 CAD852082:CAD852084 CJZ852082:CJZ852084 CTV852082:CTV852084 DDR852082:DDR852084 DNN852082:DNN852084 DXJ852082:DXJ852084 EHF852082:EHF852084 ERB852082:ERB852084 FAX852082:FAX852084 FKT852082:FKT852084 FUP852082:FUP852084 GEL852082:GEL852084 GOH852082:GOH852084 GYD852082:GYD852084 HHZ852082:HHZ852084 HRV852082:HRV852084 IBR852082:IBR852084 ILN852082:ILN852084 IVJ852082:IVJ852084 JFF852082:JFF852084 JPB852082:JPB852084 JYX852082:JYX852084 KIT852082:KIT852084 KSP852082:KSP852084 LCL852082:LCL852084 LMH852082:LMH852084 LWD852082:LWD852084 MFZ852082:MFZ852084 MPV852082:MPV852084 MZR852082:MZR852084 NJN852082:NJN852084 NTJ852082:NTJ852084 ODF852082:ODF852084 ONB852082:ONB852084 OWX852082:OWX852084 PGT852082:PGT852084 PQP852082:PQP852084 QAL852082:QAL852084 QKH852082:QKH852084 QUD852082:QUD852084 RDZ852082:RDZ852084 RNV852082:RNV852084 RXR852082:RXR852084 SHN852082:SHN852084 SRJ852082:SRJ852084 TBF852082:TBF852084 TLB852082:TLB852084 TUX852082:TUX852084 UET852082:UET852084 UOP852082:UOP852084 UYL852082:UYL852084 VIH852082:VIH852084 VSD852082:VSD852084 WBZ852082:WBZ852084 WLV852082:WLV852084 WVR852082:WVR852084 I917618:I917620 JF917618:JF917620 TB917618:TB917620 ACX917618:ACX917620 AMT917618:AMT917620 AWP917618:AWP917620 BGL917618:BGL917620 BQH917618:BQH917620 CAD917618:CAD917620 CJZ917618:CJZ917620 CTV917618:CTV917620 DDR917618:DDR917620 DNN917618:DNN917620 DXJ917618:DXJ917620 EHF917618:EHF917620 ERB917618:ERB917620 FAX917618:FAX917620 FKT917618:FKT917620 FUP917618:FUP917620 GEL917618:GEL917620 GOH917618:GOH917620 GYD917618:GYD917620 HHZ917618:HHZ917620 HRV917618:HRV917620 IBR917618:IBR917620 ILN917618:ILN917620 IVJ917618:IVJ917620 JFF917618:JFF917620 JPB917618:JPB917620 JYX917618:JYX917620 KIT917618:KIT917620 KSP917618:KSP917620 LCL917618:LCL917620 LMH917618:LMH917620 LWD917618:LWD917620 MFZ917618:MFZ917620 MPV917618:MPV917620 MZR917618:MZR917620 NJN917618:NJN917620 NTJ917618:NTJ917620 ODF917618:ODF917620 ONB917618:ONB917620 OWX917618:OWX917620 PGT917618:PGT917620 PQP917618:PQP917620 QAL917618:QAL917620 QKH917618:QKH917620 QUD917618:QUD917620 RDZ917618:RDZ917620 RNV917618:RNV917620 RXR917618:RXR917620 SHN917618:SHN917620 SRJ917618:SRJ917620 TBF917618:TBF917620 TLB917618:TLB917620 TUX917618:TUX917620 UET917618:UET917620 UOP917618:UOP917620 UYL917618:UYL917620 VIH917618:VIH917620 VSD917618:VSD917620 WBZ917618:WBZ917620 WLV917618:WLV917620 WVR917618:WVR917620 I983154:I983156 JF983154:JF983156 TB983154:TB983156 ACX983154:ACX983156 AMT983154:AMT983156 AWP983154:AWP983156 BGL983154:BGL983156 BQH983154:BQH983156 CAD983154:CAD983156 CJZ983154:CJZ983156 CTV983154:CTV983156 DDR983154:DDR983156 DNN983154:DNN983156 DXJ983154:DXJ983156 EHF983154:EHF983156 ERB983154:ERB983156 FAX983154:FAX983156 FKT983154:FKT983156 FUP983154:FUP983156 GEL983154:GEL983156 GOH983154:GOH983156 GYD983154:GYD983156 HHZ983154:HHZ983156 HRV983154:HRV983156 IBR983154:IBR983156 ILN983154:ILN983156 IVJ983154:IVJ983156 JFF983154:JFF983156 JPB983154:JPB983156 JYX983154:JYX983156 KIT983154:KIT983156 KSP983154:KSP983156 LCL983154:LCL983156 LMH983154:LMH983156 LWD983154:LWD983156 MFZ983154:MFZ983156 MPV983154:MPV983156 MZR983154:MZR983156 NJN983154:NJN983156 NTJ983154:NTJ983156 ODF983154:ODF983156 ONB983154:ONB983156 OWX983154:OWX983156 PGT983154:PGT983156 PQP983154:PQP983156 QAL983154:QAL983156 QKH983154:QKH983156 QUD983154:QUD983156 RDZ983154:RDZ983156 RNV983154:RNV983156 RXR983154:RXR983156 SHN983154:SHN983156 SRJ983154:SRJ983156 TBF983154:TBF983156 TLB983154:TLB983156 TUX983154:TUX983156 UET983154:UET983156 UOP983154:UOP983156 UYL983154:UYL983156 VIH983154:VIH983156 VSD983154:VSD983156 WBZ983154:WBZ983156 WLV983154:WLV983156">
      <formula1>0</formula1>
    </dataValidation>
    <dataValidation type="list" allowBlank="1" showInputMessage="1" showErrorMessage="1" sqref="WVV983109:WVW983110 TF87:TG89 ADB87:ADC89 AMX87:AMY89 AWT87:AWU89 BGP87:BGQ89 BQL87:BQM89 CAH87:CAI89 CKD87:CKE89 CTZ87:CUA89 DDV87:DDW89 DNR87:DNS89 DXN87:DXO89 EHJ87:EHK89 ERF87:ERG89 FBB87:FBC89 FKX87:FKY89 FUT87:FUU89 GEP87:GEQ89 GOL87:GOM89 GYH87:GYI89 HID87:HIE89 HRZ87:HSA89 IBV87:IBW89 ILR87:ILS89 IVN87:IVO89 JFJ87:JFK89 JPF87:JPG89 JZB87:JZC89 KIX87:KIY89 KST87:KSU89 LCP87:LCQ89 LML87:LMM89 LWH87:LWI89 MGD87:MGE89 MPZ87:MQA89 MZV87:MZW89 NJR87:NJS89 NTN87:NTO89 ODJ87:ODK89 ONF87:ONG89 OXB87:OXC89 PGX87:PGY89 PQT87:PQU89 QAP87:QAQ89 QKL87:QKM89 QUH87:QUI89 RED87:REE89 RNZ87:ROA89 RXV87:RXW89 SHR87:SHS89 SRN87:SRO89 TBJ87:TBK89 TLF87:TLG89 TVB87:TVC89 UEX87:UEY89 UOT87:UOU89 UYP87:UYQ89 VIL87:VIM89 VSH87:VSI89 WCD87:WCE89 WLZ87:WMA89 WVV87:WVW89 VSH983109:VSI983110 M65625:N65627 JJ65625:JK65627 TF65625:TG65627 ADB65625:ADC65627 AMX65625:AMY65627 AWT65625:AWU65627 BGP65625:BGQ65627 BQL65625:BQM65627 CAH65625:CAI65627 CKD65625:CKE65627 CTZ65625:CUA65627 DDV65625:DDW65627 DNR65625:DNS65627 DXN65625:DXO65627 EHJ65625:EHK65627 ERF65625:ERG65627 FBB65625:FBC65627 FKX65625:FKY65627 FUT65625:FUU65627 GEP65625:GEQ65627 GOL65625:GOM65627 GYH65625:GYI65627 HID65625:HIE65627 HRZ65625:HSA65627 IBV65625:IBW65627 ILR65625:ILS65627 IVN65625:IVO65627 JFJ65625:JFK65627 JPF65625:JPG65627 JZB65625:JZC65627 KIX65625:KIY65627 KST65625:KSU65627 LCP65625:LCQ65627 LML65625:LMM65627 LWH65625:LWI65627 MGD65625:MGE65627 MPZ65625:MQA65627 MZV65625:MZW65627 NJR65625:NJS65627 NTN65625:NTO65627 ODJ65625:ODK65627 ONF65625:ONG65627 OXB65625:OXC65627 PGX65625:PGY65627 PQT65625:PQU65627 QAP65625:QAQ65627 QKL65625:QKM65627 QUH65625:QUI65627 RED65625:REE65627 RNZ65625:ROA65627 RXV65625:RXW65627 SHR65625:SHS65627 SRN65625:SRO65627 TBJ65625:TBK65627 TLF65625:TLG65627 TVB65625:TVC65627 UEX65625:UEY65627 UOT65625:UOU65627 UYP65625:UYQ65627 VIL65625:VIM65627 VSH65625:VSI65627 WCD65625:WCE65627 WLZ65625:WMA65627 WVV65625:WVW65627 M131161:N131163 JJ131161:JK131163 TF131161:TG131163 ADB131161:ADC131163 AMX131161:AMY131163 AWT131161:AWU131163 BGP131161:BGQ131163 BQL131161:BQM131163 CAH131161:CAI131163 CKD131161:CKE131163 CTZ131161:CUA131163 DDV131161:DDW131163 DNR131161:DNS131163 DXN131161:DXO131163 EHJ131161:EHK131163 ERF131161:ERG131163 FBB131161:FBC131163 FKX131161:FKY131163 FUT131161:FUU131163 GEP131161:GEQ131163 GOL131161:GOM131163 GYH131161:GYI131163 HID131161:HIE131163 HRZ131161:HSA131163 IBV131161:IBW131163 ILR131161:ILS131163 IVN131161:IVO131163 JFJ131161:JFK131163 JPF131161:JPG131163 JZB131161:JZC131163 KIX131161:KIY131163 KST131161:KSU131163 LCP131161:LCQ131163 LML131161:LMM131163 LWH131161:LWI131163 MGD131161:MGE131163 MPZ131161:MQA131163 MZV131161:MZW131163 NJR131161:NJS131163 NTN131161:NTO131163 ODJ131161:ODK131163 ONF131161:ONG131163 OXB131161:OXC131163 PGX131161:PGY131163 PQT131161:PQU131163 QAP131161:QAQ131163 QKL131161:QKM131163 QUH131161:QUI131163 RED131161:REE131163 RNZ131161:ROA131163 RXV131161:RXW131163 SHR131161:SHS131163 SRN131161:SRO131163 TBJ131161:TBK131163 TLF131161:TLG131163 TVB131161:TVC131163 UEX131161:UEY131163 UOT131161:UOU131163 UYP131161:UYQ131163 VIL131161:VIM131163 VSH131161:VSI131163 WCD131161:WCE131163 WLZ131161:WMA131163 WVV131161:WVW131163 M196697:N196699 JJ196697:JK196699 TF196697:TG196699 ADB196697:ADC196699 AMX196697:AMY196699 AWT196697:AWU196699 BGP196697:BGQ196699 BQL196697:BQM196699 CAH196697:CAI196699 CKD196697:CKE196699 CTZ196697:CUA196699 DDV196697:DDW196699 DNR196697:DNS196699 DXN196697:DXO196699 EHJ196697:EHK196699 ERF196697:ERG196699 FBB196697:FBC196699 FKX196697:FKY196699 FUT196697:FUU196699 GEP196697:GEQ196699 GOL196697:GOM196699 GYH196697:GYI196699 HID196697:HIE196699 HRZ196697:HSA196699 IBV196697:IBW196699 ILR196697:ILS196699 IVN196697:IVO196699 JFJ196697:JFK196699 JPF196697:JPG196699 JZB196697:JZC196699 KIX196697:KIY196699 KST196697:KSU196699 LCP196697:LCQ196699 LML196697:LMM196699 LWH196697:LWI196699 MGD196697:MGE196699 MPZ196697:MQA196699 MZV196697:MZW196699 NJR196697:NJS196699 NTN196697:NTO196699 ODJ196697:ODK196699 ONF196697:ONG196699 OXB196697:OXC196699 PGX196697:PGY196699 PQT196697:PQU196699 QAP196697:QAQ196699 QKL196697:QKM196699 QUH196697:QUI196699 RED196697:REE196699 RNZ196697:ROA196699 RXV196697:RXW196699 SHR196697:SHS196699 SRN196697:SRO196699 TBJ196697:TBK196699 TLF196697:TLG196699 TVB196697:TVC196699 UEX196697:UEY196699 UOT196697:UOU196699 UYP196697:UYQ196699 VIL196697:VIM196699 VSH196697:VSI196699 WCD196697:WCE196699 WLZ196697:WMA196699 WVV196697:WVW196699 M262233:N262235 JJ262233:JK262235 TF262233:TG262235 ADB262233:ADC262235 AMX262233:AMY262235 AWT262233:AWU262235 BGP262233:BGQ262235 BQL262233:BQM262235 CAH262233:CAI262235 CKD262233:CKE262235 CTZ262233:CUA262235 DDV262233:DDW262235 DNR262233:DNS262235 DXN262233:DXO262235 EHJ262233:EHK262235 ERF262233:ERG262235 FBB262233:FBC262235 FKX262233:FKY262235 FUT262233:FUU262235 GEP262233:GEQ262235 GOL262233:GOM262235 GYH262233:GYI262235 HID262233:HIE262235 HRZ262233:HSA262235 IBV262233:IBW262235 ILR262233:ILS262235 IVN262233:IVO262235 JFJ262233:JFK262235 JPF262233:JPG262235 JZB262233:JZC262235 KIX262233:KIY262235 KST262233:KSU262235 LCP262233:LCQ262235 LML262233:LMM262235 LWH262233:LWI262235 MGD262233:MGE262235 MPZ262233:MQA262235 MZV262233:MZW262235 NJR262233:NJS262235 NTN262233:NTO262235 ODJ262233:ODK262235 ONF262233:ONG262235 OXB262233:OXC262235 PGX262233:PGY262235 PQT262233:PQU262235 QAP262233:QAQ262235 QKL262233:QKM262235 QUH262233:QUI262235 RED262233:REE262235 RNZ262233:ROA262235 RXV262233:RXW262235 SHR262233:SHS262235 SRN262233:SRO262235 TBJ262233:TBK262235 TLF262233:TLG262235 TVB262233:TVC262235 UEX262233:UEY262235 UOT262233:UOU262235 UYP262233:UYQ262235 VIL262233:VIM262235 VSH262233:VSI262235 WCD262233:WCE262235 WLZ262233:WMA262235 WVV262233:WVW262235 M327769:N327771 JJ327769:JK327771 TF327769:TG327771 ADB327769:ADC327771 AMX327769:AMY327771 AWT327769:AWU327771 BGP327769:BGQ327771 BQL327769:BQM327771 CAH327769:CAI327771 CKD327769:CKE327771 CTZ327769:CUA327771 DDV327769:DDW327771 DNR327769:DNS327771 DXN327769:DXO327771 EHJ327769:EHK327771 ERF327769:ERG327771 FBB327769:FBC327771 FKX327769:FKY327771 FUT327769:FUU327771 GEP327769:GEQ327771 GOL327769:GOM327771 GYH327769:GYI327771 HID327769:HIE327771 HRZ327769:HSA327771 IBV327769:IBW327771 ILR327769:ILS327771 IVN327769:IVO327771 JFJ327769:JFK327771 JPF327769:JPG327771 JZB327769:JZC327771 KIX327769:KIY327771 KST327769:KSU327771 LCP327769:LCQ327771 LML327769:LMM327771 LWH327769:LWI327771 MGD327769:MGE327771 MPZ327769:MQA327771 MZV327769:MZW327771 NJR327769:NJS327771 NTN327769:NTO327771 ODJ327769:ODK327771 ONF327769:ONG327771 OXB327769:OXC327771 PGX327769:PGY327771 PQT327769:PQU327771 QAP327769:QAQ327771 QKL327769:QKM327771 QUH327769:QUI327771 RED327769:REE327771 RNZ327769:ROA327771 RXV327769:RXW327771 SHR327769:SHS327771 SRN327769:SRO327771 TBJ327769:TBK327771 TLF327769:TLG327771 TVB327769:TVC327771 UEX327769:UEY327771 UOT327769:UOU327771 UYP327769:UYQ327771 VIL327769:VIM327771 VSH327769:VSI327771 WCD327769:WCE327771 WLZ327769:WMA327771 WVV327769:WVW327771 M393305:N393307 JJ393305:JK393307 TF393305:TG393307 ADB393305:ADC393307 AMX393305:AMY393307 AWT393305:AWU393307 BGP393305:BGQ393307 BQL393305:BQM393307 CAH393305:CAI393307 CKD393305:CKE393307 CTZ393305:CUA393307 DDV393305:DDW393307 DNR393305:DNS393307 DXN393305:DXO393307 EHJ393305:EHK393307 ERF393305:ERG393307 FBB393305:FBC393307 FKX393305:FKY393307 FUT393305:FUU393307 GEP393305:GEQ393307 GOL393305:GOM393307 GYH393305:GYI393307 HID393305:HIE393307 HRZ393305:HSA393307 IBV393305:IBW393307 ILR393305:ILS393307 IVN393305:IVO393307 JFJ393305:JFK393307 JPF393305:JPG393307 JZB393305:JZC393307 KIX393305:KIY393307 KST393305:KSU393307 LCP393305:LCQ393307 LML393305:LMM393307 LWH393305:LWI393307 MGD393305:MGE393307 MPZ393305:MQA393307 MZV393305:MZW393307 NJR393305:NJS393307 NTN393305:NTO393307 ODJ393305:ODK393307 ONF393305:ONG393307 OXB393305:OXC393307 PGX393305:PGY393307 PQT393305:PQU393307 QAP393305:QAQ393307 QKL393305:QKM393307 QUH393305:QUI393307 RED393305:REE393307 RNZ393305:ROA393307 RXV393305:RXW393307 SHR393305:SHS393307 SRN393305:SRO393307 TBJ393305:TBK393307 TLF393305:TLG393307 TVB393305:TVC393307 UEX393305:UEY393307 UOT393305:UOU393307 UYP393305:UYQ393307 VIL393305:VIM393307 VSH393305:VSI393307 WCD393305:WCE393307 WLZ393305:WMA393307 WVV393305:WVW393307 M458841:N458843 JJ458841:JK458843 TF458841:TG458843 ADB458841:ADC458843 AMX458841:AMY458843 AWT458841:AWU458843 BGP458841:BGQ458843 BQL458841:BQM458843 CAH458841:CAI458843 CKD458841:CKE458843 CTZ458841:CUA458843 DDV458841:DDW458843 DNR458841:DNS458843 DXN458841:DXO458843 EHJ458841:EHK458843 ERF458841:ERG458843 FBB458841:FBC458843 FKX458841:FKY458843 FUT458841:FUU458843 GEP458841:GEQ458843 GOL458841:GOM458843 GYH458841:GYI458843 HID458841:HIE458843 HRZ458841:HSA458843 IBV458841:IBW458843 ILR458841:ILS458843 IVN458841:IVO458843 JFJ458841:JFK458843 JPF458841:JPG458843 JZB458841:JZC458843 KIX458841:KIY458843 KST458841:KSU458843 LCP458841:LCQ458843 LML458841:LMM458843 LWH458841:LWI458843 MGD458841:MGE458843 MPZ458841:MQA458843 MZV458841:MZW458843 NJR458841:NJS458843 NTN458841:NTO458843 ODJ458841:ODK458843 ONF458841:ONG458843 OXB458841:OXC458843 PGX458841:PGY458843 PQT458841:PQU458843 QAP458841:QAQ458843 QKL458841:QKM458843 QUH458841:QUI458843 RED458841:REE458843 RNZ458841:ROA458843 RXV458841:RXW458843 SHR458841:SHS458843 SRN458841:SRO458843 TBJ458841:TBK458843 TLF458841:TLG458843 TVB458841:TVC458843 UEX458841:UEY458843 UOT458841:UOU458843 UYP458841:UYQ458843 VIL458841:VIM458843 VSH458841:VSI458843 WCD458841:WCE458843 WLZ458841:WMA458843 WVV458841:WVW458843 M524377:N524379 JJ524377:JK524379 TF524377:TG524379 ADB524377:ADC524379 AMX524377:AMY524379 AWT524377:AWU524379 BGP524377:BGQ524379 BQL524377:BQM524379 CAH524377:CAI524379 CKD524377:CKE524379 CTZ524377:CUA524379 DDV524377:DDW524379 DNR524377:DNS524379 DXN524377:DXO524379 EHJ524377:EHK524379 ERF524377:ERG524379 FBB524377:FBC524379 FKX524377:FKY524379 FUT524377:FUU524379 GEP524377:GEQ524379 GOL524377:GOM524379 GYH524377:GYI524379 HID524377:HIE524379 HRZ524377:HSA524379 IBV524377:IBW524379 ILR524377:ILS524379 IVN524377:IVO524379 JFJ524377:JFK524379 JPF524377:JPG524379 JZB524377:JZC524379 KIX524377:KIY524379 KST524377:KSU524379 LCP524377:LCQ524379 LML524377:LMM524379 LWH524377:LWI524379 MGD524377:MGE524379 MPZ524377:MQA524379 MZV524377:MZW524379 NJR524377:NJS524379 NTN524377:NTO524379 ODJ524377:ODK524379 ONF524377:ONG524379 OXB524377:OXC524379 PGX524377:PGY524379 PQT524377:PQU524379 QAP524377:QAQ524379 QKL524377:QKM524379 QUH524377:QUI524379 RED524377:REE524379 RNZ524377:ROA524379 RXV524377:RXW524379 SHR524377:SHS524379 SRN524377:SRO524379 TBJ524377:TBK524379 TLF524377:TLG524379 TVB524377:TVC524379 UEX524377:UEY524379 UOT524377:UOU524379 UYP524377:UYQ524379 VIL524377:VIM524379 VSH524377:VSI524379 WCD524377:WCE524379 WLZ524377:WMA524379 WVV524377:WVW524379 M589913:N589915 JJ589913:JK589915 TF589913:TG589915 ADB589913:ADC589915 AMX589913:AMY589915 AWT589913:AWU589915 BGP589913:BGQ589915 BQL589913:BQM589915 CAH589913:CAI589915 CKD589913:CKE589915 CTZ589913:CUA589915 DDV589913:DDW589915 DNR589913:DNS589915 DXN589913:DXO589915 EHJ589913:EHK589915 ERF589913:ERG589915 FBB589913:FBC589915 FKX589913:FKY589915 FUT589913:FUU589915 GEP589913:GEQ589915 GOL589913:GOM589915 GYH589913:GYI589915 HID589913:HIE589915 HRZ589913:HSA589915 IBV589913:IBW589915 ILR589913:ILS589915 IVN589913:IVO589915 JFJ589913:JFK589915 JPF589913:JPG589915 JZB589913:JZC589915 KIX589913:KIY589915 KST589913:KSU589915 LCP589913:LCQ589915 LML589913:LMM589915 LWH589913:LWI589915 MGD589913:MGE589915 MPZ589913:MQA589915 MZV589913:MZW589915 NJR589913:NJS589915 NTN589913:NTO589915 ODJ589913:ODK589915 ONF589913:ONG589915 OXB589913:OXC589915 PGX589913:PGY589915 PQT589913:PQU589915 QAP589913:QAQ589915 QKL589913:QKM589915 QUH589913:QUI589915 RED589913:REE589915 RNZ589913:ROA589915 RXV589913:RXW589915 SHR589913:SHS589915 SRN589913:SRO589915 TBJ589913:TBK589915 TLF589913:TLG589915 TVB589913:TVC589915 UEX589913:UEY589915 UOT589913:UOU589915 UYP589913:UYQ589915 VIL589913:VIM589915 VSH589913:VSI589915 WCD589913:WCE589915 WLZ589913:WMA589915 WVV589913:WVW589915 M655449:N655451 JJ655449:JK655451 TF655449:TG655451 ADB655449:ADC655451 AMX655449:AMY655451 AWT655449:AWU655451 BGP655449:BGQ655451 BQL655449:BQM655451 CAH655449:CAI655451 CKD655449:CKE655451 CTZ655449:CUA655451 DDV655449:DDW655451 DNR655449:DNS655451 DXN655449:DXO655451 EHJ655449:EHK655451 ERF655449:ERG655451 FBB655449:FBC655451 FKX655449:FKY655451 FUT655449:FUU655451 GEP655449:GEQ655451 GOL655449:GOM655451 GYH655449:GYI655451 HID655449:HIE655451 HRZ655449:HSA655451 IBV655449:IBW655451 ILR655449:ILS655451 IVN655449:IVO655451 JFJ655449:JFK655451 JPF655449:JPG655451 JZB655449:JZC655451 KIX655449:KIY655451 KST655449:KSU655451 LCP655449:LCQ655451 LML655449:LMM655451 LWH655449:LWI655451 MGD655449:MGE655451 MPZ655449:MQA655451 MZV655449:MZW655451 NJR655449:NJS655451 NTN655449:NTO655451 ODJ655449:ODK655451 ONF655449:ONG655451 OXB655449:OXC655451 PGX655449:PGY655451 PQT655449:PQU655451 QAP655449:QAQ655451 QKL655449:QKM655451 QUH655449:QUI655451 RED655449:REE655451 RNZ655449:ROA655451 RXV655449:RXW655451 SHR655449:SHS655451 SRN655449:SRO655451 TBJ655449:TBK655451 TLF655449:TLG655451 TVB655449:TVC655451 UEX655449:UEY655451 UOT655449:UOU655451 UYP655449:UYQ655451 VIL655449:VIM655451 VSH655449:VSI655451 WCD655449:WCE655451 WLZ655449:WMA655451 WVV655449:WVW655451 M720985:N720987 JJ720985:JK720987 TF720985:TG720987 ADB720985:ADC720987 AMX720985:AMY720987 AWT720985:AWU720987 BGP720985:BGQ720987 BQL720985:BQM720987 CAH720985:CAI720987 CKD720985:CKE720987 CTZ720985:CUA720987 DDV720985:DDW720987 DNR720985:DNS720987 DXN720985:DXO720987 EHJ720985:EHK720987 ERF720985:ERG720987 FBB720985:FBC720987 FKX720985:FKY720987 FUT720985:FUU720987 GEP720985:GEQ720987 GOL720985:GOM720987 GYH720985:GYI720987 HID720985:HIE720987 HRZ720985:HSA720987 IBV720985:IBW720987 ILR720985:ILS720987 IVN720985:IVO720987 JFJ720985:JFK720987 JPF720985:JPG720987 JZB720985:JZC720987 KIX720985:KIY720987 KST720985:KSU720987 LCP720985:LCQ720987 LML720985:LMM720987 LWH720985:LWI720987 MGD720985:MGE720987 MPZ720985:MQA720987 MZV720985:MZW720987 NJR720985:NJS720987 NTN720985:NTO720987 ODJ720985:ODK720987 ONF720985:ONG720987 OXB720985:OXC720987 PGX720985:PGY720987 PQT720985:PQU720987 QAP720985:QAQ720987 QKL720985:QKM720987 QUH720985:QUI720987 RED720985:REE720987 RNZ720985:ROA720987 RXV720985:RXW720987 SHR720985:SHS720987 SRN720985:SRO720987 TBJ720985:TBK720987 TLF720985:TLG720987 TVB720985:TVC720987 UEX720985:UEY720987 UOT720985:UOU720987 UYP720985:UYQ720987 VIL720985:VIM720987 VSH720985:VSI720987 WCD720985:WCE720987 WLZ720985:WMA720987 WVV720985:WVW720987 M786521:N786523 JJ786521:JK786523 TF786521:TG786523 ADB786521:ADC786523 AMX786521:AMY786523 AWT786521:AWU786523 BGP786521:BGQ786523 BQL786521:BQM786523 CAH786521:CAI786523 CKD786521:CKE786523 CTZ786521:CUA786523 DDV786521:DDW786523 DNR786521:DNS786523 DXN786521:DXO786523 EHJ786521:EHK786523 ERF786521:ERG786523 FBB786521:FBC786523 FKX786521:FKY786523 FUT786521:FUU786523 GEP786521:GEQ786523 GOL786521:GOM786523 GYH786521:GYI786523 HID786521:HIE786523 HRZ786521:HSA786523 IBV786521:IBW786523 ILR786521:ILS786523 IVN786521:IVO786523 JFJ786521:JFK786523 JPF786521:JPG786523 JZB786521:JZC786523 KIX786521:KIY786523 KST786521:KSU786523 LCP786521:LCQ786523 LML786521:LMM786523 LWH786521:LWI786523 MGD786521:MGE786523 MPZ786521:MQA786523 MZV786521:MZW786523 NJR786521:NJS786523 NTN786521:NTO786523 ODJ786521:ODK786523 ONF786521:ONG786523 OXB786521:OXC786523 PGX786521:PGY786523 PQT786521:PQU786523 QAP786521:QAQ786523 QKL786521:QKM786523 QUH786521:QUI786523 RED786521:REE786523 RNZ786521:ROA786523 RXV786521:RXW786523 SHR786521:SHS786523 SRN786521:SRO786523 TBJ786521:TBK786523 TLF786521:TLG786523 TVB786521:TVC786523 UEX786521:UEY786523 UOT786521:UOU786523 UYP786521:UYQ786523 VIL786521:VIM786523 VSH786521:VSI786523 WCD786521:WCE786523 WLZ786521:WMA786523 WVV786521:WVW786523 M852057:N852059 JJ852057:JK852059 TF852057:TG852059 ADB852057:ADC852059 AMX852057:AMY852059 AWT852057:AWU852059 BGP852057:BGQ852059 BQL852057:BQM852059 CAH852057:CAI852059 CKD852057:CKE852059 CTZ852057:CUA852059 DDV852057:DDW852059 DNR852057:DNS852059 DXN852057:DXO852059 EHJ852057:EHK852059 ERF852057:ERG852059 FBB852057:FBC852059 FKX852057:FKY852059 FUT852057:FUU852059 GEP852057:GEQ852059 GOL852057:GOM852059 GYH852057:GYI852059 HID852057:HIE852059 HRZ852057:HSA852059 IBV852057:IBW852059 ILR852057:ILS852059 IVN852057:IVO852059 JFJ852057:JFK852059 JPF852057:JPG852059 JZB852057:JZC852059 KIX852057:KIY852059 KST852057:KSU852059 LCP852057:LCQ852059 LML852057:LMM852059 LWH852057:LWI852059 MGD852057:MGE852059 MPZ852057:MQA852059 MZV852057:MZW852059 NJR852057:NJS852059 NTN852057:NTO852059 ODJ852057:ODK852059 ONF852057:ONG852059 OXB852057:OXC852059 PGX852057:PGY852059 PQT852057:PQU852059 QAP852057:QAQ852059 QKL852057:QKM852059 QUH852057:QUI852059 RED852057:REE852059 RNZ852057:ROA852059 RXV852057:RXW852059 SHR852057:SHS852059 SRN852057:SRO852059 TBJ852057:TBK852059 TLF852057:TLG852059 TVB852057:TVC852059 UEX852057:UEY852059 UOT852057:UOU852059 UYP852057:UYQ852059 VIL852057:VIM852059 VSH852057:VSI852059 WCD852057:WCE852059 WLZ852057:WMA852059 WVV852057:WVW852059 M917593:N917595 JJ917593:JK917595 TF917593:TG917595 ADB917593:ADC917595 AMX917593:AMY917595 AWT917593:AWU917595 BGP917593:BGQ917595 BQL917593:BQM917595 CAH917593:CAI917595 CKD917593:CKE917595 CTZ917593:CUA917595 DDV917593:DDW917595 DNR917593:DNS917595 DXN917593:DXO917595 EHJ917593:EHK917595 ERF917593:ERG917595 FBB917593:FBC917595 FKX917593:FKY917595 FUT917593:FUU917595 GEP917593:GEQ917595 GOL917593:GOM917595 GYH917593:GYI917595 HID917593:HIE917595 HRZ917593:HSA917595 IBV917593:IBW917595 ILR917593:ILS917595 IVN917593:IVO917595 JFJ917593:JFK917595 JPF917593:JPG917595 JZB917593:JZC917595 KIX917593:KIY917595 KST917593:KSU917595 LCP917593:LCQ917595 LML917593:LMM917595 LWH917593:LWI917595 MGD917593:MGE917595 MPZ917593:MQA917595 MZV917593:MZW917595 NJR917593:NJS917595 NTN917593:NTO917595 ODJ917593:ODK917595 ONF917593:ONG917595 OXB917593:OXC917595 PGX917593:PGY917595 PQT917593:PQU917595 QAP917593:QAQ917595 QKL917593:QKM917595 QUH917593:QUI917595 RED917593:REE917595 RNZ917593:ROA917595 RXV917593:RXW917595 SHR917593:SHS917595 SRN917593:SRO917595 TBJ917593:TBK917595 TLF917593:TLG917595 TVB917593:TVC917595 UEX917593:UEY917595 UOT917593:UOU917595 UYP917593:UYQ917595 VIL917593:VIM917595 VSH917593:VSI917595 WCD917593:WCE917595 WLZ917593:WMA917595 WVV917593:WVW917595 M983129:N983131 JJ983129:JK983131 TF983129:TG983131 ADB983129:ADC983131 AMX983129:AMY983131 AWT983129:AWU983131 BGP983129:BGQ983131 BQL983129:BQM983131 CAH983129:CAI983131 CKD983129:CKE983131 CTZ983129:CUA983131 DDV983129:DDW983131 DNR983129:DNS983131 DXN983129:DXO983131 EHJ983129:EHK983131 ERF983129:ERG983131 FBB983129:FBC983131 FKX983129:FKY983131 FUT983129:FUU983131 GEP983129:GEQ983131 GOL983129:GOM983131 GYH983129:GYI983131 HID983129:HIE983131 HRZ983129:HSA983131 IBV983129:IBW983131 ILR983129:ILS983131 IVN983129:IVO983131 JFJ983129:JFK983131 JPF983129:JPG983131 JZB983129:JZC983131 KIX983129:KIY983131 KST983129:KSU983131 LCP983129:LCQ983131 LML983129:LMM983131 LWH983129:LWI983131 MGD983129:MGE983131 MPZ983129:MQA983131 MZV983129:MZW983131 NJR983129:NJS983131 NTN983129:NTO983131 ODJ983129:ODK983131 ONF983129:ONG983131 OXB983129:OXC983131 PGX983129:PGY983131 PQT983129:PQU983131 QAP983129:QAQ983131 QKL983129:QKM983131 QUH983129:QUI983131 RED983129:REE983131 RNZ983129:ROA983131 RXV983129:RXW983131 SHR983129:SHS983131 SRN983129:SRO983131 TBJ983129:TBK983131 TLF983129:TLG983131 TVB983129:TVC983131 UEX983129:UEY983131 UOT983129:UOU983131 UYP983129:UYQ983131 VIL983129:VIM983131 VSH983129:VSI983131 WCD983129:WCE983131 WLZ983129:WMA983131 WVV983129:WVW983131 WCD983109:WCE983110 JJ48:JK50 TF48:TG50 ADB48:ADC50 AMX48:AMY50 AWT48:AWU50 BGP48:BGQ50 BQL48:BQM50 CAH48:CAI50 CKD48:CKE50 CTZ48:CUA50 DDV48:DDW50 DNR48:DNS50 DXN48:DXO50 EHJ48:EHK50 ERF48:ERG50 FBB48:FBC50 FKX48:FKY50 FUT48:FUU50 GEP48:GEQ50 GOL48:GOM50 GYH48:GYI50 HID48:HIE50 HRZ48:HSA50 IBV48:IBW50 ILR48:ILS50 IVN48:IVO50 JFJ48:JFK50 JPF48:JPG50 JZB48:JZC50 KIX48:KIY50 KST48:KSU50 LCP48:LCQ50 LML48:LMM50 LWH48:LWI50 MGD48:MGE50 MPZ48:MQA50 MZV48:MZW50 NJR48:NJS50 NTN48:NTO50 ODJ48:ODK50 ONF48:ONG50 OXB48:OXC50 PGX48:PGY50 PQT48:PQU50 QAP48:QAQ50 QKL48:QKM50 QUH48:QUI50 RED48:REE50 RNZ48:ROA50 RXV48:RXW50 SHR48:SHS50 SRN48:SRO50 TBJ48:TBK50 TLF48:TLG50 TVB48:TVC50 UEX48:UEY50 UOT48:UOU50 UYP48:UYQ50 VIL48:VIM50 VSH48:VSI50 WCD48:WCE50 WLZ48:WMA50 WVV48:WVW50 M65586:N65588 JJ65586:JK65588 TF65586:TG65588 ADB65586:ADC65588 AMX65586:AMY65588 AWT65586:AWU65588 BGP65586:BGQ65588 BQL65586:BQM65588 CAH65586:CAI65588 CKD65586:CKE65588 CTZ65586:CUA65588 DDV65586:DDW65588 DNR65586:DNS65588 DXN65586:DXO65588 EHJ65586:EHK65588 ERF65586:ERG65588 FBB65586:FBC65588 FKX65586:FKY65588 FUT65586:FUU65588 GEP65586:GEQ65588 GOL65586:GOM65588 GYH65586:GYI65588 HID65586:HIE65588 HRZ65586:HSA65588 IBV65586:IBW65588 ILR65586:ILS65588 IVN65586:IVO65588 JFJ65586:JFK65588 JPF65586:JPG65588 JZB65586:JZC65588 KIX65586:KIY65588 KST65586:KSU65588 LCP65586:LCQ65588 LML65586:LMM65588 LWH65586:LWI65588 MGD65586:MGE65588 MPZ65586:MQA65588 MZV65586:MZW65588 NJR65586:NJS65588 NTN65586:NTO65588 ODJ65586:ODK65588 ONF65586:ONG65588 OXB65586:OXC65588 PGX65586:PGY65588 PQT65586:PQU65588 QAP65586:QAQ65588 QKL65586:QKM65588 QUH65586:QUI65588 RED65586:REE65588 RNZ65586:ROA65588 RXV65586:RXW65588 SHR65586:SHS65588 SRN65586:SRO65588 TBJ65586:TBK65588 TLF65586:TLG65588 TVB65586:TVC65588 UEX65586:UEY65588 UOT65586:UOU65588 UYP65586:UYQ65588 VIL65586:VIM65588 VSH65586:VSI65588 WCD65586:WCE65588 WLZ65586:WMA65588 WVV65586:WVW65588 M131122:N131124 JJ131122:JK131124 TF131122:TG131124 ADB131122:ADC131124 AMX131122:AMY131124 AWT131122:AWU131124 BGP131122:BGQ131124 BQL131122:BQM131124 CAH131122:CAI131124 CKD131122:CKE131124 CTZ131122:CUA131124 DDV131122:DDW131124 DNR131122:DNS131124 DXN131122:DXO131124 EHJ131122:EHK131124 ERF131122:ERG131124 FBB131122:FBC131124 FKX131122:FKY131124 FUT131122:FUU131124 GEP131122:GEQ131124 GOL131122:GOM131124 GYH131122:GYI131124 HID131122:HIE131124 HRZ131122:HSA131124 IBV131122:IBW131124 ILR131122:ILS131124 IVN131122:IVO131124 JFJ131122:JFK131124 JPF131122:JPG131124 JZB131122:JZC131124 KIX131122:KIY131124 KST131122:KSU131124 LCP131122:LCQ131124 LML131122:LMM131124 LWH131122:LWI131124 MGD131122:MGE131124 MPZ131122:MQA131124 MZV131122:MZW131124 NJR131122:NJS131124 NTN131122:NTO131124 ODJ131122:ODK131124 ONF131122:ONG131124 OXB131122:OXC131124 PGX131122:PGY131124 PQT131122:PQU131124 QAP131122:QAQ131124 QKL131122:QKM131124 QUH131122:QUI131124 RED131122:REE131124 RNZ131122:ROA131124 RXV131122:RXW131124 SHR131122:SHS131124 SRN131122:SRO131124 TBJ131122:TBK131124 TLF131122:TLG131124 TVB131122:TVC131124 UEX131122:UEY131124 UOT131122:UOU131124 UYP131122:UYQ131124 VIL131122:VIM131124 VSH131122:VSI131124 WCD131122:WCE131124 WLZ131122:WMA131124 WVV131122:WVW131124 M196658:N196660 JJ196658:JK196660 TF196658:TG196660 ADB196658:ADC196660 AMX196658:AMY196660 AWT196658:AWU196660 BGP196658:BGQ196660 BQL196658:BQM196660 CAH196658:CAI196660 CKD196658:CKE196660 CTZ196658:CUA196660 DDV196658:DDW196660 DNR196658:DNS196660 DXN196658:DXO196660 EHJ196658:EHK196660 ERF196658:ERG196660 FBB196658:FBC196660 FKX196658:FKY196660 FUT196658:FUU196660 GEP196658:GEQ196660 GOL196658:GOM196660 GYH196658:GYI196660 HID196658:HIE196660 HRZ196658:HSA196660 IBV196658:IBW196660 ILR196658:ILS196660 IVN196658:IVO196660 JFJ196658:JFK196660 JPF196658:JPG196660 JZB196658:JZC196660 KIX196658:KIY196660 KST196658:KSU196660 LCP196658:LCQ196660 LML196658:LMM196660 LWH196658:LWI196660 MGD196658:MGE196660 MPZ196658:MQA196660 MZV196658:MZW196660 NJR196658:NJS196660 NTN196658:NTO196660 ODJ196658:ODK196660 ONF196658:ONG196660 OXB196658:OXC196660 PGX196658:PGY196660 PQT196658:PQU196660 QAP196658:QAQ196660 QKL196658:QKM196660 QUH196658:QUI196660 RED196658:REE196660 RNZ196658:ROA196660 RXV196658:RXW196660 SHR196658:SHS196660 SRN196658:SRO196660 TBJ196658:TBK196660 TLF196658:TLG196660 TVB196658:TVC196660 UEX196658:UEY196660 UOT196658:UOU196660 UYP196658:UYQ196660 VIL196658:VIM196660 VSH196658:VSI196660 WCD196658:WCE196660 WLZ196658:WMA196660 WVV196658:WVW196660 M262194:N262196 JJ262194:JK262196 TF262194:TG262196 ADB262194:ADC262196 AMX262194:AMY262196 AWT262194:AWU262196 BGP262194:BGQ262196 BQL262194:BQM262196 CAH262194:CAI262196 CKD262194:CKE262196 CTZ262194:CUA262196 DDV262194:DDW262196 DNR262194:DNS262196 DXN262194:DXO262196 EHJ262194:EHK262196 ERF262194:ERG262196 FBB262194:FBC262196 FKX262194:FKY262196 FUT262194:FUU262196 GEP262194:GEQ262196 GOL262194:GOM262196 GYH262194:GYI262196 HID262194:HIE262196 HRZ262194:HSA262196 IBV262194:IBW262196 ILR262194:ILS262196 IVN262194:IVO262196 JFJ262194:JFK262196 JPF262194:JPG262196 JZB262194:JZC262196 KIX262194:KIY262196 KST262194:KSU262196 LCP262194:LCQ262196 LML262194:LMM262196 LWH262194:LWI262196 MGD262194:MGE262196 MPZ262194:MQA262196 MZV262194:MZW262196 NJR262194:NJS262196 NTN262194:NTO262196 ODJ262194:ODK262196 ONF262194:ONG262196 OXB262194:OXC262196 PGX262194:PGY262196 PQT262194:PQU262196 QAP262194:QAQ262196 QKL262194:QKM262196 QUH262194:QUI262196 RED262194:REE262196 RNZ262194:ROA262196 RXV262194:RXW262196 SHR262194:SHS262196 SRN262194:SRO262196 TBJ262194:TBK262196 TLF262194:TLG262196 TVB262194:TVC262196 UEX262194:UEY262196 UOT262194:UOU262196 UYP262194:UYQ262196 VIL262194:VIM262196 VSH262194:VSI262196 WCD262194:WCE262196 WLZ262194:WMA262196 WVV262194:WVW262196 M327730:N327732 JJ327730:JK327732 TF327730:TG327732 ADB327730:ADC327732 AMX327730:AMY327732 AWT327730:AWU327732 BGP327730:BGQ327732 BQL327730:BQM327732 CAH327730:CAI327732 CKD327730:CKE327732 CTZ327730:CUA327732 DDV327730:DDW327732 DNR327730:DNS327732 DXN327730:DXO327732 EHJ327730:EHK327732 ERF327730:ERG327732 FBB327730:FBC327732 FKX327730:FKY327732 FUT327730:FUU327732 GEP327730:GEQ327732 GOL327730:GOM327732 GYH327730:GYI327732 HID327730:HIE327732 HRZ327730:HSA327732 IBV327730:IBW327732 ILR327730:ILS327732 IVN327730:IVO327732 JFJ327730:JFK327732 JPF327730:JPG327732 JZB327730:JZC327732 KIX327730:KIY327732 KST327730:KSU327732 LCP327730:LCQ327732 LML327730:LMM327732 LWH327730:LWI327732 MGD327730:MGE327732 MPZ327730:MQA327732 MZV327730:MZW327732 NJR327730:NJS327732 NTN327730:NTO327732 ODJ327730:ODK327732 ONF327730:ONG327732 OXB327730:OXC327732 PGX327730:PGY327732 PQT327730:PQU327732 QAP327730:QAQ327732 QKL327730:QKM327732 QUH327730:QUI327732 RED327730:REE327732 RNZ327730:ROA327732 RXV327730:RXW327732 SHR327730:SHS327732 SRN327730:SRO327732 TBJ327730:TBK327732 TLF327730:TLG327732 TVB327730:TVC327732 UEX327730:UEY327732 UOT327730:UOU327732 UYP327730:UYQ327732 VIL327730:VIM327732 VSH327730:VSI327732 WCD327730:WCE327732 WLZ327730:WMA327732 WVV327730:WVW327732 M393266:N393268 JJ393266:JK393268 TF393266:TG393268 ADB393266:ADC393268 AMX393266:AMY393268 AWT393266:AWU393268 BGP393266:BGQ393268 BQL393266:BQM393268 CAH393266:CAI393268 CKD393266:CKE393268 CTZ393266:CUA393268 DDV393266:DDW393268 DNR393266:DNS393268 DXN393266:DXO393268 EHJ393266:EHK393268 ERF393266:ERG393268 FBB393266:FBC393268 FKX393266:FKY393268 FUT393266:FUU393268 GEP393266:GEQ393268 GOL393266:GOM393268 GYH393266:GYI393268 HID393266:HIE393268 HRZ393266:HSA393268 IBV393266:IBW393268 ILR393266:ILS393268 IVN393266:IVO393268 JFJ393266:JFK393268 JPF393266:JPG393268 JZB393266:JZC393268 KIX393266:KIY393268 KST393266:KSU393268 LCP393266:LCQ393268 LML393266:LMM393268 LWH393266:LWI393268 MGD393266:MGE393268 MPZ393266:MQA393268 MZV393266:MZW393268 NJR393266:NJS393268 NTN393266:NTO393268 ODJ393266:ODK393268 ONF393266:ONG393268 OXB393266:OXC393268 PGX393266:PGY393268 PQT393266:PQU393268 QAP393266:QAQ393268 QKL393266:QKM393268 QUH393266:QUI393268 RED393266:REE393268 RNZ393266:ROA393268 RXV393266:RXW393268 SHR393266:SHS393268 SRN393266:SRO393268 TBJ393266:TBK393268 TLF393266:TLG393268 TVB393266:TVC393268 UEX393266:UEY393268 UOT393266:UOU393268 UYP393266:UYQ393268 VIL393266:VIM393268 VSH393266:VSI393268 WCD393266:WCE393268 WLZ393266:WMA393268 WVV393266:WVW393268 M458802:N458804 JJ458802:JK458804 TF458802:TG458804 ADB458802:ADC458804 AMX458802:AMY458804 AWT458802:AWU458804 BGP458802:BGQ458804 BQL458802:BQM458804 CAH458802:CAI458804 CKD458802:CKE458804 CTZ458802:CUA458804 DDV458802:DDW458804 DNR458802:DNS458804 DXN458802:DXO458804 EHJ458802:EHK458804 ERF458802:ERG458804 FBB458802:FBC458804 FKX458802:FKY458804 FUT458802:FUU458804 GEP458802:GEQ458804 GOL458802:GOM458804 GYH458802:GYI458804 HID458802:HIE458804 HRZ458802:HSA458804 IBV458802:IBW458804 ILR458802:ILS458804 IVN458802:IVO458804 JFJ458802:JFK458804 JPF458802:JPG458804 JZB458802:JZC458804 KIX458802:KIY458804 KST458802:KSU458804 LCP458802:LCQ458804 LML458802:LMM458804 LWH458802:LWI458804 MGD458802:MGE458804 MPZ458802:MQA458804 MZV458802:MZW458804 NJR458802:NJS458804 NTN458802:NTO458804 ODJ458802:ODK458804 ONF458802:ONG458804 OXB458802:OXC458804 PGX458802:PGY458804 PQT458802:PQU458804 QAP458802:QAQ458804 QKL458802:QKM458804 QUH458802:QUI458804 RED458802:REE458804 RNZ458802:ROA458804 RXV458802:RXW458804 SHR458802:SHS458804 SRN458802:SRO458804 TBJ458802:TBK458804 TLF458802:TLG458804 TVB458802:TVC458804 UEX458802:UEY458804 UOT458802:UOU458804 UYP458802:UYQ458804 VIL458802:VIM458804 VSH458802:VSI458804 WCD458802:WCE458804 WLZ458802:WMA458804 WVV458802:WVW458804 M524338:N524340 JJ524338:JK524340 TF524338:TG524340 ADB524338:ADC524340 AMX524338:AMY524340 AWT524338:AWU524340 BGP524338:BGQ524340 BQL524338:BQM524340 CAH524338:CAI524340 CKD524338:CKE524340 CTZ524338:CUA524340 DDV524338:DDW524340 DNR524338:DNS524340 DXN524338:DXO524340 EHJ524338:EHK524340 ERF524338:ERG524340 FBB524338:FBC524340 FKX524338:FKY524340 FUT524338:FUU524340 GEP524338:GEQ524340 GOL524338:GOM524340 GYH524338:GYI524340 HID524338:HIE524340 HRZ524338:HSA524340 IBV524338:IBW524340 ILR524338:ILS524340 IVN524338:IVO524340 JFJ524338:JFK524340 JPF524338:JPG524340 JZB524338:JZC524340 KIX524338:KIY524340 KST524338:KSU524340 LCP524338:LCQ524340 LML524338:LMM524340 LWH524338:LWI524340 MGD524338:MGE524340 MPZ524338:MQA524340 MZV524338:MZW524340 NJR524338:NJS524340 NTN524338:NTO524340 ODJ524338:ODK524340 ONF524338:ONG524340 OXB524338:OXC524340 PGX524338:PGY524340 PQT524338:PQU524340 QAP524338:QAQ524340 QKL524338:QKM524340 QUH524338:QUI524340 RED524338:REE524340 RNZ524338:ROA524340 RXV524338:RXW524340 SHR524338:SHS524340 SRN524338:SRO524340 TBJ524338:TBK524340 TLF524338:TLG524340 TVB524338:TVC524340 UEX524338:UEY524340 UOT524338:UOU524340 UYP524338:UYQ524340 VIL524338:VIM524340 VSH524338:VSI524340 WCD524338:WCE524340 WLZ524338:WMA524340 WVV524338:WVW524340 M589874:N589876 JJ589874:JK589876 TF589874:TG589876 ADB589874:ADC589876 AMX589874:AMY589876 AWT589874:AWU589876 BGP589874:BGQ589876 BQL589874:BQM589876 CAH589874:CAI589876 CKD589874:CKE589876 CTZ589874:CUA589876 DDV589874:DDW589876 DNR589874:DNS589876 DXN589874:DXO589876 EHJ589874:EHK589876 ERF589874:ERG589876 FBB589874:FBC589876 FKX589874:FKY589876 FUT589874:FUU589876 GEP589874:GEQ589876 GOL589874:GOM589876 GYH589874:GYI589876 HID589874:HIE589876 HRZ589874:HSA589876 IBV589874:IBW589876 ILR589874:ILS589876 IVN589874:IVO589876 JFJ589874:JFK589876 JPF589874:JPG589876 JZB589874:JZC589876 KIX589874:KIY589876 KST589874:KSU589876 LCP589874:LCQ589876 LML589874:LMM589876 LWH589874:LWI589876 MGD589874:MGE589876 MPZ589874:MQA589876 MZV589874:MZW589876 NJR589874:NJS589876 NTN589874:NTO589876 ODJ589874:ODK589876 ONF589874:ONG589876 OXB589874:OXC589876 PGX589874:PGY589876 PQT589874:PQU589876 QAP589874:QAQ589876 QKL589874:QKM589876 QUH589874:QUI589876 RED589874:REE589876 RNZ589874:ROA589876 RXV589874:RXW589876 SHR589874:SHS589876 SRN589874:SRO589876 TBJ589874:TBK589876 TLF589874:TLG589876 TVB589874:TVC589876 UEX589874:UEY589876 UOT589874:UOU589876 UYP589874:UYQ589876 VIL589874:VIM589876 VSH589874:VSI589876 WCD589874:WCE589876 WLZ589874:WMA589876 WVV589874:WVW589876 M655410:N655412 JJ655410:JK655412 TF655410:TG655412 ADB655410:ADC655412 AMX655410:AMY655412 AWT655410:AWU655412 BGP655410:BGQ655412 BQL655410:BQM655412 CAH655410:CAI655412 CKD655410:CKE655412 CTZ655410:CUA655412 DDV655410:DDW655412 DNR655410:DNS655412 DXN655410:DXO655412 EHJ655410:EHK655412 ERF655410:ERG655412 FBB655410:FBC655412 FKX655410:FKY655412 FUT655410:FUU655412 GEP655410:GEQ655412 GOL655410:GOM655412 GYH655410:GYI655412 HID655410:HIE655412 HRZ655410:HSA655412 IBV655410:IBW655412 ILR655410:ILS655412 IVN655410:IVO655412 JFJ655410:JFK655412 JPF655410:JPG655412 JZB655410:JZC655412 KIX655410:KIY655412 KST655410:KSU655412 LCP655410:LCQ655412 LML655410:LMM655412 LWH655410:LWI655412 MGD655410:MGE655412 MPZ655410:MQA655412 MZV655410:MZW655412 NJR655410:NJS655412 NTN655410:NTO655412 ODJ655410:ODK655412 ONF655410:ONG655412 OXB655410:OXC655412 PGX655410:PGY655412 PQT655410:PQU655412 QAP655410:QAQ655412 QKL655410:QKM655412 QUH655410:QUI655412 RED655410:REE655412 RNZ655410:ROA655412 RXV655410:RXW655412 SHR655410:SHS655412 SRN655410:SRO655412 TBJ655410:TBK655412 TLF655410:TLG655412 TVB655410:TVC655412 UEX655410:UEY655412 UOT655410:UOU655412 UYP655410:UYQ655412 VIL655410:VIM655412 VSH655410:VSI655412 WCD655410:WCE655412 WLZ655410:WMA655412 WVV655410:WVW655412 M720946:N720948 JJ720946:JK720948 TF720946:TG720948 ADB720946:ADC720948 AMX720946:AMY720948 AWT720946:AWU720948 BGP720946:BGQ720948 BQL720946:BQM720948 CAH720946:CAI720948 CKD720946:CKE720948 CTZ720946:CUA720948 DDV720946:DDW720948 DNR720946:DNS720948 DXN720946:DXO720948 EHJ720946:EHK720948 ERF720946:ERG720948 FBB720946:FBC720948 FKX720946:FKY720948 FUT720946:FUU720948 GEP720946:GEQ720948 GOL720946:GOM720948 GYH720946:GYI720948 HID720946:HIE720948 HRZ720946:HSA720948 IBV720946:IBW720948 ILR720946:ILS720948 IVN720946:IVO720948 JFJ720946:JFK720948 JPF720946:JPG720948 JZB720946:JZC720948 KIX720946:KIY720948 KST720946:KSU720948 LCP720946:LCQ720948 LML720946:LMM720948 LWH720946:LWI720948 MGD720946:MGE720948 MPZ720946:MQA720948 MZV720946:MZW720948 NJR720946:NJS720948 NTN720946:NTO720948 ODJ720946:ODK720948 ONF720946:ONG720948 OXB720946:OXC720948 PGX720946:PGY720948 PQT720946:PQU720948 QAP720946:QAQ720948 QKL720946:QKM720948 QUH720946:QUI720948 RED720946:REE720948 RNZ720946:ROA720948 RXV720946:RXW720948 SHR720946:SHS720948 SRN720946:SRO720948 TBJ720946:TBK720948 TLF720946:TLG720948 TVB720946:TVC720948 UEX720946:UEY720948 UOT720946:UOU720948 UYP720946:UYQ720948 VIL720946:VIM720948 VSH720946:VSI720948 WCD720946:WCE720948 WLZ720946:WMA720948 WVV720946:WVW720948 M786482:N786484 JJ786482:JK786484 TF786482:TG786484 ADB786482:ADC786484 AMX786482:AMY786484 AWT786482:AWU786484 BGP786482:BGQ786484 BQL786482:BQM786484 CAH786482:CAI786484 CKD786482:CKE786484 CTZ786482:CUA786484 DDV786482:DDW786484 DNR786482:DNS786484 DXN786482:DXO786484 EHJ786482:EHK786484 ERF786482:ERG786484 FBB786482:FBC786484 FKX786482:FKY786484 FUT786482:FUU786484 GEP786482:GEQ786484 GOL786482:GOM786484 GYH786482:GYI786484 HID786482:HIE786484 HRZ786482:HSA786484 IBV786482:IBW786484 ILR786482:ILS786484 IVN786482:IVO786484 JFJ786482:JFK786484 JPF786482:JPG786484 JZB786482:JZC786484 KIX786482:KIY786484 KST786482:KSU786484 LCP786482:LCQ786484 LML786482:LMM786484 LWH786482:LWI786484 MGD786482:MGE786484 MPZ786482:MQA786484 MZV786482:MZW786484 NJR786482:NJS786484 NTN786482:NTO786484 ODJ786482:ODK786484 ONF786482:ONG786484 OXB786482:OXC786484 PGX786482:PGY786484 PQT786482:PQU786484 QAP786482:QAQ786484 QKL786482:QKM786484 QUH786482:QUI786484 RED786482:REE786484 RNZ786482:ROA786484 RXV786482:RXW786484 SHR786482:SHS786484 SRN786482:SRO786484 TBJ786482:TBK786484 TLF786482:TLG786484 TVB786482:TVC786484 UEX786482:UEY786484 UOT786482:UOU786484 UYP786482:UYQ786484 VIL786482:VIM786484 VSH786482:VSI786484 WCD786482:WCE786484 WLZ786482:WMA786484 WVV786482:WVW786484 M852018:N852020 JJ852018:JK852020 TF852018:TG852020 ADB852018:ADC852020 AMX852018:AMY852020 AWT852018:AWU852020 BGP852018:BGQ852020 BQL852018:BQM852020 CAH852018:CAI852020 CKD852018:CKE852020 CTZ852018:CUA852020 DDV852018:DDW852020 DNR852018:DNS852020 DXN852018:DXO852020 EHJ852018:EHK852020 ERF852018:ERG852020 FBB852018:FBC852020 FKX852018:FKY852020 FUT852018:FUU852020 GEP852018:GEQ852020 GOL852018:GOM852020 GYH852018:GYI852020 HID852018:HIE852020 HRZ852018:HSA852020 IBV852018:IBW852020 ILR852018:ILS852020 IVN852018:IVO852020 JFJ852018:JFK852020 JPF852018:JPG852020 JZB852018:JZC852020 KIX852018:KIY852020 KST852018:KSU852020 LCP852018:LCQ852020 LML852018:LMM852020 LWH852018:LWI852020 MGD852018:MGE852020 MPZ852018:MQA852020 MZV852018:MZW852020 NJR852018:NJS852020 NTN852018:NTO852020 ODJ852018:ODK852020 ONF852018:ONG852020 OXB852018:OXC852020 PGX852018:PGY852020 PQT852018:PQU852020 QAP852018:QAQ852020 QKL852018:QKM852020 QUH852018:QUI852020 RED852018:REE852020 RNZ852018:ROA852020 RXV852018:RXW852020 SHR852018:SHS852020 SRN852018:SRO852020 TBJ852018:TBK852020 TLF852018:TLG852020 TVB852018:TVC852020 UEX852018:UEY852020 UOT852018:UOU852020 UYP852018:UYQ852020 VIL852018:VIM852020 VSH852018:VSI852020 WCD852018:WCE852020 WLZ852018:WMA852020 WVV852018:WVW852020 M917554:N917556 JJ917554:JK917556 TF917554:TG917556 ADB917554:ADC917556 AMX917554:AMY917556 AWT917554:AWU917556 BGP917554:BGQ917556 BQL917554:BQM917556 CAH917554:CAI917556 CKD917554:CKE917556 CTZ917554:CUA917556 DDV917554:DDW917556 DNR917554:DNS917556 DXN917554:DXO917556 EHJ917554:EHK917556 ERF917554:ERG917556 FBB917554:FBC917556 FKX917554:FKY917556 FUT917554:FUU917556 GEP917554:GEQ917556 GOL917554:GOM917556 GYH917554:GYI917556 HID917554:HIE917556 HRZ917554:HSA917556 IBV917554:IBW917556 ILR917554:ILS917556 IVN917554:IVO917556 JFJ917554:JFK917556 JPF917554:JPG917556 JZB917554:JZC917556 KIX917554:KIY917556 KST917554:KSU917556 LCP917554:LCQ917556 LML917554:LMM917556 LWH917554:LWI917556 MGD917554:MGE917556 MPZ917554:MQA917556 MZV917554:MZW917556 NJR917554:NJS917556 NTN917554:NTO917556 ODJ917554:ODK917556 ONF917554:ONG917556 OXB917554:OXC917556 PGX917554:PGY917556 PQT917554:PQU917556 QAP917554:QAQ917556 QKL917554:QKM917556 QUH917554:QUI917556 RED917554:REE917556 RNZ917554:ROA917556 RXV917554:RXW917556 SHR917554:SHS917556 SRN917554:SRO917556 TBJ917554:TBK917556 TLF917554:TLG917556 TVB917554:TVC917556 UEX917554:UEY917556 UOT917554:UOU917556 UYP917554:UYQ917556 VIL917554:VIM917556 VSH917554:VSI917556 WCD917554:WCE917556 WLZ917554:WMA917556 WVV917554:WVW917556 M983090:N983092 JJ983090:JK983092 TF983090:TG983092 ADB983090:ADC983092 AMX983090:AMY983092 AWT983090:AWU983092 BGP983090:BGQ983092 BQL983090:BQM983092 CAH983090:CAI983092 CKD983090:CKE983092 CTZ983090:CUA983092 DDV983090:DDW983092 DNR983090:DNS983092 DXN983090:DXO983092 EHJ983090:EHK983092 ERF983090:ERG983092 FBB983090:FBC983092 FKX983090:FKY983092 FUT983090:FUU983092 GEP983090:GEQ983092 GOL983090:GOM983092 GYH983090:GYI983092 HID983090:HIE983092 HRZ983090:HSA983092 IBV983090:IBW983092 ILR983090:ILS983092 IVN983090:IVO983092 JFJ983090:JFK983092 JPF983090:JPG983092 JZB983090:JZC983092 KIX983090:KIY983092 KST983090:KSU983092 LCP983090:LCQ983092 LML983090:LMM983092 LWH983090:LWI983092 MGD983090:MGE983092 MPZ983090:MQA983092 MZV983090:MZW983092 NJR983090:NJS983092 NTN983090:NTO983092 ODJ983090:ODK983092 ONF983090:ONG983092 OXB983090:OXC983092 PGX983090:PGY983092 PQT983090:PQU983092 QAP983090:QAQ983092 QKL983090:QKM983092 QUH983090:QUI983092 RED983090:REE983092 RNZ983090:ROA983092 RXV983090:RXW983092 SHR983090:SHS983092 SRN983090:SRO983092 TBJ983090:TBK983092 TLF983090:TLG983092 TVB983090:TVC983092 UEX983090:UEY983092 UOT983090:UOU983092 UYP983090:UYQ983092 VIL983090:VIM983092 VSH983090:VSI983092 WCD983090:WCE983092 WLZ983090:WMA983092 WVV983090:WVW983092 WLZ983109:WMA983110 JJ67:JK68 TF67:TG68 ADB67:ADC68 AMX67:AMY68 AWT67:AWU68 BGP67:BGQ68 BQL67:BQM68 CAH67:CAI68 CKD67:CKE68 CTZ67:CUA68 DDV67:DDW68 DNR67:DNS68 DXN67:DXO68 EHJ67:EHK68 ERF67:ERG68 FBB67:FBC68 FKX67:FKY68 FUT67:FUU68 GEP67:GEQ68 GOL67:GOM68 GYH67:GYI68 HID67:HIE68 HRZ67:HSA68 IBV67:IBW68 ILR67:ILS68 IVN67:IVO68 JFJ67:JFK68 JPF67:JPG68 JZB67:JZC68 KIX67:KIY68 KST67:KSU68 LCP67:LCQ68 LML67:LMM68 LWH67:LWI68 MGD67:MGE68 MPZ67:MQA68 MZV67:MZW68 NJR67:NJS68 NTN67:NTO68 ODJ67:ODK68 ONF67:ONG68 OXB67:OXC68 PGX67:PGY68 PQT67:PQU68 QAP67:QAQ68 QKL67:QKM68 QUH67:QUI68 RED67:REE68 RNZ67:ROA68 RXV67:RXW68 SHR67:SHS68 SRN67:SRO68 TBJ67:TBK68 TLF67:TLG68 TVB67:TVC68 UEX67:UEY68 UOT67:UOU68 UYP67:UYQ68 VIL67:VIM68 VSH67:VSI68 WCD67:WCE68 WLZ67:WMA68 WVV67:WVW68 M65605:N65606 JJ65605:JK65606 TF65605:TG65606 ADB65605:ADC65606 AMX65605:AMY65606 AWT65605:AWU65606 BGP65605:BGQ65606 BQL65605:BQM65606 CAH65605:CAI65606 CKD65605:CKE65606 CTZ65605:CUA65606 DDV65605:DDW65606 DNR65605:DNS65606 DXN65605:DXO65606 EHJ65605:EHK65606 ERF65605:ERG65606 FBB65605:FBC65606 FKX65605:FKY65606 FUT65605:FUU65606 GEP65605:GEQ65606 GOL65605:GOM65606 GYH65605:GYI65606 HID65605:HIE65606 HRZ65605:HSA65606 IBV65605:IBW65606 ILR65605:ILS65606 IVN65605:IVO65606 JFJ65605:JFK65606 JPF65605:JPG65606 JZB65605:JZC65606 KIX65605:KIY65606 KST65605:KSU65606 LCP65605:LCQ65606 LML65605:LMM65606 LWH65605:LWI65606 MGD65605:MGE65606 MPZ65605:MQA65606 MZV65605:MZW65606 NJR65605:NJS65606 NTN65605:NTO65606 ODJ65605:ODK65606 ONF65605:ONG65606 OXB65605:OXC65606 PGX65605:PGY65606 PQT65605:PQU65606 QAP65605:QAQ65606 QKL65605:QKM65606 QUH65605:QUI65606 RED65605:REE65606 RNZ65605:ROA65606 RXV65605:RXW65606 SHR65605:SHS65606 SRN65605:SRO65606 TBJ65605:TBK65606 TLF65605:TLG65606 TVB65605:TVC65606 UEX65605:UEY65606 UOT65605:UOU65606 UYP65605:UYQ65606 VIL65605:VIM65606 VSH65605:VSI65606 WCD65605:WCE65606 WLZ65605:WMA65606 WVV65605:WVW65606 M131141:N131142 JJ131141:JK131142 TF131141:TG131142 ADB131141:ADC131142 AMX131141:AMY131142 AWT131141:AWU131142 BGP131141:BGQ131142 BQL131141:BQM131142 CAH131141:CAI131142 CKD131141:CKE131142 CTZ131141:CUA131142 DDV131141:DDW131142 DNR131141:DNS131142 DXN131141:DXO131142 EHJ131141:EHK131142 ERF131141:ERG131142 FBB131141:FBC131142 FKX131141:FKY131142 FUT131141:FUU131142 GEP131141:GEQ131142 GOL131141:GOM131142 GYH131141:GYI131142 HID131141:HIE131142 HRZ131141:HSA131142 IBV131141:IBW131142 ILR131141:ILS131142 IVN131141:IVO131142 JFJ131141:JFK131142 JPF131141:JPG131142 JZB131141:JZC131142 KIX131141:KIY131142 KST131141:KSU131142 LCP131141:LCQ131142 LML131141:LMM131142 LWH131141:LWI131142 MGD131141:MGE131142 MPZ131141:MQA131142 MZV131141:MZW131142 NJR131141:NJS131142 NTN131141:NTO131142 ODJ131141:ODK131142 ONF131141:ONG131142 OXB131141:OXC131142 PGX131141:PGY131142 PQT131141:PQU131142 QAP131141:QAQ131142 QKL131141:QKM131142 QUH131141:QUI131142 RED131141:REE131142 RNZ131141:ROA131142 RXV131141:RXW131142 SHR131141:SHS131142 SRN131141:SRO131142 TBJ131141:TBK131142 TLF131141:TLG131142 TVB131141:TVC131142 UEX131141:UEY131142 UOT131141:UOU131142 UYP131141:UYQ131142 VIL131141:VIM131142 VSH131141:VSI131142 WCD131141:WCE131142 WLZ131141:WMA131142 WVV131141:WVW131142 M196677:N196678 JJ196677:JK196678 TF196677:TG196678 ADB196677:ADC196678 AMX196677:AMY196678 AWT196677:AWU196678 BGP196677:BGQ196678 BQL196677:BQM196678 CAH196677:CAI196678 CKD196677:CKE196678 CTZ196677:CUA196678 DDV196677:DDW196678 DNR196677:DNS196678 DXN196677:DXO196678 EHJ196677:EHK196678 ERF196677:ERG196678 FBB196677:FBC196678 FKX196677:FKY196678 FUT196677:FUU196678 GEP196677:GEQ196678 GOL196677:GOM196678 GYH196677:GYI196678 HID196677:HIE196678 HRZ196677:HSA196678 IBV196677:IBW196678 ILR196677:ILS196678 IVN196677:IVO196678 JFJ196677:JFK196678 JPF196677:JPG196678 JZB196677:JZC196678 KIX196677:KIY196678 KST196677:KSU196678 LCP196677:LCQ196678 LML196677:LMM196678 LWH196677:LWI196678 MGD196677:MGE196678 MPZ196677:MQA196678 MZV196677:MZW196678 NJR196677:NJS196678 NTN196677:NTO196678 ODJ196677:ODK196678 ONF196677:ONG196678 OXB196677:OXC196678 PGX196677:PGY196678 PQT196677:PQU196678 QAP196677:QAQ196678 QKL196677:QKM196678 QUH196677:QUI196678 RED196677:REE196678 RNZ196677:ROA196678 RXV196677:RXW196678 SHR196677:SHS196678 SRN196677:SRO196678 TBJ196677:TBK196678 TLF196677:TLG196678 TVB196677:TVC196678 UEX196677:UEY196678 UOT196677:UOU196678 UYP196677:UYQ196678 VIL196677:VIM196678 VSH196677:VSI196678 WCD196677:WCE196678 WLZ196677:WMA196678 WVV196677:WVW196678 M262213:N262214 JJ262213:JK262214 TF262213:TG262214 ADB262213:ADC262214 AMX262213:AMY262214 AWT262213:AWU262214 BGP262213:BGQ262214 BQL262213:BQM262214 CAH262213:CAI262214 CKD262213:CKE262214 CTZ262213:CUA262214 DDV262213:DDW262214 DNR262213:DNS262214 DXN262213:DXO262214 EHJ262213:EHK262214 ERF262213:ERG262214 FBB262213:FBC262214 FKX262213:FKY262214 FUT262213:FUU262214 GEP262213:GEQ262214 GOL262213:GOM262214 GYH262213:GYI262214 HID262213:HIE262214 HRZ262213:HSA262214 IBV262213:IBW262214 ILR262213:ILS262214 IVN262213:IVO262214 JFJ262213:JFK262214 JPF262213:JPG262214 JZB262213:JZC262214 KIX262213:KIY262214 KST262213:KSU262214 LCP262213:LCQ262214 LML262213:LMM262214 LWH262213:LWI262214 MGD262213:MGE262214 MPZ262213:MQA262214 MZV262213:MZW262214 NJR262213:NJS262214 NTN262213:NTO262214 ODJ262213:ODK262214 ONF262213:ONG262214 OXB262213:OXC262214 PGX262213:PGY262214 PQT262213:PQU262214 QAP262213:QAQ262214 QKL262213:QKM262214 QUH262213:QUI262214 RED262213:REE262214 RNZ262213:ROA262214 RXV262213:RXW262214 SHR262213:SHS262214 SRN262213:SRO262214 TBJ262213:TBK262214 TLF262213:TLG262214 TVB262213:TVC262214 UEX262213:UEY262214 UOT262213:UOU262214 UYP262213:UYQ262214 VIL262213:VIM262214 VSH262213:VSI262214 WCD262213:WCE262214 WLZ262213:WMA262214 WVV262213:WVW262214 M327749:N327750 JJ327749:JK327750 TF327749:TG327750 ADB327749:ADC327750 AMX327749:AMY327750 AWT327749:AWU327750 BGP327749:BGQ327750 BQL327749:BQM327750 CAH327749:CAI327750 CKD327749:CKE327750 CTZ327749:CUA327750 DDV327749:DDW327750 DNR327749:DNS327750 DXN327749:DXO327750 EHJ327749:EHK327750 ERF327749:ERG327750 FBB327749:FBC327750 FKX327749:FKY327750 FUT327749:FUU327750 GEP327749:GEQ327750 GOL327749:GOM327750 GYH327749:GYI327750 HID327749:HIE327750 HRZ327749:HSA327750 IBV327749:IBW327750 ILR327749:ILS327750 IVN327749:IVO327750 JFJ327749:JFK327750 JPF327749:JPG327750 JZB327749:JZC327750 KIX327749:KIY327750 KST327749:KSU327750 LCP327749:LCQ327750 LML327749:LMM327750 LWH327749:LWI327750 MGD327749:MGE327750 MPZ327749:MQA327750 MZV327749:MZW327750 NJR327749:NJS327750 NTN327749:NTO327750 ODJ327749:ODK327750 ONF327749:ONG327750 OXB327749:OXC327750 PGX327749:PGY327750 PQT327749:PQU327750 QAP327749:QAQ327750 QKL327749:QKM327750 QUH327749:QUI327750 RED327749:REE327750 RNZ327749:ROA327750 RXV327749:RXW327750 SHR327749:SHS327750 SRN327749:SRO327750 TBJ327749:TBK327750 TLF327749:TLG327750 TVB327749:TVC327750 UEX327749:UEY327750 UOT327749:UOU327750 UYP327749:UYQ327750 VIL327749:VIM327750 VSH327749:VSI327750 WCD327749:WCE327750 WLZ327749:WMA327750 WVV327749:WVW327750 M393285:N393286 JJ393285:JK393286 TF393285:TG393286 ADB393285:ADC393286 AMX393285:AMY393286 AWT393285:AWU393286 BGP393285:BGQ393286 BQL393285:BQM393286 CAH393285:CAI393286 CKD393285:CKE393286 CTZ393285:CUA393286 DDV393285:DDW393286 DNR393285:DNS393286 DXN393285:DXO393286 EHJ393285:EHK393286 ERF393285:ERG393286 FBB393285:FBC393286 FKX393285:FKY393286 FUT393285:FUU393286 GEP393285:GEQ393286 GOL393285:GOM393286 GYH393285:GYI393286 HID393285:HIE393286 HRZ393285:HSA393286 IBV393285:IBW393286 ILR393285:ILS393286 IVN393285:IVO393286 JFJ393285:JFK393286 JPF393285:JPG393286 JZB393285:JZC393286 KIX393285:KIY393286 KST393285:KSU393286 LCP393285:LCQ393286 LML393285:LMM393286 LWH393285:LWI393286 MGD393285:MGE393286 MPZ393285:MQA393286 MZV393285:MZW393286 NJR393285:NJS393286 NTN393285:NTO393286 ODJ393285:ODK393286 ONF393285:ONG393286 OXB393285:OXC393286 PGX393285:PGY393286 PQT393285:PQU393286 QAP393285:QAQ393286 QKL393285:QKM393286 QUH393285:QUI393286 RED393285:REE393286 RNZ393285:ROA393286 RXV393285:RXW393286 SHR393285:SHS393286 SRN393285:SRO393286 TBJ393285:TBK393286 TLF393285:TLG393286 TVB393285:TVC393286 UEX393285:UEY393286 UOT393285:UOU393286 UYP393285:UYQ393286 VIL393285:VIM393286 VSH393285:VSI393286 WCD393285:WCE393286 WLZ393285:WMA393286 WVV393285:WVW393286 M458821:N458822 JJ458821:JK458822 TF458821:TG458822 ADB458821:ADC458822 AMX458821:AMY458822 AWT458821:AWU458822 BGP458821:BGQ458822 BQL458821:BQM458822 CAH458821:CAI458822 CKD458821:CKE458822 CTZ458821:CUA458822 DDV458821:DDW458822 DNR458821:DNS458822 DXN458821:DXO458822 EHJ458821:EHK458822 ERF458821:ERG458822 FBB458821:FBC458822 FKX458821:FKY458822 FUT458821:FUU458822 GEP458821:GEQ458822 GOL458821:GOM458822 GYH458821:GYI458822 HID458821:HIE458822 HRZ458821:HSA458822 IBV458821:IBW458822 ILR458821:ILS458822 IVN458821:IVO458822 JFJ458821:JFK458822 JPF458821:JPG458822 JZB458821:JZC458822 KIX458821:KIY458822 KST458821:KSU458822 LCP458821:LCQ458822 LML458821:LMM458822 LWH458821:LWI458822 MGD458821:MGE458822 MPZ458821:MQA458822 MZV458821:MZW458822 NJR458821:NJS458822 NTN458821:NTO458822 ODJ458821:ODK458822 ONF458821:ONG458822 OXB458821:OXC458822 PGX458821:PGY458822 PQT458821:PQU458822 QAP458821:QAQ458822 QKL458821:QKM458822 QUH458821:QUI458822 RED458821:REE458822 RNZ458821:ROA458822 RXV458821:RXW458822 SHR458821:SHS458822 SRN458821:SRO458822 TBJ458821:TBK458822 TLF458821:TLG458822 TVB458821:TVC458822 UEX458821:UEY458822 UOT458821:UOU458822 UYP458821:UYQ458822 VIL458821:VIM458822 VSH458821:VSI458822 WCD458821:WCE458822 WLZ458821:WMA458822 WVV458821:WVW458822 M524357:N524358 JJ524357:JK524358 TF524357:TG524358 ADB524357:ADC524358 AMX524357:AMY524358 AWT524357:AWU524358 BGP524357:BGQ524358 BQL524357:BQM524358 CAH524357:CAI524358 CKD524357:CKE524358 CTZ524357:CUA524358 DDV524357:DDW524358 DNR524357:DNS524358 DXN524357:DXO524358 EHJ524357:EHK524358 ERF524357:ERG524358 FBB524357:FBC524358 FKX524357:FKY524358 FUT524357:FUU524358 GEP524357:GEQ524358 GOL524357:GOM524358 GYH524357:GYI524358 HID524357:HIE524358 HRZ524357:HSA524358 IBV524357:IBW524358 ILR524357:ILS524358 IVN524357:IVO524358 JFJ524357:JFK524358 JPF524357:JPG524358 JZB524357:JZC524358 KIX524357:KIY524358 KST524357:KSU524358 LCP524357:LCQ524358 LML524357:LMM524358 LWH524357:LWI524358 MGD524357:MGE524358 MPZ524357:MQA524358 MZV524357:MZW524358 NJR524357:NJS524358 NTN524357:NTO524358 ODJ524357:ODK524358 ONF524357:ONG524358 OXB524357:OXC524358 PGX524357:PGY524358 PQT524357:PQU524358 QAP524357:QAQ524358 QKL524357:QKM524358 QUH524357:QUI524358 RED524357:REE524358 RNZ524357:ROA524358 RXV524357:RXW524358 SHR524357:SHS524358 SRN524357:SRO524358 TBJ524357:TBK524358 TLF524357:TLG524358 TVB524357:TVC524358 UEX524357:UEY524358 UOT524357:UOU524358 UYP524357:UYQ524358 VIL524357:VIM524358 VSH524357:VSI524358 WCD524357:WCE524358 WLZ524357:WMA524358 WVV524357:WVW524358 M589893:N589894 JJ589893:JK589894 TF589893:TG589894 ADB589893:ADC589894 AMX589893:AMY589894 AWT589893:AWU589894 BGP589893:BGQ589894 BQL589893:BQM589894 CAH589893:CAI589894 CKD589893:CKE589894 CTZ589893:CUA589894 DDV589893:DDW589894 DNR589893:DNS589894 DXN589893:DXO589894 EHJ589893:EHK589894 ERF589893:ERG589894 FBB589893:FBC589894 FKX589893:FKY589894 FUT589893:FUU589894 GEP589893:GEQ589894 GOL589893:GOM589894 GYH589893:GYI589894 HID589893:HIE589894 HRZ589893:HSA589894 IBV589893:IBW589894 ILR589893:ILS589894 IVN589893:IVO589894 JFJ589893:JFK589894 JPF589893:JPG589894 JZB589893:JZC589894 KIX589893:KIY589894 KST589893:KSU589894 LCP589893:LCQ589894 LML589893:LMM589894 LWH589893:LWI589894 MGD589893:MGE589894 MPZ589893:MQA589894 MZV589893:MZW589894 NJR589893:NJS589894 NTN589893:NTO589894 ODJ589893:ODK589894 ONF589893:ONG589894 OXB589893:OXC589894 PGX589893:PGY589894 PQT589893:PQU589894 QAP589893:QAQ589894 QKL589893:QKM589894 QUH589893:QUI589894 RED589893:REE589894 RNZ589893:ROA589894 RXV589893:RXW589894 SHR589893:SHS589894 SRN589893:SRO589894 TBJ589893:TBK589894 TLF589893:TLG589894 TVB589893:TVC589894 UEX589893:UEY589894 UOT589893:UOU589894 UYP589893:UYQ589894 VIL589893:VIM589894 VSH589893:VSI589894 WCD589893:WCE589894 WLZ589893:WMA589894 WVV589893:WVW589894 M655429:N655430 JJ655429:JK655430 TF655429:TG655430 ADB655429:ADC655430 AMX655429:AMY655430 AWT655429:AWU655430 BGP655429:BGQ655430 BQL655429:BQM655430 CAH655429:CAI655430 CKD655429:CKE655430 CTZ655429:CUA655430 DDV655429:DDW655430 DNR655429:DNS655430 DXN655429:DXO655430 EHJ655429:EHK655430 ERF655429:ERG655430 FBB655429:FBC655430 FKX655429:FKY655430 FUT655429:FUU655430 GEP655429:GEQ655430 GOL655429:GOM655430 GYH655429:GYI655430 HID655429:HIE655430 HRZ655429:HSA655430 IBV655429:IBW655430 ILR655429:ILS655430 IVN655429:IVO655430 JFJ655429:JFK655430 JPF655429:JPG655430 JZB655429:JZC655430 KIX655429:KIY655430 KST655429:KSU655430 LCP655429:LCQ655430 LML655429:LMM655430 LWH655429:LWI655430 MGD655429:MGE655430 MPZ655429:MQA655430 MZV655429:MZW655430 NJR655429:NJS655430 NTN655429:NTO655430 ODJ655429:ODK655430 ONF655429:ONG655430 OXB655429:OXC655430 PGX655429:PGY655430 PQT655429:PQU655430 QAP655429:QAQ655430 QKL655429:QKM655430 QUH655429:QUI655430 RED655429:REE655430 RNZ655429:ROA655430 RXV655429:RXW655430 SHR655429:SHS655430 SRN655429:SRO655430 TBJ655429:TBK655430 TLF655429:TLG655430 TVB655429:TVC655430 UEX655429:UEY655430 UOT655429:UOU655430 UYP655429:UYQ655430 VIL655429:VIM655430 VSH655429:VSI655430 WCD655429:WCE655430 WLZ655429:WMA655430 WVV655429:WVW655430 M720965:N720966 JJ720965:JK720966 TF720965:TG720966 ADB720965:ADC720966 AMX720965:AMY720966 AWT720965:AWU720966 BGP720965:BGQ720966 BQL720965:BQM720966 CAH720965:CAI720966 CKD720965:CKE720966 CTZ720965:CUA720966 DDV720965:DDW720966 DNR720965:DNS720966 DXN720965:DXO720966 EHJ720965:EHK720966 ERF720965:ERG720966 FBB720965:FBC720966 FKX720965:FKY720966 FUT720965:FUU720966 GEP720965:GEQ720966 GOL720965:GOM720966 GYH720965:GYI720966 HID720965:HIE720966 HRZ720965:HSA720966 IBV720965:IBW720966 ILR720965:ILS720966 IVN720965:IVO720966 JFJ720965:JFK720966 JPF720965:JPG720966 JZB720965:JZC720966 KIX720965:KIY720966 KST720965:KSU720966 LCP720965:LCQ720966 LML720965:LMM720966 LWH720965:LWI720966 MGD720965:MGE720966 MPZ720965:MQA720966 MZV720965:MZW720966 NJR720965:NJS720966 NTN720965:NTO720966 ODJ720965:ODK720966 ONF720965:ONG720966 OXB720965:OXC720966 PGX720965:PGY720966 PQT720965:PQU720966 QAP720965:QAQ720966 QKL720965:QKM720966 QUH720965:QUI720966 RED720965:REE720966 RNZ720965:ROA720966 RXV720965:RXW720966 SHR720965:SHS720966 SRN720965:SRO720966 TBJ720965:TBK720966 TLF720965:TLG720966 TVB720965:TVC720966 UEX720965:UEY720966 UOT720965:UOU720966 UYP720965:UYQ720966 VIL720965:VIM720966 VSH720965:VSI720966 WCD720965:WCE720966 WLZ720965:WMA720966 WVV720965:WVW720966 M786501:N786502 JJ786501:JK786502 TF786501:TG786502 ADB786501:ADC786502 AMX786501:AMY786502 AWT786501:AWU786502 BGP786501:BGQ786502 BQL786501:BQM786502 CAH786501:CAI786502 CKD786501:CKE786502 CTZ786501:CUA786502 DDV786501:DDW786502 DNR786501:DNS786502 DXN786501:DXO786502 EHJ786501:EHK786502 ERF786501:ERG786502 FBB786501:FBC786502 FKX786501:FKY786502 FUT786501:FUU786502 GEP786501:GEQ786502 GOL786501:GOM786502 GYH786501:GYI786502 HID786501:HIE786502 HRZ786501:HSA786502 IBV786501:IBW786502 ILR786501:ILS786502 IVN786501:IVO786502 JFJ786501:JFK786502 JPF786501:JPG786502 JZB786501:JZC786502 KIX786501:KIY786502 KST786501:KSU786502 LCP786501:LCQ786502 LML786501:LMM786502 LWH786501:LWI786502 MGD786501:MGE786502 MPZ786501:MQA786502 MZV786501:MZW786502 NJR786501:NJS786502 NTN786501:NTO786502 ODJ786501:ODK786502 ONF786501:ONG786502 OXB786501:OXC786502 PGX786501:PGY786502 PQT786501:PQU786502 QAP786501:QAQ786502 QKL786501:QKM786502 QUH786501:QUI786502 RED786501:REE786502 RNZ786501:ROA786502 RXV786501:RXW786502 SHR786501:SHS786502 SRN786501:SRO786502 TBJ786501:TBK786502 TLF786501:TLG786502 TVB786501:TVC786502 UEX786501:UEY786502 UOT786501:UOU786502 UYP786501:UYQ786502 VIL786501:VIM786502 VSH786501:VSI786502 WCD786501:WCE786502 WLZ786501:WMA786502 WVV786501:WVW786502 M852037:N852038 JJ852037:JK852038 TF852037:TG852038 ADB852037:ADC852038 AMX852037:AMY852038 AWT852037:AWU852038 BGP852037:BGQ852038 BQL852037:BQM852038 CAH852037:CAI852038 CKD852037:CKE852038 CTZ852037:CUA852038 DDV852037:DDW852038 DNR852037:DNS852038 DXN852037:DXO852038 EHJ852037:EHK852038 ERF852037:ERG852038 FBB852037:FBC852038 FKX852037:FKY852038 FUT852037:FUU852038 GEP852037:GEQ852038 GOL852037:GOM852038 GYH852037:GYI852038 HID852037:HIE852038 HRZ852037:HSA852038 IBV852037:IBW852038 ILR852037:ILS852038 IVN852037:IVO852038 JFJ852037:JFK852038 JPF852037:JPG852038 JZB852037:JZC852038 KIX852037:KIY852038 KST852037:KSU852038 LCP852037:LCQ852038 LML852037:LMM852038 LWH852037:LWI852038 MGD852037:MGE852038 MPZ852037:MQA852038 MZV852037:MZW852038 NJR852037:NJS852038 NTN852037:NTO852038 ODJ852037:ODK852038 ONF852037:ONG852038 OXB852037:OXC852038 PGX852037:PGY852038 PQT852037:PQU852038 QAP852037:QAQ852038 QKL852037:QKM852038 QUH852037:QUI852038 RED852037:REE852038 RNZ852037:ROA852038 RXV852037:RXW852038 SHR852037:SHS852038 SRN852037:SRO852038 TBJ852037:TBK852038 TLF852037:TLG852038 TVB852037:TVC852038 UEX852037:UEY852038 UOT852037:UOU852038 UYP852037:UYQ852038 VIL852037:VIM852038 VSH852037:VSI852038 WCD852037:WCE852038 WLZ852037:WMA852038 WVV852037:WVW852038 M917573:N917574 JJ917573:JK917574 TF917573:TG917574 ADB917573:ADC917574 AMX917573:AMY917574 AWT917573:AWU917574 BGP917573:BGQ917574 BQL917573:BQM917574 CAH917573:CAI917574 CKD917573:CKE917574 CTZ917573:CUA917574 DDV917573:DDW917574 DNR917573:DNS917574 DXN917573:DXO917574 EHJ917573:EHK917574 ERF917573:ERG917574 FBB917573:FBC917574 FKX917573:FKY917574 FUT917573:FUU917574 GEP917573:GEQ917574 GOL917573:GOM917574 GYH917573:GYI917574 HID917573:HIE917574 HRZ917573:HSA917574 IBV917573:IBW917574 ILR917573:ILS917574 IVN917573:IVO917574 JFJ917573:JFK917574 JPF917573:JPG917574 JZB917573:JZC917574 KIX917573:KIY917574 KST917573:KSU917574 LCP917573:LCQ917574 LML917573:LMM917574 LWH917573:LWI917574 MGD917573:MGE917574 MPZ917573:MQA917574 MZV917573:MZW917574 NJR917573:NJS917574 NTN917573:NTO917574 ODJ917573:ODK917574 ONF917573:ONG917574 OXB917573:OXC917574 PGX917573:PGY917574 PQT917573:PQU917574 QAP917573:QAQ917574 QKL917573:QKM917574 QUH917573:QUI917574 RED917573:REE917574 RNZ917573:ROA917574 RXV917573:RXW917574 SHR917573:SHS917574 SRN917573:SRO917574 TBJ917573:TBK917574 TLF917573:TLG917574 TVB917573:TVC917574 UEX917573:UEY917574 UOT917573:UOU917574 UYP917573:UYQ917574 VIL917573:VIM917574 VSH917573:VSI917574 WCD917573:WCE917574 WLZ917573:WMA917574 WVV917573:WVW917574 M983109:N983110 JJ983109:JK983110 TF983109:TG983110 ADB983109:ADC983110 AMX983109:AMY983110 AWT983109:AWU983110 BGP983109:BGQ983110 BQL983109:BQM983110 CAH983109:CAI983110 CKD983109:CKE983110 CTZ983109:CUA983110 DDV983109:DDW983110 DNR983109:DNS983110 DXN983109:DXO983110 EHJ983109:EHK983110 ERF983109:ERG983110 FBB983109:FBC983110 FKX983109:FKY983110 FUT983109:FUU983110 GEP983109:GEQ983110 GOL983109:GOM983110 GYH983109:GYI983110 HID983109:HIE983110 HRZ983109:HSA983110 IBV983109:IBW983110 ILR983109:ILS983110 IVN983109:IVO983110 JFJ983109:JFK983110 JPF983109:JPG983110 JZB983109:JZC983110 KIX983109:KIY983110 KST983109:KSU983110 LCP983109:LCQ983110 LML983109:LMM983110 LWH983109:LWI983110 MGD983109:MGE983110 MPZ983109:MQA983110 MZV983109:MZW983110 NJR983109:NJS983110 NTN983109:NTO983110 ODJ983109:ODK983110 ONF983109:ONG983110 OXB983109:OXC983110 PGX983109:PGY983110 PQT983109:PQU983110 QAP983109:QAQ983110 QKL983109:QKM983110 QUH983109:QUI983110 RED983109:REE983110 RNZ983109:ROA983110 RXV983109:RXW983110 SHR983109:SHS983110 SRN983109:SRO983110 TBJ983109:TBK983110 TLF983109:TLG983110 TVB983109:TVC983110 UEX983109:UEY983110 UOT983109:UOU983110 UYP983109:UYQ983110 VIL983109:VIM983110 JJ87:JK89">
      <formula1>"○,　"</formula1>
    </dataValidation>
    <dataValidation type="list" allowBlank="1" showInputMessage="1" showErrorMessage="1" sqref="WVW90:WVW91 WMA90:WMA91 WCE90:WCE91 VSI90:VSI91 VIM90:VIM91 UYQ90:UYQ91 UOU90:UOU91 UEY90:UEY91 TVC90:TVC91 TLG90:TLG91 TBK90:TBK91 SRO90:SRO91 SHS90:SHS91 RXW90:RXW91 ROA90:ROA91 REE90:REE91 QUI90:QUI91 QKM90:QKM91 QAQ90:QAQ91 PQU90:PQU91 PGY90:PGY91 OXC90:OXC91 ONG90:ONG91 ODK90:ODK91 NTO90:NTO91 NJS90:NJS91 MZW90:MZW91 MQA90:MQA91 MGE90:MGE91 LWI90:LWI91 LMM90:LMM91 LCQ90:LCQ91 KSU90:KSU91 KIY90:KIY91 JZC90:JZC91 JPG90:JPG91 JFK90:JFK91 IVO90:IVO91 ILS90:ILS91 IBW90:IBW91 HSA90:HSA91 HIE90:HIE91 GYI90:GYI91 GOM90:GOM91 GEQ90:GEQ91 FUU90:FUU91 FKY90:FKY91 FBC90:FBC91 ERG90:ERG91 EHK90:EHK91 DXO90:DXO91 DNS90:DNS91 DDW90:DDW91 CUA90:CUA91 CKE90:CKE91 CAI90:CAI91 BQM90:BQM91 BGQ90:BGQ91 AWU90:AWU91 AMY90:AMY91 ADC90:ADC91 TG90:TG91 JK90:JK91">
      <formula1>"○,　,対象外"</formula1>
    </dataValidation>
  </dataValidations>
  <printOptions horizontalCentered="1"/>
  <pageMargins left="0.39370078740157483" right="0.39370078740157483" top="0.59055118110236227" bottom="0.39370078740157483" header="0.31496062992125984" footer="0.51181102362204722"/>
  <pageSetup paperSize="9" scale="53" orientation="portrait" horizontalDpi="300" verticalDpi="300" r:id="rId1"/>
  <headerFooter alignWithMargins="0"/>
  <drawing r:id="rId2"/>
  <legacyDrawing r:id="rId3"/>
  <extLst xmlns:x14="http://schemas.microsoft.com/office/spreadsheetml/2009/9/main">
    <ext uri="{CCE6A557-97BC-4b89-ADB6-D9C93CAAB3DF}">
      <x14:dataValidations xmlns:xm="http://schemas.microsoft.com/office/excel/2006/main" count="1">
        <x14:dataValidation type="whole" allowBlank="1" showInputMessage="1" showErrorMessage="1">
          <x14:formula1>
            <xm:f>1</xm:f>
          </x14:formula1>
          <x14:formula2>
            <xm:f>5</xm:f>
          </x14:formula2>
          <xm:sqref>UEX983082:UEY983085 JJ72:JK74 TF72:TG74 ADB72:ADC74 AMX72:AMY74 AWT72:AWU74 BGP72:BGQ74 BQL72:BQM74 CAH72:CAI74 CKD72:CKE74 CTZ72:CUA74 DDV72:DDW74 DNR72:DNS74 DXN72:DXO74 EHJ72:EHK74 ERF72:ERG74 FBB72:FBC74 FKX72:FKY74 FUT72:FUU74 GEP72:GEQ74 GOL72:GOM74 GYH72:GYI74 HID72:HIE74 HRZ72:HSA74 IBV72:IBW74 ILR72:ILS74 IVN72:IVO74 JFJ72:JFK74 JPF72:JPG74 JZB72:JZC74 KIX72:KIY74 KST72:KSU74 LCP72:LCQ74 LML72:LMM74 LWH72:LWI74 MGD72:MGE74 MPZ72:MQA74 MZV72:MZW74 NJR72:NJS74 NTN72:NTO74 ODJ72:ODK74 ONF72:ONG74 OXB72:OXC74 PGX72:PGY74 PQT72:PQU74 QAP72:QAQ74 QKL72:QKM74 QUH72:QUI74 RED72:REE74 RNZ72:ROA74 RXV72:RXW74 SHR72:SHS74 SRN72:SRO74 TBJ72:TBK74 TLF72:TLG74 TVB72:TVC74 UEX72:UEY74 UOT72:UOU74 UYP72:UYQ74 VIL72:VIM74 VSH72:VSI74 WCD72:WCE74 WLZ72:WMA74 WVV72:WVW74 M65610:N65612 JJ65610:JK65612 TF65610:TG65612 ADB65610:ADC65612 AMX65610:AMY65612 AWT65610:AWU65612 BGP65610:BGQ65612 BQL65610:BQM65612 CAH65610:CAI65612 CKD65610:CKE65612 CTZ65610:CUA65612 DDV65610:DDW65612 DNR65610:DNS65612 DXN65610:DXO65612 EHJ65610:EHK65612 ERF65610:ERG65612 FBB65610:FBC65612 FKX65610:FKY65612 FUT65610:FUU65612 GEP65610:GEQ65612 GOL65610:GOM65612 GYH65610:GYI65612 HID65610:HIE65612 HRZ65610:HSA65612 IBV65610:IBW65612 ILR65610:ILS65612 IVN65610:IVO65612 JFJ65610:JFK65612 JPF65610:JPG65612 JZB65610:JZC65612 KIX65610:KIY65612 KST65610:KSU65612 LCP65610:LCQ65612 LML65610:LMM65612 LWH65610:LWI65612 MGD65610:MGE65612 MPZ65610:MQA65612 MZV65610:MZW65612 NJR65610:NJS65612 NTN65610:NTO65612 ODJ65610:ODK65612 ONF65610:ONG65612 OXB65610:OXC65612 PGX65610:PGY65612 PQT65610:PQU65612 QAP65610:QAQ65612 QKL65610:QKM65612 QUH65610:QUI65612 RED65610:REE65612 RNZ65610:ROA65612 RXV65610:RXW65612 SHR65610:SHS65612 SRN65610:SRO65612 TBJ65610:TBK65612 TLF65610:TLG65612 TVB65610:TVC65612 UEX65610:UEY65612 UOT65610:UOU65612 UYP65610:UYQ65612 VIL65610:VIM65612 VSH65610:VSI65612 WCD65610:WCE65612 WLZ65610:WMA65612 WVV65610:WVW65612 M131146:N131148 JJ131146:JK131148 TF131146:TG131148 ADB131146:ADC131148 AMX131146:AMY131148 AWT131146:AWU131148 BGP131146:BGQ131148 BQL131146:BQM131148 CAH131146:CAI131148 CKD131146:CKE131148 CTZ131146:CUA131148 DDV131146:DDW131148 DNR131146:DNS131148 DXN131146:DXO131148 EHJ131146:EHK131148 ERF131146:ERG131148 FBB131146:FBC131148 FKX131146:FKY131148 FUT131146:FUU131148 GEP131146:GEQ131148 GOL131146:GOM131148 GYH131146:GYI131148 HID131146:HIE131148 HRZ131146:HSA131148 IBV131146:IBW131148 ILR131146:ILS131148 IVN131146:IVO131148 JFJ131146:JFK131148 JPF131146:JPG131148 JZB131146:JZC131148 KIX131146:KIY131148 KST131146:KSU131148 LCP131146:LCQ131148 LML131146:LMM131148 LWH131146:LWI131148 MGD131146:MGE131148 MPZ131146:MQA131148 MZV131146:MZW131148 NJR131146:NJS131148 NTN131146:NTO131148 ODJ131146:ODK131148 ONF131146:ONG131148 OXB131146:OXC131148 PGX131146:PGY131148 PQT131146:PQU131148 QAP131146:QAQ131148 QKL131146:QKM131148 QUH131146:QUI131148 RED131146:REE131148 RNZ131146:ROA131148 RXV131146:RXW131148 SHR131146:SHS131148 SRN131146:SRO131148 TBJ131146:TBK131148 TLF131146:TLG131148 TVB131146:TVC131148 UEX131146:UEY131148 UOT131146:UOU131148 UYP131146:UYQ131148 VIL131146:VIM131148 VSH131146:VSI131148 WCD131146:WCE131148 WLZ131146:WMA131148 WVV131146:WVW131148 M196682:N196684 JJ196682:JK196684 TF196682:TG196684 ADB196682:ADC196684 AMX196682:AMY196684 AWT196682:AWU196684 BGP196682:BGQ196684 BQL196682:BQM196684 CAH196682:CAI196684 CKD196682:CKE196684 CTZ196682:CUA196684 DDV196682:DDW196684 DNR196682:DNS196684 DXN196682:DXO196684 EHJ196682:EHK196684 ERF196682:ERG196684 FBB196682:FBC196684 FKX196682:FKY196684 FUT196682:FUU196684 GEP196682:GEQ196684 GOL196682:GOM196684 GYH196682:GYI196684 HID196682:HIE196684 HRZ196682:HSA196684 IBV196682:IBW196684 ILR196682:ILS196684 IVN196682:IVO196684 JFJ196682:JFK196684 JPF196682:JPG196684 JZB196682:JZC196684 KIX196682:KIY196684 KST196682:KSU196684 LCP196682:LCQ196684 LML196682:LMM196684 LWH196682:LWI196684 MGD196682:MGE196684 MPZ196682:MQA196684 MZV196682:MZW196684 NJR196682:NJS196684 NTN196682:NTO196684 ODJ196682:ODK196684 ONF196682:ONG196684 OXB196682:OXC196684 PGX196682:PGY196684 PQT196682:PQU196684 QAP196682:QAQ196684 QKL196682:QKM196684 QUH196682:QUI196684 RED196682:REE196684 RNZ196682:ROA196684 RXV196682:RXW196684 SHR196682:SHS196684 SRN196682:SRO196684 TBJ196682:TBK196684 TLF196682:TLG196684 TVB196682:TVC196684 UEX196682:UEY196684 UOT196682:UOU196684 UYP196682:UYQ196684 VIL196682:VIM196684 VSH196682:VSI196684 WCD196682:WCE196684 WLZ196682:WMA196684 WVV196682:WVW196684 M262218:N262220 JJ262218:JK262220 TF262218:TG262220 ADB262218:ADC262220 AMX262218:AMY262220 AWT262218:AWU262220 BGP262218:BGQ262220 BQL262218:BQM262220 CAH262218:CAI262220 CKD262218:CKE262220 CTZ262218:CUA262220 DDV262218:DDW262220 DNR262218:DNS262220 DXN262218:DXO262220 EHJ262218:EHK262220 ERF262218:ERG262220 FBB262218:FBC262220 FKX262218:FKY262220 FUT262218:FUU262220 GEP262218:GEQ262220 GOL262218:GOM262220 GYH262218:GYI262220 HID262218:HIE262220 HRZ262218:HSA262220 IBV262218:IBW262220 ILR262218:ILS262220 IVN262218:IVO262220 JFJ262218:JFK262220 JPF262218:JPG262220 JZB262218:JZC262220 KIX262218:KIY262220 KST262218:KSU262220 LCP262218:LCQ262220 LML262218:LMM262220 LWH262218:LWI262220 MGD262218:MGE262220 MPZ262218:MQA262220 MZV262218:MZW262220 NJR262218:NJS262220 NTN262218:NTO262220 ODJ262218:ODK262220 ONF262218:ONG262220 OXB262218:OXC262220 PGX262218:PGY262220 PQT262218:PQU262220 QAP262218:QAQ262220 QKL262218:QKM262220 QUH262218:QUI262220 RED262218:REE262220 RNZ262218:ROA262220 RXV262218:RXW262220 SHR262218:SHS262220 SRN262218:SRO262220 TBJ262218:TBK262220 TLF262218:TLG262220 TVB262218:TVC262220 UEX262218:UEY262220 UOT262218:UOU262220 UYP262218:UYQ262220 VIL262218:VIM262220 VSH262218:VSI262220 WCD262218:WCE262220 WLZ262218:WMA262220 WVV262218:WVW262220 M327754:N327756 JJ327754:JK327756 TF327754:TG327756 ADB327754:ADC327756 AMX327754:AMY327756 AWT327754:AWU327756 BGP327754:BGQ327756 BQL327754:BQM327756 CAH327754:CAI327756 CKD327754:CKE327756 CTZ327754:CUA327756 DDV327754:DDW327756 DNR327754:DNS327756 DXN327754:DXO327756 EHJ327754:EHK327756 ERF327754:ERG327756 FBB327754:FBC327756 FKX327754:FKY327756 FUT327754:FUU327756 GEP327754:GEQ327756 GOL327754:GOM327756 GYH327754:GYI327756 HID327754:HIE327756 HRZ327754:HSA327756 IBV327754:IBW327756 ILR327754:ILS327756 IVN327754:IVO327756 JFJ327754:JFK327756 JPF327754:JPG327756 JZB327754:JZC327756 KIX327754:KIY327756 KST327754:KSU327756 LCP327754:LCQ327756 LML327754:LMM327756 LWH327754:LWI327756 MGD327754:MGE327756 MPZ327754:MQA327756 MZV327754:MZW327756 NJR327754:NJS327756 NTN327754:NTO327756 ODJ327754:ODK327756 ONF327754:ONG327756 OXB327754:OXC327756 PGX327754:PGY327756 PQT327754:PQU327756 QAP327754:QAQ327756 QKL327754:QKM327756 QUH327754:QUI327756 RED327754:REE327756 RNZ327754:ROA327756 RXV327754:RXW327756 SHR327754:SHS327756 SRN327754:SRO327756 TBJ327754:TBK327756 TLF327754:TLG327756 TVB327754:TVC327756 UEX327754:UEY327756 UOT327754:UOU327756 UYP327754:UYQ327756 VIL327754:VIM327756 VSH327754:VSI327756 WCD327754:WCE327756 WLZ327754:WMA327756 WVV327754:WVW327756 M393290:N393292 JJ393290:JK393292 TF393290:TG393292 ADB393290:ADC393292 AMX393290:AMY393292 AWT393290:AWU393292 BGP393290:BGQ393292 BQL393290:BQM393292 CAH393290:CAI393292 CKD393290:CKE393292 CTZ393290:CUA393292 DDV393290:DDW393292 DNR393290:DNS393292 DXN393290:DXO393292 EHJ393290:EHK393292 ERF393290:ERG393292 FBB393290:FBC393292 FKX393290:FKY393292 FUT393290:FUU393292 GEP393290:GEQ393292 GOL393290:GOM393292 GYH393290:GYI393292 HID393290:HIE393292 HRZ393290:HSA393292 IBV393290:IBW393292 ILR393290:ILS393292 IVN393290:IVO393292 JFJ393290:JFK393292 JPF393290:JPG393292 JZB393290:JZC393292 KIX393290:KIY393292 KST393290:KSU393292 LCP393290:LCQ393292 LML393290:LMM393292 LWH393290:LWI393292 MGD393290:MGE393292 MPZ393290:MQA393292 MZV393290:MZW393292 NJR393290:NJS393292 NTN393290:NTO393292 ODJ393290:ODK393292 ONF393290:ONG393292 OXB393290:OXC393292 PGX393290:PGY393292 PQT393290:PQU393292 QAP393290:QAQ393292 QKL393290:QKM393292 QUH393290:QUI393292 RED393290:REE393292 RNZ393290:ROA393292 RXV393290:RXW393292 SHR393290:SHS393292 SRN393290:SRO393292 TBJ393290:TBK393292 TLF393290:TLG393292 TVB393290:TVC393292 UEX393290:UEY393292 UOT393290:UOU393292 UYP393290:UYQ393292 VIL393290:VIM393292 VSH393290:VSI393292 WCD393290:WCE393292 WLZ393290:WMA393292 WVV393290:WVW393292 M458826:N458828 JJ458826:JK458828 TF458826:TG458828 ADB458826:ADC458828 AMX458826:AMY458828 AWT458826:AWU458828 BGP458826:BGQ458828 BQL458826:BQM458828 CAH458826:CAI458828 CKD458826:CKE458828 CTZ458826:CUA458828 DDV458826:DDW458828 DNR458826:DNS458828 DXN458826:DXO458828 EHJ458826:EHK458828 ERF458826:ERG458828 FBB458826:FBC458828 FKX458826:FKY458828 FUT458826:FUU458828 GEP458826:GEQ458828 GOL458826:GOM458828 GYH458826:GYI458828 HID458826:HIE458828 HRZ458826:HSA458828 IBV458826:IBW458828 ILR458826:ILS458828 IVN458826:IVO458828 JFJ458826:JFK458828 JPF458826:JPG458828 JZB458826:JZC458828 KIX458826:KIY458828 KST458826:KSU458828 LCP458826:LCQ458828 LML458826:LMM458828 LWH458826:LWI458828 MGD458826:MGE458828 MPZ458826:MQA458828 MZV458826:MZW458828 NJR458826:NJS458828 NTN458826:NTO458828 ODJ458826:ODK458828 ONF458826:ONG458828 OXB458826:OXC458828 PGX458826:PGY458828 PQT458826:PQU458828 QAP458826:QAQ458828 QKL458826:QKM458828 QUH458826:QUI458828 RED458826:REE458828 RNZ458826:ROA458828 RXV458826:RXW458828 SHR458826:SHS458828 SRN458826:SRO458828 TBJ458826:TBK458828 TLF458826:TLG458828 TVB458826:TVC458828 UEX458826:UEY458828 UOT458826:UOU458828 UYP458826:UYQ458828 VIL458826:VIM458828 VSH458826:VSI458828 WCD458826:WCE458828 WLZ458826:WMA458828 WVV458826:WVW458828 M524362:N524364 JJ524362:JK524364 TF524362:TG524364 ADB524362:ADC524364 AMX524362:AMY524364 AWT524362:AWU524364 BGP524362:BGQ524364 BQL524362:BQM524364 CAH524362:CAI524364 CKD524362:CKE524364 CTZ524362:CUA524364 DDV524362:DDW524364 DNR524362:DNS524364 DXN524362:DXO524364 EHJ524362:EHK524364 ERF524362:ERG524364 FBB524362:FBC524364 FKX524362:FKY524364 FUT524362:FUU524364 GEP524362:GEQ524364 GOL524362:GOM524364 GYH524362:GYI524364 HID524362:HIE524364 HRZ524362:HSA524364 IBV524362:IBW524364 ILR524362:ILS524364 IVN524362:IVO524364 JFJ524362:JFK524364 JPF524362:JPG524364 JZB524362:JZC524364 KIX524362:KIY524364 KST524362:KSU524364 LCP524362:LCQ524364 LML524362:LMM524364 LWH524362:LWI524364 MGD524362:MGE524364 MPZ524362:MQA524364 MZV524362:MZW524364 NJR524362:NJS524364 NTN524362:NTO524364 ODJ524362:ODK524364 ONF524362:ONG524364 OXB524362:OXC524364 PGX524362:PGY524364 PQT524362:PQU524364 QAP524362:QAQ524364 QKL524362:QKM524364 QUH524362:QUI524364 RED524362:REE524364 RNZ524362:ROA524364 RXV524362:RXW524364 SHR524362:SHS524364 SRN524362:SRO524364 TBJ524362:TBK524364 TLF524362:TLG524364 TVB524362:TVC524364 UEX524362:UEY524364 UOT524362:UOU524364 UYP524362:UYQ524364 VIL524362:VIM524364 VSH524362:VSI524364 WCD524362:WCE524364 WLZ524362:WMA524364 WVV524362:WVW524364 M589898:N589900 JJ589898:JK589900 TF589898:TG589900 ADB589898:ADC589900 AMX589898:AMY589900 AWT589898:AWU589900 BGP589898:BGQ589900 BQL589898:BQM589900 CAH589898:CAI589900 CKD589898:CKE589900 CTZ589898:CUA589900 DDV589898:DDW589900 DNR589898:DNS589900 DXN589898:DXO589900 EHJ589898:EHK589900 ERF589898:ERG589900 FBB589898:FBC589900 FKX589898:FKY589900 FUT589898:FUU589900 GEP589898:GEQ589900 GOL589898:GOM589900 GYH589898:GYI589900 HID589898:HIE589900 HRZ589898:HSA589900 IBV589898:IBW589900 ILR589898:ILS589900 IVN589898:IVO589900 JFJ589898:JFK589900 JPF589898:JPG589900 JZB589898:JZC589900 KIX589898:KIY589900 KST589898:KSU589900 LCP589898:LCQ589900 LML589898:LMM589900 LWH589898:LWI589900 MGD589898:MGE589900 MPZ589898:MQA589900 MZV589898:MZW589900 NJR589898:NJS589900 NTN589898:NTO589900 ODJ589898:ODK589900 ONF589898:ONG589900 OXB589898:OXC589900 PGX589898:PGY589900 PQT589898:PQU589900 QAP589898:QAQ589900 QKL589898:QKM589900 QUH589898:QUI589900 RED589898:REE589900 RNZ589898:ROA589900 RXV589898:RXW589900 SHR589898:SHS589900 SRN589898:SRO589900 TBJ589898:TBK589900 TLF589898:TLG589900 TVB589898:TVC589900 UEX589898:UEY589900 UOT589898:UOU589900 UYP589898:UYQ589900 VIL589898:VIM589900 VSH589898:VSI589900 WCD589898:WCE589900 WLZ589898:WMA589900 WVV589898:WVW589900 M655434:N655436 JJ655434:JK655436 TF655434:TG655436 ADB655434:ADC655436 AMX655434:AMY655436 AWT655434:AWU655436 BGP655434:BGQ655436 BQL655434:BQM655436 CAH655434:CAI655436 CKD655434:CKE655436 CTZ655434:CUA655436 DDV655434:DDW655436 DNR655434:DNS655436 DXN655434:DXO655436 EHJ655434:EHK655436 ERF655434:ERG655436 FBB655434:FBC655436 FKX655434:FKY655436 FUT655434:FUU655436 GEP655434:GEQ655436 GOL655434:GOM655436 GYH655434:GYI655436 HID655434:HIE655436 HRZ655434:HSA655436 IBV655434:IBW655436 ILR655434:ILS655436 IVN655434:IVO655436 JFJ655434:JFK655436 JPF655434:JPG655436 JZB655434:JZC655436 KIX655434:KIY655436 KST655434:KSU655436 LCP655434:LCQ655436 LML655434:LMM655436 LWH655434:LWI655436 MGD655434:MGE655436 MPZ655434:MQA655436 MZV655434:MZW655436 NJR655434:NJS655436 NTN655434:NTO655436 ODJ655434:ODK655436 ONF655434:ONG655436 OXB655434:OXC655436 PGX655434:PGY655436 PQT655434:PQU655436 QAP655434:QAQ655436 QKL655434:QKM655436 QUH655434:QUI655436 RED655434:REE655436 RNZ655434:ROA655436 RXV655434:RXW655436 SHR655434:SHS655436 SRN655434:SRO655436 TBJ655434:TBK655436 TLF655434:TLG655436 TVB655434:TVC655436 UEX655434:UEY655436 UOT655434:UOU655436 UYP655434:UYQ655436 VIL655434:VIM655436 VSH655434:VSI655436 WCD655434:WCE655436 WLZ655434:WMA655436 WVV655434:WVW655436 M720970:N720972 JJ720970:JK720972 TF720970:TG720972 ADB720970:ADC720972 AMX720970:AMY720972 AWT720970:AWU720972 BGP720970:BGQ720972 BQL720970:BQM720972 CAH720970:CAI720972 CKD720970:CKE720972 CTZ720970:CUA720972 DDV720970:DDW720972 DNR720970:DNS720972 DXN720970:DXO720972 EHJ720970:EHK720972 ERF720970:ERG720972 FBB720970:FBC720972 FKX720970:FKY720972 FUT720970:FUU720972 GEP720970:GEQ720972 GOL720970:GOM720972 GYH720970:GYI720972 HID720970:HIE720972 HRZ720970:HSA720972 IBV720970:IBW720972 ILR720970:ILS720972 IVN720970:IVO720972 JFJ720970:JFK720972 JPF720970:JPG720972 JZB720970:JZC720972 KIX720970:KIY720972 KST720970:KSU720972 LCP720970:LCQ720972 LML720970:LMM720972 LWH720970:LWI720972 MGD720970:MGE720972 MPZ720970:MQA720972 MZV720970:MZW720972 NJR720970:NJS720972 NTN720970:NTO720972 ODJ720970:ODK720972 ONF720970:ONG720972 OXB720970:OXC720972 PGX720970:PGY720972 PQT720970:PQU720972 QAP720970:QAQ720972 QKL720970:QKM720972 QUH720970:QUI720972 RED720970:REE720972 RNZ720970:ROA720972 RXV720970:RXW720972 SHR720970:SHS720972 SRN720970:SRO720972 TBJ720970:TBK720972 TLF720970:TLG720972 TVB720970:TVC720972 UEX720970:UEY720972 UOT720970:UOU720972 UYP720970:UYQ720972 VIL720970:VIM720972 VSH720970:VSI720972 WCD720970:WCE720972 WLZ720970:WMA720972 WVV720970:WVW720972 M786506:N786508 JJ786506:JK786508 TF786506:TG786508 ADB786506:ADC786508 AMX786506:AMY786508 AWT786506:AWU786508 BGP786506:BGQ786508 BQL786506:BQM786508 CAH786506:CAI786508 CKD786506:CKE786508 CTZ786506:CUA786508 DDV786506:DDW786508 DNR786506:DNS786508 DXN786506:DXO786508 EHJ786506:EHK786508 ERF786506:ERG786508 FBB786506:FBC786508 FKX786506:FKY786508 FUT786506:FUU786508 GEP786506:GEQ786508 GOL786506:GOM786508 GYH786506:GYI786508 HID786506:HIE786508 HRZ786506:HSA786508 IBV786506:IBW786508 ILR786506:ILS786508 IVN786506:IVO786508 JFJ786506:JFK786508 JPF786506:JPG786508 JZB786506:JZC786508 KIX786506:KIY786508 KST786506:KSU786508 LCP786506:LCQ786508 LML786506:LMM786508 LWH786506:LWI786508 MGD786506:MGE786508 MPZ786506:MQA786508 MZV786506:MZW786508 NJR786506:NJS786508 NTN786506:NTO786508 ODJ786506:ODK786508 ONF786506:ONG786508 OXB786506:OXC786508 PGX786506:PGY786508 PQT786506:PQU786508 QAP786506:QAQ786508 QKL786506:QKM786508 QUH786506:QUI786508 RED786506:REE786508 RNZ786506:ROA786508 RXV786506:RXW786508 SHR786506:SHS786508 SRN786506:SRO786508 TBJ786506:TBK786508 TLF786506:TLG786508 TVB786506:TVC786508 UEX786506:UEY786508 UOT786506:UOU786508 UYP786506:UYQ786508 VIL786506:VIM786508 VSH786506:VSI786508 WCD786506:WCE786508 WLZ786506:WMA786508 WVV786506:WVW786508 M852042:N852044 JJ852042:JK852044 TF852042:TG852044 ADB852042:ADC852044 AMX852042:AMY852044 AWT852042:AWU852044 BGP852042:BGQ852044 BQL852042:BQM852044 CAH852042:CAI852044 CKD852042:CKE852044 CTZ852042:CUA852044 DDV852042:DDW852044 DNR852042:DNS852044 DXN852042:DXO852044 EHJ852042:EHK852044 ERF852042:ERG852044 FBB852042:FBC852044 FKX852042:FKY852044 FUT852042:FUU852044 GEP852042:GEQ852044 GOL852042:GOM852044 GYH852042:GYI852044 HID852042:HIE852044 HRZ852042:HSA852044 IBV852042:IBW852044 ILR852042:ILS852044 IVN852042:IVO852044 JFJ852042:JFK852044 JPF852042:JPG852044 JZB852042:JZC852044 KIX852042:KIY852044 KST852042:KSU852044 LCP852042:LCQ852044 LML852042:LMM852044 LWH852042:LWI852044 MGD852042:MGE852044 MPZ852042:MQA852044 MZV852042:MZW852044 NJR852042:NJS852044 NTN852042:NTO852044 ODJ852042:ODK852044 ONF852042:ONG852044 OXB852042:OXC852044 PGX852042:PGY852044 PQT852042:PQU852044 QAP852042:QAQ852044 QKL852042:QKM852044 QUH852042:QUI852044 RED852042:REE852044 RNZ852042:ROA852044 RXV852042:RXW852044 SHR852042:SHS852044 SRN852042:SRO852044 TBJ852042:TBK852044 TLF852042:TLG852044 TVB852042:TVC852044 UEX852042:UEY852044 UOT852042:UOU852044 UYP852042:UYQ852044 VIL852042:VIM852044 VSH852042:VSI852044 WCD852042:WCE852044 WLZ852042:WMA852044 WVV852042:WVW852044 M917578:N917580 JJ917578:JK917580 TF917578:TG917580 ADB917578:ADC917580 AMX917578:AMY917580 AWT917578:AWU917580 BGP917578:BGQ917580 BQL917578:BQM917580 CAH917578:CAI917580 CKD917578:CKE917580 CTZ917578:CUA917580 DDV917578:DDW917580 DNR917578:DNS917580 DXN917578:DXO917580 EHJ917578:EHK917580 ERF917578:ERG917580 FBB917578:FBC917580 FKX917578:FKY917580 FUT917578:FUU917580 GEP917578:GEQ917580 GOL917578:GOM917580 GYH917578:GYI917580 HID917578:HIE917580 HRZ917578:HSA917580 IBV917578:IBW917580 ILR917578:ILS917580 IVN917578:IVO917580 JFJ917578:JFK917580 JPF917578:JPG917580 JZB917578:JZC917580 KIX917578:KIY917580 KST917578:KSU917580 LCP917578:LCQ917580 LML917578:LMM917580 LWH917578:LWI917580 MGD917578:MGE917580 MPZ917578:MQA917580 MZV917578:MZW917580 NJR917578:NJS917580 NTN917578:NTO917580 ODJ917578:ODK917580 ONF917578:ONG917580 OXB917578:OXC917580 PGX917578:PGY917580 PQT917578:PQU917580 QAP917578:QAQ917580 QKL917578:QKM917580 QUH917578:QUI917580 RED917578:REE917580 RNZ917578:ROA917580 RXV917578:RXW917580 SHR917578:SHS917580 SRN917578:SRO917580 TBJ917578:TBK917580 TLF917578:TLG917580 TVB917578:TVC917580 UEX917578:UEY917580 UOT917578:UOU917580 UYP917578:UYQ917580 VIL917578:VIM917580 VSH917578:VSI917580 WCD917578:WCE917580 WLZ917578:WMA917580 WVV917578:WVW917580 M983114:N983116 JJ983114:JK983116 TF983114:TG983116 ADB983114:ADC983116 AMX983114:AMY983116 AWT983114:AWU983116 BGP983114:BGQ983116 BQL983114:BQM983116 CAH983114:CAI983116 CKD983114:CKE983116 CTZ983114:CUA983116 DDV983114:DDW983116 DNR983114:DNS983116 DXN983114:DXO983116 EHJ983114:EHK983116 ERF983114:ERG983116 FBB983114:FBC983116 FKX983114:FKY983116 FUT983114:FUU983116 GEP983114:GEQ983116 GOL983114:GOM983116 GYH983114:GYI983116 HID983114:HIE983116 HRZ983114:HSA983116 IBV983114:IBW983116 ILR983114:ILS983116 IVN983114:IVO983116 JFJ983114:JFK983116 JPF983114:JPG983116 JZB983114:JZC983116 KIX983114:KIY983116 KST983114:KSU983116 LCP983114:LCQ983116 LML983114:LMM983116 LWH983114:LWI983116 MGD983114:MGE983116 MPZ983114:MQA983116 MZV983114:MZW983116 NJR983114:NJS983116 NTN983114:NTO983116 ODJ983114:ODK983116 ONF983114:ONG983116 OXB983114:OXC983116 PGX983114:PGY983116 PQT983114:PQU983116 QAP983114:QAQ983116 QKL983114:QKM983116 QUH983114:QUI983116 RED983114:REE983116 RNZ983114:ROA983116 RXV983114:RXW983116 SHR983114:SHS983116 SRN983114:SRO983116 TBJ983114:TBK983116 TLF983114:TLG983116 TVB983114:TVC983116 UEX983114:UEY983116 UOT983114:UOU983116 UYP983114:UYQ983116 VIL983114:VIM983116 VSH983114:VSI983116 WCD983114:WCE983116 WLZ983114:WMA983116 WVV983114:WVW983116 UYP983082:UYQ983085 JD54:JE56 SZ54:TA56 ACV54:ACW56 AMR54:AMS56 AWN54:AWO56 BGJ54:BGK56 BQF54:BQG56 CAB54:CAC56 CJX54:CJY56 CTT54:CTU56 DDP54:DDQ56 DNL54:DNM56 DXH54:DXI56 EHD54:EHE56 EQZ54:ERA56 FAV54:FAW56 FKR54:FKS56 FUN54:FUO56 GEJ54:GEK56 GOF54:GOG56 GYB54:GYC56 HHX54:HHY56 HRT54:HRU56 IBP54:IBQ56 ILL54:ILM56 IVH54:IVI56 JFD54:JFE56 JOZ54:JPA56 JYV54:JYW56 KIR54:KIS56 KSN54:KSO56 LCJ54:LCK56 LMF54:LMG56 LWB54:LWC56 MFX54:MFY56 MPT54:MPU56 MZP54:MZQ56 NJL54:NJM56 NTH54:NTI56 ODD54:ODE56 OMZ54:ONA56 OWV54:OWW56 PGR54:PGS56 PQN54:PQO56 QAJ54:QAK56 QKF54:QKG56 QUB54:QUC56 RDX54:RDY56 RNT54:RNU56 RXP54:RXQ56 SHL54:SHM56 SRH54:SRI56 TBD54:TBE56 TKZ54:TLA56 TUV54:TUW56 UER54:UES56 UON54:UOO56 UYJ54:UYK56 VIF54:VIG56 VSB54:VSC56 WBX54:WBY56 WLT54:WLU56 WVP54:WVQ56 G65592:H65594 JD65592:JE65594 SZ65592:TA65594 ACV65592:ACW65594 AMR65592:AMS65594 AWN65592:AWO65594 BGJ65592:BGK65594 BQF65592:BQG65594 CAB65592:CAC65594 CJX65592:CJY65594 CTT65592:CTU65594 DDP65592:DDQ65594 DNL65592:DNM65594 DXH65592:DXI65594 EHD65592:EHE65594 EQZ65592:ERA65594 FAV65592:FAW65594 FKR65592:FKS65594 FUN65592:FUO65594 GEJ65592:GEK65594 GOF65592:GOG65594 GYB65592:GYC65594 HHX65592:HHY65594 HRT65592:HRU65594 IBP65592:IBQ65594 ILL65592:ILM65594 IVH65592:IVI65594 JFD65592:JFE65594 JOZ65592:JPA65594 JYV65592:JYW65594 KIR65592:KIS65594 KSN65592:KSO65594 LCJ65592:LCK65594 LMF65592:LMG65594 LWB65592:LWC65594 MFX65592:MFY65594 MPT65592:MPU65594 MZP65592:MZQ65594 NJL65592:NJM65594 NTH65592:NTI65594 ODD65592:ODE65594 OMZ65592:ONA65594 OWV65592:OWW65594 PGR65592:PGS65594 PQN65592:PQO65594 QAJ65592:QAK65594 QKF65592:QKG65594 QUB65592:QUC65594 RDX65592:RDY65594 RNT65592:RNU65594 RXP65592:RXQ65594 SHL65592:SHM65594 SRH65592:SRI65594 TBD65592:TBE65594 TKZ65592:TLA65594 TUV65592:TUW65594 UER65592:UES65594 UON65592:UOO65594 UYJ65592:UYK65594 VIF65592:VIG65594 VSB65592:VSC65594 WBX65592:WBY65594 WLT65592:WLU65594 WVP65592:WVQ65594 G131128:H131130 JD131128:JE131130 SZ131128:TA131130 ACV131128:ACW131130 AMR131128:AMS131130 AWN131128:AWO131130 BGJ131128:BGK131130 BQF131128:BQG131130 CAB131128:CAC131130 CJX131128:CJY131130 CTT131128:CTU131130 DDP131128:DDQ131130 DNL131128:DNM131130 DXH131128:DXI131130 EHD131128:EHE131130 EQZ131128:ERA131130 FAV131128:FAW131130 FKR131128:FKS131130 FUN131128:FUO131130 GEJ131128:GEK131130 GOF131128:GOG131130 GYB131128:GYC131130 HHX131128:HHY131130 HRT131128:HRU131130 IBP131128:IBQ131130 ILL131128:ILM131130 IVH131128:IVI131130 JFD131128:JFE131130 JOZ131128:JPA131130 JYV131128:JYW131130 KIR131128:KIS131130 KSN131128:KSO131130 LCJ131128:LCK131130 LMF131128:LMG131130 LWB131128:LWC131130 MFX131128:MFY131130 MPT131128:MPU131130 MZP131128:MZQ131130 NJL131128:NJM131130 NTH131128:NTI131130 ODD131128:ODE131130 OMZ131128:ONA131130 OWV131128:OWW131130 PGR131128:PGS131130 PQN131128:PQO131130 QAJ131128:QAK131130 QKF131128:QKG131130 QUB131128:QUC131130 RDX131128:RDY131130 RNT131128:RNU131130 RXP131128:RXQ131130 SHL131128:SHM131130 SRH131128:SRI131130 TBD131128:TBE131130 TKZ131128:TLA131130 TUV131128:TUW131130 UER131128:UES131130 UON131128:UOO131130 UYJ131128:UYK131130 VIF131128:VIG131130 VSB131128:VSC131130 WBX131128:WBY131130 WLT131128:WLU131130 WVP131128:WVQ131130 G196664:H196666 JD196664:JE196666 SZ196664:TA196666 ACV196664:ACW196666 AMR196664:AMS196666 AWN196664:AWO196666 BGJ196664:BGK196666 BQF196664:BQG196666 CAB196664:CAC196666 CJX196664:CJY196666 CTT196664:CTU196666 DDP196664:DDQ196666 DNL196664:DNM196666 DXH196664:DXI196666 EHD196664:EHE196666 EQZ196664:ERA196666 FAV196664:FAW196666 FKR196664:FKS196666 FUN196664:FUO196666 GEJ196664:GEK196666 GOF196664:GOG196666 GYB196664:GYC196666 HHX196664:HHY196666 HRT196664:HRU196666 IBP196664:IBQ196666 ILL196664:ILM196666 IVH196664:IVI196666 JFD196664:JFE196666 JOZ196664:JPA196666 JYV196664:JYW196666 KIR196664:KIS196666 KSN196664:KSO196666 LCJ196664:LCK196666 LMF196664:LMG196666 LWB196664:LWC196666 MFX196664:MFY196666 MPT196664:MPU196666 MZP196664:MZQ196666 NJL196664:NJM196666 NTH196664:NTI196666 ODD196664:ODE196666 OMZ196664:ONA196666 OWV196664:OWW196666 PGR196664:PGS196666 PQN196664:PQO196666 QAJ196664:QAK196666 QKF196664:QKG196666 QUB196664:QUC196666 RDX196664:RDY196666 RNT196664:RNU196666 RXP196664:RXQ196666 SHL196664:SHM196666 SRH196664:SRI196666 TBD196664:TBE196666 TKZ196664:TLA196666 TUV196664:TUW196666 UER196664:UES196666 UON196664:UOO196666 UYJ196664:UYK196666 VIF196664:VIG196666 VSB196664:VSC196666 WBX196664:WBY196666 WLT196664:WLU196666 WVP196664:WVQ196666 G262200:H262202 JD262200:JE262202 SZ262200:TA262202 ACV262200:ACW262202 AMR262200:AMS262202 AWN262200:AWO262202 BGJ262200:BGK262202 BQF262200:BQG262202 CAB262200:CAC262202 CJX262200:CJY262202 CTT262200:CTU262202 DDP262200:DDQ262202 DNL262200:DNM262202 DXH262200:DXI262202 EHD262200:EHE262202 EQZ262200:ERA262202 FAV262200:FAW262202 FKR262200:FKS262202 FUN262200:FUO262202 GEJ262200:GEK262202 GOF262200:GOG262202 GYB262200:GYC262202 HHX262200:HHY262202 HRT262200:HRU262202 IBP262200:IBQ262202 ILL262200:ILM262202 IVH262200:IVI262202 JFD262200:JFE262202 JOZ262200:JPA262202 JYV262200:JYW262202 KIR262200:KIS262202 KSN262200:KSO262202 LCJ262200:LCK262202 LMF262200:LMG262202 LWB262200:LWC262202 MFX262200:MFY262202 MPT262200:MPU262202 MZP262200:MZQ262202 NJL262200:NJM262202 NTH262200:NTI262202 ODD262200:ODE262202 OMZ262200:ONA262202 OWV262200:OWW262202 PGR262200:PGS262202 PQN262200:PQO262202 QAJ262200:QAK262202 QKF262200:QKG262202 QUB262200:QUC262202 RDX262200:RDY262202 RNT262200:RNU262202 RXP262200:RXQ262202 SHL262200:SHM262202 SRH262200:SRI262202 TBD262200:TBE262202 TKZ262200:TLA262202 TUV262200:TUW262202 UER262200:UES262202 UON262200:UOO262202 UYJ262200:UYK262202 VIF262200:VIG262202 VSB262200:VSC262202 WBX262200:WBY262202 WLT262200:WLU262202 WVP262200:WVQ262202 G327736:H327738 JD327736:JE327738 SZ327736:TA327738 ACV327736:ACW327738 AMR327736:AMS327738 AWN327736:AWO327738 BGJ327736:BGK327738 BQF327736:BQG327738 CAB327736:CAC327738 CJX327736:CJY327738 CTT327736:CTU327738 DDP327736:DDQ327738 DNL327736:DNM327738 DXH327736:DXI327738 EHD327736:EHE327738 EQZ327736:ERA327738 FAV327736:FAW327738 FKR327736:FKS327738 FUN327736:FUO327738 GEJ327736:GEK327738 GOF327736:GOG327738 GYB327736:GYC327738 HHX327736:HHY327738 HRT327736:HRU327738 IBP327736:IBQ327738 ILL327736:ILM327738 IVH327736:IVI327738 JFD327736:JFE327738 JOZ327736:JPA327738 JYV327736:JYW327738 KIR327736:KIS327738 KSN327736:KSO327738 LCJ327736:LCK327738 LMF327736:LMG327738 LWB327736:LWC327738 MFX327736:MFY327738 MPT327736:MPU327738 MZP327736:MZQ327738 NJL327736:NJM327738 NTH327736:NTI327738 ODD327736:ODE327738 OMZ327736:ONA327738 OWV327736:OWW327738 PGR327736:PGS327738 PQN327736:PQO327738 QAJ327736:QAK327738 QKF327736:QKG327738 QUB327736:QUC327738 RDX327736:RDY327738 RNT327736:RNU327738 RXP327736:RXQ327738 SHL327736:SHM327738 SRH327736:SRI327738 TBD327736:TBE327738 TKZ327736:TLA327738 TUV327736:TUW327738 UER327736:UES327738 UON327736:UOO327738 UYJ327736:UYK327738 VIF327736:VIG327738 VSB327736:VSC327738 WBX327736:WBY327738 WLT327736:WLU327738 WVP327736:WVQ327738 G393272:H393274 JD393272:JE393274 SZ393272:TA393274 ACV393272:ACW393274 AMR393272:AMS393274 AWN393272:AWO393274 BGJ393272:BGK393274 BQF393272:BQG393274 CAB393272:CAC393274 CJX393272:CJY393274 CTT393272:CTU393274 DDP393272:DDQ393274 DNL393272:DNM393274 DXH393272:DXI393274 EHD393272:EHE393274 EQZ393272:ERA393274 FAV393272:FAW393274 FKR393272:FKS393274 FUN393272:FUO393274 GEJ393272:GEK393274 GOF393272:GOG393274 GYB393272:GYC393274 HHX393272:HHY393274 HRT393272:HRU393274 IBP393272:IBQ393274 ILL393272:ILM393274 IVH393272:IVI393274 JFD393272:JFE393274 JOZ393272:JPA393274 JYV393272:JYW393274 KIR393272:KIS393274 KSN393272:KSO393274 LCJ393272:LCK393274 LMF393272:LMG393274 LWB393272:LWC393274 MFX393272:MFY393274 MPT393272:MPU393274 MZP393272:MZQ393274 NJL393272:NJM393274 NTH393272:NTI393274 ODD393272:ODE393274 OMZ393272:ONA393274 OWV393272:OWW393274 PGR393272:PGS393274 PQN393272:PQO393274 QAJ393272:QAK393274 QKF393272:QKG393274 QUB393272:QUC393274 RDX393272:RDY393274 RNT393272:RNU393274 RXP393272:RXQ393274 SHL393272:SHM393274 SRH393272:SRI393274 TBD393272:TBE393274 TKZ393272:TLA393274 TUV393272:TUW393274 UER393272:UES393274 UON393272:UOO393274 UYJ393272:UYK393274 VIF393272:VIG393274 VSB393272:VSC393274 WBX393272:WBY393274 WLT393272:WLU393274 WVP393272:WVQ393274 G458808:H458810 JD458808:JE458810 SZ458808:TA458810 ACV458808:ACW458810 AMR458808:AMS458810 AWN458808:AWO458810 BGJ458808:BGK458810 BQF458808:BQG458810 CAB458808:CAC458810 CJX458808:CJY458810 CTT458808:CTU458810 DDP458808:DDQ458810 DNL458808:DNM458810 DXH458808:DXI458810 EHD458808:EHE458810 EQZ458808:ERA458810 FAV458808:FAW458810 FKR458808:FKS458810 FUN458808:FUO458810 GEJ458808:GEK458810 GOF458808:GOG458810 GYB458808:GYC458810 HHX458808:HHY458810 HRT458808:HRU458810 IBP458808:IBQ458810 ILL458808:ILM458810 IVH458808:IVI458810 JFD458808:JFE458810 JOZ458808:JPA458810 JYV458808:JYW458810 KIR458808:KIS458810 KSN458808:KSO458810 LCJ458808:LCK458810 LMF458808:LMG458810 LWB458808:LWC458810 MFX458808:MFY458810 MPT458808:MPU458810 MZP458808:MZQ458810 NJL458808:NJM458810 NTH458808:NTI458810 ODD458808:ODE458810 OMZ458808:ONA458810 OWV458808:OWW458810 PGR458808:PGS458810 PQN458808:PQO458810 QAJ458808:QAK458810 QKF458808:QKG458810 QUB458808:QUC458810 RDX458808:RDY458810 RNT458808:RNU458810 RXP458808:RXQ458810 SHL458808:SHM458810 SRH458808:SRI458810 TBD458808:TBE458810 TKZ458808:TLA458810 TUV458808:TUW458810 UER458808:UES458810 UON458808:UOO458810 UYJ458808:UYK458810 VIF458808:VIG458810 VSB458808:VSC458810 WBX458808:WBY458810 WLT458808:WLU458810 WVP458808:WVQ458810 G524344:H524346 JD524344:JE524346 SZ524344:TA524346 ACV524344:ACW524346 AMR524344:AMS524346 AWN524344:AWO524346 BGJ524344:BGK524346 BQF524344:BQG524346 CAB524344:CAC524346 CJX524344:CJY524346 CTT524344:CTU524346 DDP524344:DDQ524346 DNL524344:DNM524346 DXH524344:DXI524346 EHD524344:EHE524346 EQZ524344:ERA524346 FAV524344:FAW524346 FKR524344:FKS524346 FUN524344:FUO524346 GEJ524344:GEK524346 GOF524344:GOG524346 GYB524344:GYC524346 HHX524344:HHY524346 HRT524344:HRU524346 IBP524344:IBQ524346 ILL524344:ILM524346 IVH524344:IVI524346 JFD524344:JFE524346 JOZ524344:JPA524346 JYV524344:JYW524346 KIR524344:KIS524346 KSN524344:KSO524346 LCJ524344:LCK524346 LMF524344:LMG524346 LWB524344:LWC524346 MFX524344:MFY524346 MPT524344:MPU524346 MZP524344:MZQ524346 NJL524344:NJM524346 NTH524344:NTI524346 ODD524344:ODE524346 OMZ524344:ONA524346 OWV524344:OWW524346 PGR524344:PGS524346 PQN524344:PQO524346 QAJ524344:QAK524346 QKF524344:QKG524346 QUB524344:QUC524346 RDX524344:RDY524346 RNT524344:RNU524346 RXP524344:RXQ524346 SHL524344:SHM524346 SRH524344:SRI524346 TBD524344:TBE524346 TKZ524344:TLA524346 TUV524344:TUW524346 UER524344:UES524346 UON524344:UOO524346 UYJ524344:UYK524346 VIF524344:VIG524346 VSB524344:VSC524346 WBX524344:WBY524346 WLT524344:WLU524346 WVP524344:WVQ524346 G589880:H589882 JD589880:JE589882 SZ589880:TA589882 ACV589880:ACW589882 AMR589880:AMS589882 AWN589880:AWO589882 BGJ589880:BGK589882 BQF589880:BQG589882 CAB589880:CAC589882 CJX589880:CJY589882 CTT589880:CTU589882 DDP589880:DDQ589882 DNL589880:DNM589882 DXH589880:DXI589882 EHD589880:EHE589882 EQZ589880:ERA589882 FAV589880:FAW589882 FKR589880:FKS589882 FUN589880:FUO589882 GEJ589880:GEK589882 GOF589880:GOG589882 GYB589880:GYC589882 HHX589880:HHY589882 HRT589880:HRU589882 IBP589880:IBQ589882 ILL589880:ILM589882 IVH589880:IVI589882 JFD589880:JFE589882 JOZ589880:JPA589882 JYV589880:JYW589882 KIR589880:KIS589882 KSN589880:KSO589882 LCJ589880:LCK589882 LMF589880:LMG589882 LWB589880:LWC589882 MFX589880:MFY589882 MPT589880:MPU589882 MZP589880:MZQ589882 NJL589880:NJM589882 NTH589880:NTI589882 ODD589880:ODE589882 OMZ589880:ONA589882 OWV589880:OWW589882 PGR589880:PGS589882 PQN589880:PQO589882 QAJ589880:QAK589882 QKF589880:QKG589882 QUB589880:QUC589882 RDX589880:RDY589882 RNT589880:RNU589882 RXP589880:RXQ589882 SHL589880:SHM589882 SRH589880:SRI589882 TBD589880:TBE589882 TKZ589880:TLA589882 TUV589880:TUW589882 UER589880:UES589882 UON589880:UOO589882 UYJ589880:UYK589882 VIF589880:VIG589882 VSB589880:VSC589882 WBX589880:WBY589882 WLT589880:WLU589882 WVP589880:WVQ589882 G655416:H655418 JD655416:JE655418 SZ655416:TA655418 ACV655416:ACW655418 AMR655416:AMS655418 AWN655416:AWO655418 BGJ655416:BGK655418 BQF655416:BQG655418 CAB655416:CAC655418 CJX655416:CJY655418 CTT655416:CTU655418 DDP655416:DDQ655418 DNL655416:DNM655418 DXH655416:DXI655418 EHD655416:EHE655418 EQZ655416:ERA655418 FAV655416:FAW655418 FKR655416:FKS655418 FUN655416:FUO655418 GEJ655416:GEK655418 GOF655416:GOG655418 GYB655416:GYC655418 HHX655416:HHY655418 HRT655416:HRU655418 IBP655416:IBQ655418 ILL655416:ILM655418 IVH655416:IVI655418 JFD655416:JFE655418 JOZ655416:JPA655418 JYV655416:JYW655418 KIR655416:KIS655418 KSN655416:KSO655418 LCJ655416:LCK655418 LMF655416:LMG655418 LWB655416:LWC655418 MFX655416:MFY655418 MPT655416:MPU655418 MZP655416:MZQ655418 NJL655416:NJM655418 NTH655416:NTI655418 ODD655416:ODE655418 OMZ655416:ONA655418 OWV655416:OWW655418 PGR655416:PGS655418 PQN655416:PQO655418 QAJ655416:QAK655418 QKF655416:QKG655418 QUB655416:QUC655418 RDX655416:RDY655418 RNT655416:RNU655418 RXP655416:RXQ655418 SHL655416:SHM655418 SRH655416:SRI655418 TBD655416:TBE655418 TKZ655416:TLA655418 TUV655416:TUW655418 UER655416:UES655418 UON655416:UOO655418 UYJ655416:UYK655418 VIF655416:VIG655418 VSB655416:VSC655418 WBX655416:WBY655418 WLT655416:WLU655418 WVP655416:WVQ655418 G720952:H720954 JD720952:JE720954 SZ720952:TA720954 ACV720952:ACW720954 AMR720952:AMS720954 AWN720952:AWO720954 BGJ720952:BGK720954 BQF720952:BQG720954 CAB720952:CAC720954 CJX720952:CJY720954 CTT720952:CTU720954 DDP720952:DDQ720954 DNL720952:DNM720954 DXH720952:DXI720954 EHD720952:EHE720954 EQZ720952:ERA720954 FAV720952:FAW720954 FKR720952:FKS720954 FUN720952:FUO720954 GEJ720952:GEK720954 GOF720952:GOG720954 GYB720952:GYC720954 HHX720952:HHY720954 HRT720952:HRU720954 IBP720952:IBQ720954 ILL720952:ILM720954 IVH720952:IVI720954 JFD720952:JFE720954 JOZ720952:JPA720954 JYV720952:JYW720954 KIR720952:KIS720954 KSN720952:KSO720954 LCJ720952:LCK720954 LMF720952:LMG720954 LWB720952:LWC720954 MFX720952:MFY720954 MPT720952:MPU720954 MZP720952:MZQ720954 NJL720952:NJM720954 NTH720952:NTI720954 ODD720952:ODE720954 OMZ720952:ONA720954 OWV720952:OWW720954 PGR720952:PGS720954 PQN720952:PQO720954 QAJ720952:QAK720954 QKF720952:QKG720954 QUB720952:QUC720954 RDX720952:RDY720954 RNT720952:RNU720954 RXP720952:RXQ720954 SHL720952:SHM720954 SRH720952:SRI720954 TBD720952:TBE720954 TKZ720952:TLA720954 TUV720952:TUW720954 UER720952:UES720954 UON720952:UOO720954 UYJ720952:UYK720954 VIF720952:VIG720954 VSB720952:VSC720954 WBX720952:WBY720954 WLT720952:WLU720954 WVP720952:WVQ720954 G786488:H786490 JD786488:JE786490 SZ786488:TA786490 ACV786488:ACW786490 AMR786488:AMS786490 AWN786488:AWO786490 BGJ786488:BGK786490 BQF786488:BQG786490 CAB786488:CAC786490 CJX786488:CJY786490 CTT786488:CTU786490 DDP786488:DDQ786490 DNL786488:DNM786490 DXH786488:DXI786490 EHD786488:EHE786490 EQZ786488:ERA786490 FAV786488:FAW786490 FKR786488:FKS786490 FUN786488:FUO786490 GEJ786488:GEK786490 GOF786488:GOG786490 GYB786488:GYC786490 HHX786488:HHY786490 HRT786488:HRU786490 IBP786488:IBQ786490 ILL786488:ILM786490 IVH786488:IVI786490 JFD786488:JFE786490 JOZ786488:JPA786490 JYV786488:JYW786490 KIR786488:KIS786490 KSN786488:KSO786490 LCJ786488:LCK786490 LMF786488:LMG786490 LWB786488:LWC786490 MFX786488:MFY786490 MPT786488:MPU786490 MZP786488:MZQ786490 NJL786488:NJM786490 NTH786488:NTI786490 ODD786488:ODE786490 OMZ786488:ONA786490 OWV786488:OWW786490 PGR786488:PGS786490 PQN786488:PQO786490 QAJ786488:QAK786490 QKF786488:QKG786490 QUB786488:QUC786490 RDX786488:RDY786490 RNT786488:RNU786490 RXP786488:RXQ786490 SHL786488:SHM786490 SRH786488:SRI786490 TBD786488:TBE786490 TKZ786488:TLA786490 TUV786488:TUW786490 UER786488:UES786490 UON786488:UOO786490 UYJ786488:UYK786490 VIF786488:VIG786490 VSB786488:VSC786490 WBX786488:WBY786490 WLT786488:WLU786490 WVP786488:WVQ786490 G852024:H852026 JD852024:JE852026 SZ852024:TA852026 ACV852024:ACW852026 AMR852024:AMS852026 AWN852024:AWO852026 BGJ852024:BGK852026 BQF852024:BQG852026 CAB852024:CAC852026 CJX852024:CJY852026 CTT852024:CTU852026 DDP852024:DDQ852026 DNL852024:DNM852026 DXH852024:DXI852026 EHD852024:EHE852026 EQZ852024:ERA852026 FAV852024:FAW852026 FKR852024:FKS852026 FUN852024:FUO852026 GEJ852024:GEK852026 GOF852024:GOG852026 GYB852024:GYC852026 HHX852024:HHY852026 HRT852024:HRU852026 IBP852024:IBQ852026 ILL852024:ILM852026 IVH852024:IVI852026 JFD852024:JFE852026 JOZ852024:JPA852026 JYV852024:JYW852026 KIR852024:KIS852026 KSN852024:KSO852026 LCJ852024:LCK852026 LMF852024:LMG852026 LWB852024:LWC852026 MFX852024:MFY852026 MPT852024:MPU852026 MZP852024:MZQ852026 NJL852024:NJM852026 NTH852024:NTI852026 ODD852024:ODE852026 OMZ852024:ONA852026 OWV852024:OWW852026 PGR852024:PGS852026 PQN852024:PQO852026 QAJ852024:QAK852026 QKF852024:QKG852026 QUB852024:QUC852026 RDX852024:RDY852026 RNT852024:RNU852026 RXP852024:RXQ852026 SHL852024:SHM852026 SRH852024:SRI852026 TBD852024:TBE852026 TKZ852024:TLA852026 TUV852024:TUW852026 UER852024:UES852026 UON852024:UOO852026 UYJ852024:UYK852026 VIF852024:VIG852026 VSB852024:VSC852026 WBX852024:WBY852026 WLT852024:WLU852026 WVP852024:WVQ852026 G917560:H917562 JD917560:JE917562 SZ917560:TA917562 ACV917560:ACW917562 AMR917560:AMS917562 AWN917560:AWO917562 BGJ917560:BGK917562 BQF917560:BQG917562 CAB917560:CAC917562 CJX917560:CJY917562 CTT917560:CTU917562 DDP917560:DDQ917562 DNL917560:DNM917562 DXH917560:DXI917562 EHD917560:EHE917562 EQZ917560:ERA917562 FAV917560:FAW917562 FKR917560:FKS917562 FUN917560:FUO917562 GEJ917560:GEK917562 GOF917560:GOG917562 GYB917560:GYC917562 HHX917560:HHY917562 HRT917560:HRU917562 IBP917560:IBQ917562 ILL917560:ILM917562 IVH917560:IVI917562 JFD917560:JFE917562 JOZ917560:JPA917562 JYV917560:JYW917562 KIR917560:KIS917562 KSN917560:KSO917562 LCJ917560:LCK917562 LMF917560:LMG917562 LWB917560:LWC917562 MFX917560:MFY917562 MPT917560:MPU917562 MZP917560:MZQ917562 NJL917560:NJM917562 NTH917560:NTI917562 ODD917560:ODE917562 OMZ917560:ONA917562 OWV917560:OWW917562 PGR917560:PGS917562 PQN917560:PQO917562 QAJ917560:QAK917562 QKF917560:QKG917562 QUB917560:QUC917562 RDX917560:RDY917562 RNT917560:RNU917562 RXP917560:RXQ917562 SHL917560:SHM917562 SRH917560:SRI917562 TBD917560:TBE917562 TKZ917560:TLA917562 TUV917560:TUW917562 UER917560:UES917562 UON917560:UOO917562 UYJ917560:UYK917562 VIF917560:VIG917562 VSB917560:VSC917562 WBX917560:WBY917562 WLT917560:WLU917562 WVP917560:WVQ917562 G983096:H983098 JD983096:JE983098 SZ983096:TA983098 ACV983096:ACW983098 AMR983096:AMS983098 AWN983096:AWO983098 BGJ983096:BGK983098 BQF983096:BQG983098 CAB983096:CAC983098 CJX983096:CJY983098 CTT983096:CTU983098 DDP983096:DDQ983098 DNL983096:DNM983098 DXH983096:DXI983098 EHD983096:EHE983098 EQZ983096:ERA983098 FAV983096:FAW983098 FKR983096:FKS983098 FUN983096:FUO983098 GEJ983096:GEK983098 GOF983096:GOG983098 GYB983096:GYC983098 HHX983096:HHY983098 HRT983096:HRU983098 IBP983096:IBQ983098 ILL983096:ILM983098 IVH983096:IVI983098 JFD983096:JFE983098 JOZ983096:JPA983098 JYV983096:JYW983098 KIR983096:KIS983098 KSN983096:KSO983098 LCJ983096:LCK983098 LMF983096:LMG983098 LWB983096:LWC983098 MFX983096:MFY983098 MPT983096:MPU983098 MZP983096:MZQ983098 NJL983096:NJM983098 NTH983096:NTI983098 ODD983096:ODE983098 OMZ983096:ONA983098 OWV983096:OWW983098 PGR983096:PGS983098 PQN983096:PQO983098 QAJ983096:QAK983098 QKF983096:QKG983098 QUB983096:QUC983098 RDX983096:RDY983098 RNT983096:RNU983098 RXP983096:RXQ983098 SHL983096:SHM983098 SRH983096:SRI983098 TBD983096:TBE983098 TKZ983096:TLA983098 TUV983096:TUW983098 UER983096:UES983098 UON983096:UOO983098 UYJ983096:UYK983098 VIF983096:VIG983098 VSB983096:VSC983098 WBX983096:WBY983098 WLT983096:WLU983098 WVP983096:WVQ983098 TLF983082:TLG983085 JD79:JE82 SZ79:TA82 ACV79:ACW82 AMR79:AMS82 AWN79:AWO82 BGJ79:BGK82 BQF79:BQG82 CAB79:CAC82 CJX79:CJY82 CTT79:CTU82 DDP79:DDQ82 DNL79:DNM82 DXH79:DXI82 EHD79:EHE82 EQZ79:ERA82 FAV79:FAW82 FKR79:FKS82 FUN79:FUO82 GEJ79:GEK82 GOF79:GOG82 GYB79:GYC82 HHX79:HHY82 HRT79:HRU82 IBP79:IBQ82 ILL79:ILM82 IVH79:IVI82 JFD79:JFE82 JOZ79:JPA82 JYV79:JYW82 KIR79:KIS82 KSN79:KSO82 LCJ79:LCK82 LMF79:LMG82 LWB79:LWC82 MFX79:MFY82 MPT79:MPU82 MZP79:MZQ82 NJL79:NJM82 NTH79:NTI82 ODD79:ODE82 OMZ79:ONA82 OWV79:OWW82 PGR79:PGS82 PQN79:PQO82 QAJ79:QAK82 QKF79:QKG82 QUB79:QUC82 RDX79:RDY82 RNT79:RNU82 RXP79:RXQ82 SHL79:SHM82 SRH79:SRI82 TBD79:TBE82 TKZ79:TLA82 TUV79:TUW82 UER79:UES82 UON79:UOO82 UYJ79:UYK82 VIF79:VIG82 VSB79:VSC82 WBX79:WBY82 WLT79:WLU82 WVP79:WVQ82 G65617:H65620 JD65617:JE65620 SZ65617:TA65620 ACV65617:ACW65620 AMR65617:AMS65620 AWN65617:AWO65620 BGJ65617:BGK65620 BQF65617:BQG65620 CAB65617:CAC65620 CJX65617:CJY65620 CTT65617:CTU65620 DDP65617:DDQ65620 DNL65617:DNM65620 DXH65617:DXI65620 EHD65617:EHE65620 EQZ65617:ERA65620 FAV65617:FAW65620 FKR65617:FKS65620 FUN65617:FUO65620 GEJ65617:GEK65620 GOF65617:GOG65620 GYB65617:GYC65620 HHX65617:HHY65620 HRT65617:HRU65620 IBP65617:IBQ65620 ILL65617:ILM65620 IVH65617:IVI65620 JFD65617:JFE65620 JOZ65617:JPA65620 JYV65617:JYW65620 KIR65617:KIS65620 KSN65617:KSO65620 LCJ65617:LCK65620 LMF65617:LMG65620 LWB65617:LWC65620 MFX65617:MFY65620 MPT65617:MPU65620 MZP65617:MZQ65620 NJL65617:NJM65620 NTH65617:NTI65620 ODD65617:ODE65620 OMZ65617:ONA65620 OWV65617:OWW65620 PGR65617:PGS65620 PQN65617:PQO65620 QAJ65617:QAK65620 QKF65617:QKG65620 QUB65617:QUC65620 RDX65617:RDY65620 RNT65617:RNU65620 RXP65617:RXQ65620 SHL65617:SHM65620 SRH65617:SRI65620 TBD65617:TBE65620 TKZ65617:TLA65620 TUV65617:TUW65620 UER65617:UES65620 UON65617:UOO65620 UYJ65617:UYK65620 VIF65617:VIG65620 VSB65617:VSC65620 WBX65617:WBY65620 WLT65617:WLU65620 WVP65617:WVQ65620 G131153:H131156 JD131153:JE131156 SZ131153:TA131156 ACV131153:ACW131156 AMR131153:AMS131156 AWN131153:AWO131156 BGJ131153:BGK131156 BQF131153:BQG131156 CAB131153:CAC131156 CJX131153:CJY131156 CTT131153:CTU131156 DDP131153:DDQ131156 DNL131153:DNM131156 DXH131153:DXI131156 EHD131153:EHE131156 EQZ131153:ERA131156 FAV131153:FAW131156 FKR131153:FKS131156 FUN131153:FUO131156 GEJ131153:GEK131156 GOF131153:GOG131156 GYB131153:GYC131156 HHX131153:HHY131156 HRT131153:HRU131156 IBP131153:IBQ131156 ILL131153:ILM131156 IVH131153:IVI131156 JFD131153:JFE131156 JOZ131153:JPA131156 JYV131153:JYW131156 KIR131153:KIS131156 KSN131153:KSO131156 LCJ131153:LCK131156 LMF131153:LMG131156 LWB131153:LWC131156 MFX131153:MFY131156 MPT131153:MPU131156 MZP131153:MZQ131156 NJL131153:NJM131156 NTH131153:NTI131156 ODD131153:ODE131156 OMZ131153:ONA131156 OWV131153:OWW131156 PGR131153:PGS131156 PQN131153:PQO131156 QAJ131153:QAK131156 QKF131153:QKG131156 QUB131153:QUC131156 RDX131153:RDY131156 RNT131153:RNU131156 RXP131153:RXQ131156 SHL131153:SHM131156 SRH131153:SRI131156 TBD131153:TBE131156 TKZ131153:TLA131156 TUV131153:TUW131156 UER131153:UES131156 UON131153:UOO131156 UYJ131153:UYK131156 VIF131153:VIG131156 VSB131153:VSC131156 WBX131153:WBY131156 WLT131153:WLU131156 WVP131153:WVQ131156 G196689:H196692 JD196689:JE196692 SZ196689:TA196692 ACV196689:ACW196692 AMR196689:AMS196692 AWN196689:AWO196692 BGJ196689:BGK196692 BQF196689:BQG196692 CAB196689:CAC196692 CJX196689:CJY196692 CTT196689:CTU196692 DDP196689:DDQ196692 DNL196689:DNM196692 DXH196689:DXI196692 EHD196689:EHE196692 EQZ196689:ERA196692 FAV196689:FAW196692 FKR196689:FKS196692 FUN196689:FUO196692 GEJ196689:GEK196692 GOF196689:GOG196692 GYB196689:GYC196692 HHX196689:HHY196692 HRT196689:HRU196692 IBP196689:IBQ196692 ILL196689:ILM196692 IVH196689:IVI196692 JFD196689:JFE196692 JOZ196689:JPA196692 JYV196689:JYW196692 KIR196689:KIS196692 KSN196689:KSO196692 LCJ196689:LCK196692 LMF196689:LMG196692 LWB196689:LWC196692 MFX196689:MFY196692 MPT196689:MPU196692 MZP196689:MZQ196692 NJL196689:NJM196692 NTH196689:NTI196692 ODD196689:ODE196692 OMZ196689:ONA196692 OWV196689:OWW196692 PGR196689:PGS196692 PQN196689:PQO196692 QAJ196689:QAK196692 QKF196689:QKG196692 QUB196689:QUC196692 RDX196689:RDY196692 RNT196689:RNU196692 RXP196689:RXQ196692 SHL196689:SHM196692 SRH196689:SRI196692 TBD196689:TBE196692 TKZ196689:TLA196692 TUV196689:TUW196692 UER196689:UES196692 UON196689:UOO196692 UYJ196689:UYK196692 VIF196689:VIG196692 VSB196689:VSC196692 WBX196689:WBY196692 WLT196689:WLU196692 WVP196689:WVQ196692 G262225:H262228 JD262225:JE262228 SZ262225:TA262228 ACV262225:ACW262228 AMR262225:AMS262228 AWN262225:AWO262228 BGJ262225:BGK262228 BQF262225:BQG262228 CAB262225:CAC262228 CJX262225:CJY262228 CTT262225:CTU262228 DDP262225:DDQ262228 DNL262225:DNM262228 DXH262225:DXI262228 EHD262225:EHE262228 EQZ262225:ERA262228 FAV262225:FAW262228 FKR262225:FKS262228 FUN262225:FUO262228 GEJ262225:GEK262228 GOF262225:GOG262228 GYB262225:GYC262228 HHX262225:HHY262228 HRT262225:HRU262228 IBP262225:IBQ262228 ILL262225:ILM262228 IVH262225:IVI262228 JFD262225:JFE262228 JOZ262225:JPA262228 JYV262225:JYW262228 KIR262225:KIS262228 KSN262225:KSO262228 LCJ262225:LCK262228 LMF262225:LMG262228 LWB262225:LWC262228 MFX262225:MFY262228 MPT262225:MPU262228 MZP262225:MZQ262228 NJL262225:NJM262228 NTH262225:NTI262228 ODD262225:ODE262228 OMZ262225:ONA262228 OWV262225:OWW262228 PGR262225:PGS262228 PQN262225:PQO262228 QAJ262225:QAK262228 QKF262225:QKG262228 QUB262225:QUC262228 RDX262225:RDY262228 RNT262225:RNU262228 RXP262225:RXQ262228 SHL262225:SHM262228 SRH262225:SRI262228 TBD262225:TBE262228 TKZ262225:TLA262228 TUV262225:TUW262228 UER262225:UES262228 UON262225:UOO262228 UYJ262225:UYK262228 VIF262225:VIG262228 VSB262225:VSC262228 WBX262225:WBY262228 WLT262225:WLU262228 WVP262225:WVQ262228 G327761:H327764 JD327761:JE327764 SZ327761:TA327764 ACV327761:ACW327764 AMR327761:AMS327764 AWN327761:AWO327764 BGJ327761:BGK327764 BQF327761:BQG327764 CAB327761:CAC327764 CJX327761:CJY327764 CTT327761:CTU327764 DDP327761:DDQ327764 DNL327761:DNM327764 DXH327761:DXI327764 EHD327761:EHE327764 EQZ327761:ERA327764 FAV327761:FAW327764 FKR327761:FKS327764 FUN327761:FUO327764 GEJ327761:GEK327764 GOF327761:GOG327764 GYB327761:GYC327764 HHX327761:HHY327764 HRT327761:HRU327764 IBP327761:IBQ327764 ILL327761:ILM327764 IVH327761:IVI327764 JFD327761:JFE327764 JOZ327761:JPA327764 JYV327761:JYW327764 KIR327761:KIS327764 KSN327761:KSO327764 LCJ327761:LCK327764 LMF327761:LMG327764 LWB327761:LWC327764 MFX327761:MFY327764 MPT327761:MPU327764 MZP327761:MZQ327764 NJL327761:NJM327764 NTH327761:NTI327764 ODD327761:ODE327764 OMZ327761:ONA327764 OWV327761:OWW327764 PGR327761:PGS327764 PQN327761:PQO327764 QAJ327761:QAK327764 QKF327761:QKG327764 QUB327761:QUC327764 RDX327761:RDY327764 RNT327761:RNU327764 RXP327761:RXQ327764 SHL327761:SHM327764 SRH327761:SRI327764 TBD327761:TBE327764 TKZ327761:TLA327764 TUV327761:TUW327764 UER327761:UES327764 UON327761:UOO327764 UYJ327761:UYK327764 VIF327761:VIG327764 VSB327761:VSC327764 WBX327761:WBY327764 WLT327761:WLU327764 WVP327761:WVQ327764 G393297:H393300 JD393297:JE393300 SZ393297:TA393300 ACV393297:ACW393300 AMR393297:AMS393300 AWN393297:AWO393300 BGJ393297:BGK393300 BQF393297:BQG393300 CAB393297:CAC393300 CJX393297:CJY393300 CTT393297:CTU393300 DDP393297:DDQ393300 DNL393297:DNM393300 DXH393297:DXI393300 EHD393297:EHE393300 EQZ393297:ERA393300 FAV393297:FAW393300 FKR393297:FKS393300 FUN393297:FUO393300 GEJ393297:GEK393300 GOF393297:GOG393300 GYB393297:GYC393300 HHX393297:HHY393300 HRT393297:HRU393300 IBP393297:IBQ393300 ILL393297:ILM393300 IVH393297:IVI393300 JFD393297:JFE393300 JOZ393297:JPA393300 JYV393297:JYW393300 KIR393297:KIS393300 KSN393297:KSO393300 LCJ393297:LCK393300 LMF393297:LMG393300 LWB393297:LWC393300 MFX393297:MFY393300 MPT393297:MPU393300 MZP393297:MZQ393300 NJL393297:NJM393300 NTH393297:NTI393300 ODD393297:ODE393300 OMZ393297:ONA393300 OWV393297:OWW393300 PGR393297:PGS393300 PQN393297:PQO393300 QAJ393297:QAK393300 QKF393297:QKG393300 QUB393297:QUC393300 RDX393297:RDY393300 RNT393297:RNU393300 RXP393297:RXQ393300 SHL393297:SHM393300 SRH393297:SRI393300 TBD393297:TBE393300 TKZ393297:TLA393300 TUV393297:TUW393300 UER393297:UES393300 UON393297:UOO393300 UYJ393297:UYK393300 VIF393297:VIG393300 VSB393297:VSC393300 WBX393297:WBY393300 WLT393297:WLU393300 WVP393297:WVQ393300 G458833:H458836 JD458833:JE458836 SZ458833:TA458836 ACV458833:ACW458836 AMR458833:AMS458836 AWN458833:AWO458836 BGJ458833:BGK458836 BQF458833:BQG458836 CAB458833:CAC458836 CJX458833:CJY458836 CTT458833:CTU458836 DDP458833:DDQ458836 DNL458833:DNM458836 DXH458833:DXI458836 EHD458833:EHE458836 EQZ458833:ERA458836 FAV458833:FAW458836 FKR458833:FKS458836 FUN458833:FUO458836 GEJ458833:GEK458836 GOF458833:GOG458836 GYB458833:GYC458836 HHX458833:HHY458836 HRT458833:HRU458836 IBP458833:IBQ458836 ILL458833:ILM458836 IVH458833:IVI458836 JFD458833:JFE458836 JOZ458833:JPA458836 JYV458833:JYW458836 KIR458833:KIS458836 KSN458833:KSO458836 LCJ458833:LCK458836 LMF458833:LMG458836 LWB458833:LWC458836 MFX458833:MFY458836 MPT458833:MPU458836 MZP458833:MZQ458836 NJL458833:NJM458836 NTH458833:NTI458836 ODD458833:ODE458836 OMZ458833:ONA458836 OWV458833:OWW458836 PGR458833:PGS458836 PQN458833:PQO458836 QAJ458833:QAK458836 QKF458833:QKG458836 QUB458833:QUC458836 RDX458833:RDY458836 RNT458833:RNU458836 RXP458833:RXQ458836 SHL458833:SHM458836 SRH458833:SRI458836 TBD458833:TBE458836 TKZ458833:TLA458836 TUV458833:TUW458836 UER458833:UES458836 UON458833:UOO458836 UYJ458833:UYK458836 VIF458833:VIG458836 VSB458833:VSC458836 WBX458833:WBY458836 WLT458833:WLU458836 WVP458833:WVQ458836 G524369:H524372 JD524369:JE524372 SZ524369:TA524372 ACV524369:ACW524372 AMR524369:AMS524372 AWN524369:AWO524372 BGJ524369:BGK524372 BQF524369:BQG524372 CAB524369:CAC524372 CJX524369:CJY524372 CTT524369:CTU524372 DDP524369:DDQ524372 DNL524369:DNM524372 DXH524369:DXI524372 EHD524369:EHE524372 EQZ524369:ERA524372 FAV524369:FAW524372 FKR524369:FKS524372 FUN524369:FUO524372 GEJ524369:GEK524372 GOF524369:GOG524372 GYB524369:GYC524372 HHX524369:HHY524372 HRT524369:HRU524372 IBP524369:IBQ524372 ILL524369:ILM524372 IVH524369:IVI524372 JFD524369:JFE524372 JOZ524369:JPA524372 JYV524369:JYW524372 KIR524369:KIS524372 KSN524369:KSO524372 LCJ524369:LCK524372 LMF524369:LMG524372 LWB524369:LWC524372 MFX524369:MFY524372 MPT524369:MPU524372 MZP524369:MZQ524372 NJL524369:NJM524372 NTH524369:NTI524372 ODD524369:ODE524372 OMZ524369:ONA524372 OWV524369:OWW524372 PGR524369:PGS524372 PQN524369:PQO524372 QAJ524369:QAK524372 QKF524369:QKG524372 QUB524369:QUC524372 RDX524369:RDY524372 RNT524369:RNU524372 RXP524369:RXQ524372 SHL524369:SHM524372 SRH524369:SRI524372 TBD524369:TBE524372 TKZ524369:TLA524372 TUV524369:TUW524372 UER524369:UES524372 UON524369:UOO524372 UYJ524369:UYK524372 VIF524369:VIG524372 VSB524369:VSC524372 WBX524369:WBY524372 WLT524369:WLU524372 WVP524369:WVQ524372 G589905:H589908 JD589905:JE589908 SZ589905:TA589908 ACV589905:ACW589908 AMR589905:AMS589908 AWN589905:AWO589908 BGJ589905:BGK589908 BQF589905:BQG589908 CAB589905:CAC589908 CJX589905:CJY589908 CTT589905:CTU589908 DDP589905:DDQ589908 DNL589905:DNM589908 DXH589905:DXI589908 EHD589905:EHE589908 EQZ589905:ERA589908 FAV589905:FAW589908 FKR589905:FKS589908 FUN589905:FUO589908 GEJ589905:GEK589908 GOF589905:GOG589908 GYB589905:GYC589908 HHX589905:HHY589908 HRT589905:HRU589908 IBP589905:IBQ589908 ILL589905:ILM589908 IVH589905:IVI589908 JFD589905:JFE589908 JOZ589905:JPA589908 JYV589905:JYW589908 KIR589905:KIS589908 KSN589905:KSO589908 LCJ589905:LCK589908 LMF589905:LMG589908 LWB589905:LWC589908 MFX589905:MFY589908 MPT589905:MPU589908 MZP589905:MZQ589908 NJL589905:NJM589908 NTH589905:NTI589908 ODD589905:ODE589908 OMZ589905:ONA589908 OWV589905:OWW589908 PGR589905:PGS589908 PQN589905:PQO589908 QAJ589905:QAK589908 QKF589905:QKG589908 QUB589905:QUC589908 RDX589905:RDY589908 RNT589905:RNU589908 RXP589905:RXQ589908 SHL589905:SHM589908 SRH589905:SRI589908 TBD589905:TBE589908 TKZ589905:TLA589908 TUV589905:TUW589908 UER589905:UES589908 UON589905:UOO589908 UYJ589905:UYK589908 VIF589905:VIG589908 VSB589905:VSC589908 WBX589905:WBY589908 WLT589905:WLU589908 WVP589905:WVQ589908 G655441:H655444 JD655441:JE655444 SZ655441:TA655444 ACV655441:ACW655444 AMR655441:AMS655444 AWN655441:AWO655444 BGJ655441:BGK655444 BQF655441:BQG655444 CAB655441:CAC655444 CJX655441:CJY655444 CTT655441:CTU655444 DDP655441:DDQ655444 DNL655441:DNM655444 DXH655441:DXI655444 EHD655441:EHE655444 EQZ655441:ERA655444 FAV655441:FAW655444 FKR655441:FKS655444 FUN655441:FUO655444 GEJ655441:GEK655444 GOF655441:GOG655444 GYB655441:GYC655444 HHX655441:HHY655444 HRT655441:HRU655444 IBP655441:IBQ655444 ILL655441:ILM655444 IVH655441:IVI655444 JFD655441:JFE655444 JOZ655441:JPA655444 JYV655441:JYW655444 KIR655441:KIS655444 KSN655441:KSO655444 LCJ655441:LCK655444 LMF655441:LMG655444 LWB655441:LWC655444 MFX655441:MFY655444 MPT655441:MPU655444 MZP655441:MZQ655444 NJL655441:NJM655444 NTH655441:NTI655444 ODD655441:ODE655444 OMZ655441:ONA655444 OWV655441:OWW655444 PGR655441:PGS655444 PQN655441:PQO655444 QAJ655441:QAK655444 QKF655441:QKG655444 QUB655441:QUC655444 RDX655441:RDY655444 RNT655441:RNU655444 RXP655441:RXQ655444 SHL655441:SHM655444 SRH655441:SRI655444 TBD655441:TBE655444 TKZ655441:TLA655444 TUV655441:TUW655444 UER655441:UES655444 UON655441:UOO655444 UYJ655441:UYK655444 VIF655441:VIG655444 VSB655441:VSC655444 WBX655441:WBY655444 WLT655441:WLU655444 WVP655441:WVQ655444 G720977:H720980 JD720977:JE720980 SZ720977:TA720980 ACV720977:ACW720980 AMR720977:AMS720980 AWN720977:AWO720980 BGJ720977:BGK720980 BQF720977:BQG720980 CAB720977:CAC720980 CJX720977:CJY720980 CTT720977:CTU720980 DDP720977:DDQ720980 DNL720977:DNM720980 DXH720977:DXI720980 EHD720977:EHE720980 EQZ720977:ERA720980 FAV720977:FAW720980 FKR720977:FKS720980 FUN720977:FUO720980 GEJ720977:GEK720980 GOF720977:GOG720980 GYB720977:GYC720980 HHX720977:HHY720980 HRT720977:HRU720980 IBP720977:IBQ720980 ILL720977:ILM720980 IVH720977:IVI720980 JFD720977:JFE720980 JOZ720977:JPA720980 JYV720977:JYW720980 KIR720977:KIS720980 KSN720977:KSO720980 LCJ720977:LCK720980 LMF720977:LMG720980 LWB720977:LWC720980 MFX720977:MFY720980 MPT720977:MPU720980 MZP720977:MZQ720980 NJL720977:NJM720980 NTH720977:NTI720980 ODD720977:ODE720980 OMZ720977:ONA720980 OWV720977:OWW720980 PGR720977:PGS720980 PQN720977:PQO720980 QAJ720977:QAK720980 QKF720977:QKG720980 QUB720977:QUC720980 RDX720977:RDY720980 RNT720977:RNU720980 RXP720977:RXQ720980 SHL720977:SHM720980 SRH720977:SRI720980 TBD720977:TBE720980 TKZ720977:TLA720980 TUV720977:TUW720980 UER720977:UES720980 UON720977:UOO720980 UYJ720977:UYK720980 VIF720977:VIG720980 VSB720977:VSC720980 WBX720977:WBY720980 WLT720977:WLU720980 WVP720977:WVQ720980 G786513:H786516 JD786513:JE786516 SZ786513:TA786516 ACV786513:ACW786516 AMR786513:AMS786516 AWN786513:AWO786516 BGJ786513:BGK786516 BQF786513:BQG786516 CAB786513:CAC786516 CJX786513:CJY786516 CTT786513:CTU786516 DDP786513:DDQ786516 DNL786513:DNM786516 DXH786513:DXI786516 EHD786513:EHE786516 EQZ786513:ERA786516 FAV786513:FAW786516 FKR786513:FKS786516 FUN786513:FUO786516 GEJ786513:GEK786516 GOF786513:GOG786516 GYB786513:GYC786516 HHX786513:HHY786516 HRT786513:HRU786516 IBP786513:IBQ786516 ILL786513:ILM786516 IVH786513:IVI786516 JFD786513:JFE786516 JOZ786513:JPA786516 JYV786513:JYW786516 KIR786513:KIS786516 KSN786513:KSO786516 LCJ786513:LCK786516 LMF786513:LMG786516 LWB786513:LWC786516 MFX786513:MFY786516 MPT786513:MPU786516 MZP786513:MZQ786516 NJL786513:NJM786516 NTH786513:NTI786516 ODD786513:ODE786516 OMZ786513:ONA786516 OWV786513:OWW786516 PGR786513:PGS786516 PQN786513:PQO786516 QAJ786513:QAK786516 QKF786513:QKG786516 QUB786513:QUC786516 RDX786513:RDY786516 RNT786513:RNU786516 RXP786513:RXQ786516 SHL786513:SHM786516 SRH786513:SRI786516 TBD786513:TBE786516 TKZ786513:TLA786516 TUV786513:TUW786516 UER786513:UES786516 UON786513:UOO786516 UYJ786513:UYK786516 VIF786513:VIG786516 VSB786513:VSC786516 WBX786513:WBY786516 WLT786513:WLU786516 WVP786513:WVQ786516 G852049:H852052 JD852049:JE852052 SZ852049:TA852052 ACV852049:ACW852052 AMR852049:AMS852052 AWN852049:AWO852052 BGJ852049:BGK852052 BQF852049:BQG852052 CAB852049:CAC852052 CJX852049:CJY852052 CTT852049:CTU852052 DDP852049:DDQ852052 DNL852049:DNM852052 DXH852049:DXI852052 EHD852049:EHE852052 EQZ852049:ERA852052 FAV852049:FAW852052 FKR852049:FKS852052 FUN852049:FUO852052 GEJ852049:GEK852052 GOF852049:GOG852052 GYB852049:GYC852052 HHX852049:HHY852052 HRT852049:HRU852052 IBP852049:IBQ852052 ILL852049:ILM852052 IVH852049:IVI852052 JFD852049:JFE852052 JOZ852049:JPA852052 JYV852049:JYW852052 KIR852049:KIS852052 KSN852049:KSO852052 LCJ852049:LCK852052 LMF852049:LMG852052 LWB852049:LWC852052 MFX852049:MFY852052 MPT852049:MPU852052 MZP852049:MZQ852052 NJL852049:NJM852052 NTH852049:NTI852052 ODD852049:ODE852052 OMZ852049:ONA852052 OWV852049:OWW852052 PGR852049:PGS852052 PQN852049:PQO852052 QAJ852049:QAK852052 QKF852049:QKG852052 QUB852049:QUC852052 RDX852049:RDY852052 RNT852049:RNU852052 RXP852049:RXQ852052 SHL852049:SHM852052 SRH852049:SRI852052 TBD852049:TBE852052 TKZ852049:TLA852052 TUV852049:TUW852052 UER852049:UES852052 UON852049:UOO852052 UYJ852049:UYK852052 VIF852049:VIG852052 VSB852049:VSC852052 WBX852049:WBY852052 WLT852049:WLU852052 WVP852049:WVQ852052 G917585:H917588 JD917585:JE917588 SZ917585:TA917588 ACV917585:ACW917588 AMR917585:AMS917588 AWN917585:AWO917588 BGJ917585:BGK917588 BQF917585:BQG917588 CAB917585:CAC917588 CJX917585:CJY917588 CTT917585:CTU917588 DDP917585:DDQ917588 DNL917585:DNM917588 DXH917585:DXI917588 EHD917585:EHE917588 EQZ917585:ERA917588 FAV917585:FAW917588 FKR917585:FKS917588 FUN917585:FUO917588 GEJ917585:GEK917588 GOF917585:GOG917588 GYB917585:GYC917588 HHX917585:HHY917588 HRT917585:HRU917588 IBP917585:IBQ917588 ILL917585:ILM917588 IVH917585:IVI917588 JFD917585:JFE917588 JOZ917585:JPA917588 JYV917585:JYW917588 KIR917585:KIS917588 KSN917585:KSO917588 LCJ917585:LCK917588 LMF917585:LMG917588 LWB917585:LWC917588 MFX917585:MFY917588 MPT917585:MPU917588 MZP917585:MZQ917588 NJL917585:NJM917588 NTH917585:NTI917588 ODD917585:ODE917588 OMZ917585:ONA917588 OWV917585:OWW917588 PGR917585:PGS917588 PQN917585:PQO917588 QAJ917585:QAK917588 QKF917585:QKG917588 QUB917585:QUC917588 RDX917585:RDY917588 RNT917585:RNU917588 RXP917585:RXQ917588 SHL917585:SHM917588 SRH917585:SRI917588 TBD917585:TBE917588 TKZ917585:TLA917588 TUV917585:TUW917588 UER917585:UES917588 UON917585:UOO917588 UYJ917585:UYK917588 VIF917585:VIG917588 VSB917585:VSC917588 WBX917585:WBY917588 WLT917585:WLU917588 WVP917585:WVQ917588 G983121:H983124 JD983121:JE983124 SZ983121:TA983124 ACV983121:ACW983124 AMR983121:AMS983124 AWN983121:AWO983124 BGJ983121:BGK983124 BQF983121:BQG983124 CAB983121:CAC983124 CJX983121:CJY983124 CTT983121:CTU983124 DDP983121:DDQ983124 DNL983121:DNM983124 DXH983121:DXI983124 EHD983121:EHE983124 EQZ983121:ERA983124 FAV983121:FAW983124 FKR983121:FKS983124 FUN983121:FUO983124 GEJ983121:GEK983124 GOF983121:GOG983124 GYB983121:GYC983124 HHX983121:HHY983124 HRT983121:HRU983124 IBP983121:IBQ983124 ILL983121:ILM983124 IVH983121:IVI983124 JFD983121:JFE983124 JOZ983121:JPA983124 JYV983121:JYW983124 KIR983121:KIS983124 KSN983121:KSO983124 LCJ983121:LCK983124 LMF983121:LMG983124 LWB983121:LWC983124 MFX983121:MFY983124 MPT983121:MPU983124 MZP983121:MZQ983124 NJL983121:NJM983124 NTH983121:NTI983124 ODD983121:ODE983124 OMZ983121:ONA983124 OWV983121:OWW983124 PGR983121:PGS983124 PQN983121:PQO983124 QAJ983121:QAK983124 QKF983121:QKG983124 QUB983121:QUC983124 RDX983121:RDY983124 RNT983121:RNU983124 RXP983121:RXQ983124 SHL983121:SHM983124 SRH983121:SRI983124 TBD983121:TBE983124 TKZ983121:TLA983124 TUV983121:TUW983124 UER983121:UES983124 UON983121:UOO983124 UYJ983121:UYK983124 VIF983121:VIG983124 VSB983121:VSC983124 WBX983121:WBY983124 WLT983121:WLU983124 WVP983121:WVQ983124 VIL983082:VIM983085 JJ54:JK56 TF54:TG56 ADB54:ADC56 AMX54:AMY56 AWT54:AWU56 BGP54:BGQ56 BQL54:BQM56 CAH54:CAI56 CKD54:CKE56 CTZ54:CUA56 DDV54:DDW56 DNR54:DNS56 DXN54:DXO56 EHJ54:EHK56 ERF54:ERG56 FBB54:FBC56 FKX54:FKY56 FUT54:FUU56 GEP54:GEQ56 GOL54:GOM56 GYH54:GYI56 HID54:HIE56 HRZ54:HSA56 IBV54:IBW56 ILR54:ILS56 IVN54:IVO56 JFJ54:JFK56 JPF54:JPG56 JZB54:JZC56 KIX54:KIY56 KST54:KSU56 LCP54:LCQ56 LML54:LMM56 LWH54:LWI56 MGD54:MGE56 MPZ54:MQA56 MZV54:MZW56 NJR54:NJS56 NTN54:NTO56 ODJ54:ODK56 ONF54:ONG56 OXB54:OXC56 PGX54:PGY56 PQT54:PQU56 QAP54:QAQ56 QKL54:QKM56 QUH54:QUI56 RED54:REE56 RNZ54:ROA56 RXV54:RXW56 SHR54:SHS56 SRN54:SRO56 TBJ54:TBK56 TLF54:TLG56 TVB54:TVC56 UEX54:UEY56 UOT54:UOU56 UYP54:UYQ56 VIL54:VIM56 VSH54:VSI56 WCD54:WCE56 WLZ54:WMA56 WVV54:WVW56 M65592:N65594 JJ65592:JK65594 TF65592:TG65594 ADB65592:ADC65594 AMX65592:AMY65594 AWT65592:AWU65594 BGP65592:BGQ65594 BQL65592:BQM65594 CAH65592:CAI65594 CKD65592:CKE65594 CTZ65592:CUA65594 DDV65592:DDW65594 DNR65592:DNS65594 DXN65592:DXO65594 EHJ65592:EHK65594 ERF65592:ERG65594 FBB65592:FBC65594 FKX65592:FKY65594 FUT65592:FUU65594 GEP65592:GEQ65594 GOL65592:GOM65594 GYH65592:GYI65594 HID65592:HIE65594 HRZ65592:HSA65594 IBV65592:IBW65594 ILR65592:ILS65594 IVN65592:IVO65594 JFJ65592:JFK65594 JPF65592:JPG65594 JZB65592:JZC65594 KIX65592:KIY65594 KST65592:KSU65594 LCP65592:LCQ65594 LML65592:LMM65594 LWH65592:LWI65594 MGD65592:MGE65594 MPZ65592:MQA65594 MZV65592:MZW65594 NJR65592:NJS65594 NTN65592:NTO65594 ODJ65592:ODK65594 ONF65592:ONG65594 OXB65592:OXC65594 PGX65592:PGY65594 PQT65592:PQU65594 QAP65592:QAQ65594 QKL65592:QKM65594 QUH65592:QUI65594 RED65592:REE65594 RNZ65592:ROA65594 RXV65592:RXW65594 SHR65592:SHS65594 SRN65592:SRO65594 TBJ65592:TBK65594 TLF65592:TLG65594 TVB65592:TVC65594 UEX65592:UEY65594 UOT65592:UOU65594 UYP65592:UYQ65594 VIL65592:VIM65594 VSH65592:VSI65594 WCD65592:WCE65594 WLZ65592:WMA65594 WVV65592:WVW65594 M131128:N131130 JJ131128:JK131130 TF131128:TG131130 ADB131128:ADC131130 AMX131128:AMY131130 AWT131128:AWU131130 BGP131128:BGQ131130 BQL131128:BQM131130 CAH131128:CAI131130 CKD131128:CKE131130 CTZ131128:CUA131130 DDV131128:DDW131130 DNR131128:DNS131130 DXN131128:DXO131130 EHJ131128:EHK131130 ERF131128:ERG131130 FBB131128:FBC131130 FKX131128:FKY131130 FUT131128:FUU131130 GEP131128:GEQ131130 GOL131128:GOM131130 GYH131128:GYI131130 HID131128:HIE131130 HRZ131128:HSA131130 IBV131128:IBW131130 ILR131128:ILS131130 IVN131128:IVO131130 JFJ131128:JFK131130 JPF131128:JPG131130 JZB131128:JZC131130 KIX131128:KIY131130 KST131128:KSU131130 LCP131128:LCQ131130 LML131128:LMM131130 LWH131128:LWI131130 MGD131128:MGE131130 MPZ131128:MQA131130 MZV131128:MZW131130 NJR131128:NJS131130 NTN131128:NTO131130 ODJ131128:ODK131130 ONF131128:ONG131130 OXB131128:OXC131130 PGX131128:PGY131130 PQT131128:PQU131130 QAP131128:QAQ131130 QKL131128:QKM131130 QUH131128:QUI131130 RED131128:REE131130 RNZ131128:ROA131130 RXV131128:RXW131130 SHR131128:SHS131130 SRN131128:SRO131130 TBJ131128:TBK131130 TLF131128:TLG131130 TVB131128:TVC131130 UEX131128:UEY131130 UOT131128:UOU131130 UYP131128:UYQ131130 VIL131128:VIM131130 VSH131128:VSI131130 WCD131128:WCE131130 WLZ131128:WMA131130 WVV131128:WVW131130 M196664:N196666 JJ196664:JK196666 TF196664:TG196666 ADB196664:ADC196666 AMX196664:AMY196666 AWT196664:AWU196666 BGP196664:BGQ196666 BQL196664:BQM196666 CAH196664:CAI196666 CKD196664:CKE196666 CTZ196664:CUA196666 DDV196664:DDW196666 DNR196664:DNS196666 DXN196664:DXO196666 EHJ196664:EHK196666 ERF196664:ERG196666 FBB196664:FBC196666 FKX196664:FKY196666 FUT196664:FUU196666 GEP196664:GEQ196666 GOL196664:GOM196666 GYH196664:GYI196666 HID196664:HIE196666 HRZ196664:HSA196666 IBV196664:IBW196666 ILR196664:ILS196666 IVN196664:IVO196666 JFJ196664:JFK196666 JPF196664:JPG196666 JZB196664:JZC196666 KIX196664:KIY196666 KST196664:KSU196666 LCP196664:LCQ196666 LML196664:LMM196666 LWH196664:LWI196666 MGD196664:MGE196666 MPZ196664:MQA196666 MZV196664:MZW196666 NJR196664:NJS196666 NTN196664:NTO196666 ODJ196664:ODK196666 ONF196664:ONG196666 OXB196664:OXC196666 PGX196664:PGY196666 PQT196664:PQU196666 QAP196664:QAQ196666 QKL196664:QKM196666 QUH196664:QUI196666 RED196664:REE196666 RNZ196664:ROA196666 RXV196664:RXW196666 SHR196664:SHS196666 SRN196664:SRO196666 TBJ196664:TBK196666 TLF196664:TLG196666 TVB196664:TVC196666 UEX196664:UEY196666 UOT196664:UOU196666 UYP196664:UYQ196666 VIL196664:VIM196666 VSH196664:VSI196666 WCD196664:WCE196666 WLZ196664:WMA196666 WVV196664:WVW196666 M262200:N262202 JJ262200:JK262202 TF262200:TG262202 ADB262200:ADC262202 AMX262200:AMY262202 AWT262200:AWU262202 BGP262200:BGQ262202 BQL262200:BQM262202 CAH262200:CAI262202 CKD262200:CKE262202 CTZ262200:CUA262202 DDV262200:DDW262202 DNR262200:DNS262202 DXN262200:DXO262202 EHJ262200:EHK262202 ERF262200:ERG262202 FBB262200:FBC262202 FKX262200:FKY262202 FUT262200:FUU262202 GEP262200:GEQ262202 GOL262200:GOM262202 GYH262200:GYI262202 HID262200:HIE262202 HRZ262200:HSA262202 IBV262200:IBW262202 ILR262200:ILS262202 IVN262200:IVO262202 JFJ262200:JFK262202 JPF262200:JPG262202 JZB262200:JZC262202 KIX262200:KIY262202 KST262200:KSU262202 LCP262200:LCQ262202 LML262200:LMM262202 LWH262200:LWI262202 MGD262200:MGE262202 MPZ262200:MQA262202 MZV262200:MZW262202 NJR262200:NJS262202 NTN262200:NTO262202 ODJ262200:ODK262202 ONF262200:ONG262202 OXB262200:OXC262202 PGX262200:PGY262202 PQT262200:PQU262202 QAP262200:QAQ262202 QKL262200:QKM262202 QUH262200:QUI262202 RED262200:REE262202 RNZ262200:ROA262202 RXV262200:RXW262202 SHR262200:SHS262202 SRN262200:SRO262202 TBJ262200:TBK262202 TLF262200:TLG262202 TVB262200:TVC262202 UEX262200:UEY262202 UOT262200:UOU262202 UYP262200:UYQ262202 VIL262200:VIM262202 VSH262200:VSI262202 WCD262200:WCE262202 WLZ262200:WMA262202 WVV262200:WVW262202 M327736:N327738 JJ327736:JK327738 TF327736:TG327738 ADB327736:ADC327738 AMX327736:AMY327738 AWT327736:AWU327738 BGP327736:BGQ327738 BQL327736:BQM327738 CAH327736:CAI327738 CKD327736:CKE327738 CTZ327736:CUA327738 DDV327736:DDW327738 DNR327736:DNS327738 DXN327736:DXO327738 EHJ327736:EHK327738 ERF327736:ERG327738 FBB327736:FBC327738 FKX327736:FKY327738 FUT327736:FUU327738 GEP327736:GEQ327738 GOL327736:GOM327738 GYH327736:GYI327738 HID327736:HIE327738 HRZ327736:HSA327738 IBV327736:IBW327738 ILR327736:ILS327738 IVN327736:IVO327738 JFJ327736:JFK327738 JPF327736:JPG327738 JZB327736:JZC327738 KIX327736:KIY327738 KST327736:KSU327738 LCP327736:LCQ327738 LML327736:LMM327738 LWH327736:LWI327738 MGD327736:MGE327738 MPZ327736:MQA327738 MZV327736:MZW327738 NJR327736:NJS327738 NTN327736:NTO327738 ODJ327736:ODK327738 ONF327736:ONG327738 OXB327736:OXC327738 PGX327736:PGY327738 PQT327736:PQU327738 QAP327736:QAQ327738 QKL327736:QKM327738 QUH327736:QUI327738 RED327736:REE327738 RNZ327736:ROA327738 RXV327736:RXW327738 SHR327736:SHS327738 SRN327736:SRO327738 TBJ327736:TBK327738 TLF327736:TLG327738 TVB327736:TVC327738 UEX327736:UEY327738 UOT327736:UOU327738 UYP327736:UYQ327738 VIL327736:VIM327738 VSH327736:VSI327738 WCD327736:WCE327738 WLZ327736:WMA327738 WVV327736:WVW327738 M393272:N393274 JJ393272:JK393274 TF393272:TG393274 ADB393272:ADC393274 AMX393272:AMY393274 AWT393272:AWU393274 BGP393272:BGQ393274 BQL393272:BQM393274 CAH393272:CAI393274 CKD393272:CKE393274 CTZ393272:CUA393274 DDV393272:DDW393274 DNR393272:DNS393274 DXN393272:DXO393274 EHJ393272:EHK393274 ERF393272:ERG393274 FBB393272:FBC393274 FKX393272:FKY393274 FUT393272:FUU393274 GEP393272:GEQ393274 GOL393272:GOM393274 GYH393272:GYI393274 HID393272:HIE393274 HRZ393272:HSA393274 IBV393272:IBW393274 ILR393272:ILS393274 IVN393272:IVO393274 JFJ393272:JFK393274 JPF393272:JPG393274 JZB393272:JZC393274 KIX393272:KIY393274 KST393272:KSU393274 LCP393272:LCQ393274 LML393272:LMM393274 LWH393272:LWI393274 MGD393272:MGE393274 MPZ393272:MQA393274 MZV393272:MZW393274 NJR393272:NJS393274 NTN393272:NTO393274 ODJ393272:ODK393274 ONF393272:ONG393274 OXB393272:OXC393274 PGX393272:PGY393274 PQT393272:PQU393274 QAP393272:QAQ393274 QKL393272:QKM393274 QUH393272:QUI393274 RED393272:REE393274 RNZ393272:ROA393274 RXV393272:RXW393274 SHR393272:SHS393274 SRN393272:SRO393274 TBJ393272:TBK393274 TLF393272:TLG393274 TVB393272:TVC393274 UEX393272:UEY393274 UOT393272:UOU393274 UYP393272:UYQ393274 VIL393272:VIM393274 VSH393272:VSI393274 WCD393272:WCE393274 WLZ393272:WMA393274 WVV393272:WVW393274 M458808:N458810 JJ458808:JK458810 TF458808:TG458810 ADB458808:ADC458810 AMX458808:AMY458810 AWT458808:AWU458810 BGP458808:BGQ458810 BQL458808:BQM458810 CAH458808:CAI458810 CKD458808:CKE458810 CTZ458808:CUA458810 DDV458808:DDW458810 DNR458808:DNS458810 DXN458808:DXO458810 EHJ458808:EHK458810 ERF458808:ERG458810 FBB458808:FBC458810 FKX458808:FKY458810 FUT458808:FUU458810 GEP458808:GEQ458810 GOL458808:GOM458810 GYH458808:GYI458810 HID458808:HIE458810 HRZ458808:HSA458810 IBV458808:IBW458810 ILR458808:ILS458810 IVN458808:IVO458810 JFJ458808:JFK458810 JPF458808:JPG458810 JZB458808:JZC458810 KIX458808:KIY458810 KST458808:KSU458810 LCP458808:LCQ458810 LML458808:LMM458810 LWH458808:LWI458810 MGD458808:MGE458810 MPZ458808:MQA458810 MZV458808:MZW458810 NJR458808:NJS458810 NTN458808:NTO458810 ODJ458808:ODK458810 ONF458808:ONG458810 OXB458808:OXC458810 PGX458808:PGY458810 PQT458808:PQU458810 QAP458808:QAQ458810 QKL458808:QKM458810 QUH458808:QUI458810 RED458808:REE458810 RNZ458808:ROA458810 RXV458808:RXW458810 SHR458808:SHS458810 SRN458808:SRO458810 TBJ458808:TBK458810 TLF458808:TLG458810 TVB458808:TVC458810 UEX458808:UEY458810 UOT458808:UOU458810 UYP458808:UYQ458810 VIL458808:VIM458810 VSH458808:VSI458810 WCD458808:WCE458810 WLZ458808:WMA458810 WVV458808:WVW458810 M524344:N524346 JJ524344:JK524346 TF524344:TG524346 ADB524344:ADC524346 AMX524344:AMY524346 AWT524344:AWU524346 BGP524344:BGQ524346 BQL524344:BQM524346 CAH524344:CAI524346 CKD524344:CKE524346 CTZ524344:CUA524346 DDV524344:DDW524346 DNR524344:DNS524346 DXN524344:DXO524346 EHJ524344:EHK524346 ERF524344:ERG524346 FBB524344:FBC524346 FKX524344:FKY524346 FUT524344:FUU524346 GEP524344:GEQ524346 GOL524344:GOM524346 GYH524344:GYI524346 HID524344:HIE524346 HRZ524344:HSA524346 IBV524344:IBW524346 ILR524344:ILS524346 IVN524344:IVO524346 JFJ524344:JFK524346 JPF524344:JPG524346 JZB524344:JZC524346 KIX524344:KIY524346 KST524344:KSU524346 LCP524344:LCQ524346 LML524344:LMM524346 LWH524344:LWI524346 MGD524344:MGE524346 MPZ524344:MQA524346 MZV524344:MZW524346 NJR524344:NJS524346 NTN524344:NTO524346 ODJ524344:ODK524346 ONF524344:ONG524346 OXB524344:OXC524346 PGX524344:PGY524346 PQT524344:PQU524346 QAP524344:QAQ524346 QKL524344:QKM524346 QUH524344:QUI524346 RED524344:REE524346 RNZ524344:ROA524346 RXV524344:RXW524346 SHR524344:SHS524346 SRN524344:SRO524346 TBJ524344:TBK524346 TLF524344:TLG524346 TVB524344:TVC524346 UEX524344:UEY524346 UOT524344:UOU524346 UYP524344:UYQ524346 VIL524344:VIM524346 VSH524344:VSI524346 WCD524344:WCE524346 WLZ524344:WMA524346 WVV524344:WVW524346 M589880:N589882 JJ589880:JK589882 TF589880:TG589882 ADB589880:ADC589882 AMX589880:AMY589882 AWT589880:AWU589882 BGP589880:BGQ589882 BQL589880:BQM589882 CAH589880:CAI589882 CKD589880:CKE589882 CTZ589880:CUA589882 DDV589880:DDW589882 DNR589880:DNS589882 DXN589880:DXO589882 EHJ589880:EHK589882 ERF589880:ERG589882 FBB589880:FBC589882 FKX589880:FKY589882 FUT589880:FUU589882 GEP589880:GEQ589882 GOL589880:GOM589882 GYH589880:GYI589882 HID589880:HIE589882 HRZ589880:HSA589882 IBV589880:IBW589882 ILR589880:ILS589882 IVN589880:IVO589882 JFJ589880:JFK589882 JPF589880:JPG589882 JZB589880:JZC589882 KIX589880:KIY589882 KST589880:KSU589882 LCP589880:LCQ589882 LML589880:LMM589882 LWH589880:LWI589882 MGD589880:MGE589882 MPZ589880:MQA589882 MZV589880:MZW589882 NJR589880:NJS589882 NTN589880:NTO589882 ODJ589880:ODK589882 ONF589880:ONG589882 OXB589880:OXC589882 PGX589880:PGY589882 PQT589880:PQU589882 QAP589880:QAQ589882 QKL589880:QKM589882 QUH589880:QUI589882 RED589880:REE589882 RNZ589880:ROA589882 RXV589880:RXW589882 SHR589880:SHS589882 SRN589880:SRO589882 TBJ589880:TBK589882 TLF589880:TLG589882 TVB589880:TVC589882 UEX589880:UEY589882 UOT589880:UOU589882 UYP589880:UYQ589882 VIL589880:VIM589882 VSH589880:VSI589882 WCD589880:WCE589882 WLZ589880:WMA589882 WVV589880:WVW589882 M655416:N655418 JJ655416:JK655418 TF655416:TG655418 ADB655416:ADC655418 AMX655416:AMY655418 AWT655416:AWU655418 BGP655416:BGQ655418 BQL655416:BQM655418 CAH655416:CAI655418 CKD655416:CKE655418 CTZ655416:CUA655418 DDV655416:DDW655418 DNR655416:DNS655418 DXN655416:DXO655418 EHJ655416:EHK655418 ERF655416:ERG655418 FBB655416:FBC655418 FKX655416:FKY655418 FUT655416:FUU655418 GEP655416:GEQ655418 GOL655416:GOM655418 GYH655416:GYI655418 HID655416:HIE655418 HRZ655416:HSA655418 IBV655416:IBW655418 ILR655416:ILS655418 IVN655416:IVO655418 JFJ655416:JFK655418 JPF655416:JPG655418 JZB655416:JZC655418 KIX655416:KIY655418 KST655416:KSU655418 LCP655416:LCQ655418 LML655416:LMM655418 LWH655416:LWI655418 MGD655416:MGE655418 MPZ655416:MQA655418 MZV655416:MZW655418 NJR655416:NJS655418 NTN655416:NTO655418 ODJ655416:ODK655418 ONF655416:ONG655418 OXB655416:OXC655418 PGX655416:PGY655418 PQT655416:PQU655418 QAP655416:QAQ655418 QKL655416:QKM655418 QUH655416:QUI655418 RED655416:REE655418 RNZ655416:ROA655418 RXV655416:RXW655418 SHR655416:SHS655418 SRN655416:SRO655418 TBJ655416:TBK655418 TLF655416:TLG655418 TVB655416:TVC655418 UEX655416:UEY655418 UOT655416:UOU655418 UYP655416:UYQ655418 VIL655416:VIM655418 VSH655416:VSI655418 WCD655416:WCE655418 WLZ655416:WMA655418 WVV655416:WVW655418 M720952:N720954 JJ720952:JK720954 TF720952:TG720954 ADB720952:ADC720954 AMX720952:AMY720954 AWT720952:AWU720954 BGP720952:BGQ720954 BQL720952:BQM720954 CAH720952:CAI720954 CKD720952:CKE720954 CTZ720952:CUA720954 DDV720952:DDW720954 DNR720952:DNS720954 DXN720952:DXO720954 EHJ720952:EHK720954 ERF720952:ERG720954 FBB720952:FBC720954 FKX720952:FKY720954 FUT720952:FUU720954 GEP720952:GEQ720954 GOL720952:GOM720954 GYH720952:GYI720954 HID720952:HIE720954 HRZ720952:HSA720954 IBV720952:IBW720954 ILR720952:ILS720954 IVN720952:IVO720954 JFJ720952:JFK720954 JPF720952:JPG720954 JZB720952:JZC720954 KIX720952:KIY720954 KST720952:KSU720954 LCP720952:LCQ720954 LML720952:LMM720954 LWH720952:LWI720954 MGD720952:MGE720954 MPZ720952:MQA720954 MZV720952:MZW720954 NJR720952:NJS720954 NTN720952:NTO720954 ODJ720952:ODK720954 ONF720952:ONG720954 OXB720952:OXC720954 PGX720952:PGY720954 PQT720952:PQU720954 QAP720952:QAQ720954 QKL720952:QKM720954 QUH720952:QUI720954 RED720952:REE720954 RNZ720952:ROA720954 RXV720952:RXW720954 SHR720952:SHS720954 SRN720952:SRO720954 TBJ720952:TBK720954 TLF720952:TLG720954 TVB720952:TVC720954 UEX720952:UEY720954 UOT720952:UOU720954 UYP720952:UYQ720954 VIL720952:VIM720954 VSH720952:VSI720954 WCD720952:WCE720954 WLZ720952:WMA720954 WVV720952:WVW720954 M786488:N786490 JJ786488:JK786490 TF786488:TG786490 ADB786488:ADC786490 AMX786488:AMY786490 AWT786488:AWU786490 BGP786488:BGQ786490 BQL786488:BQM786490 CAH786488:CAI786490 CKD786488:CKE786490 CTZ786488:CUA786490 DDV786488:DDW786490 DNR786488:DNS786490 DXN786488:DXO786490 EHJ786488:EHK786490 ERF786488:ERG786490 FBB786488:FBC786490 FKX786488:FKY786490 FUT786488:FUU786490 GEP786488:GEQ786490 GOL786488:GOM786490 GYH786488:GYI786490 HID786488:HIE786490 HRZ786488:HSA786490 IBV786488:IBW786490 ILR786488:ILS786490 IVN786488:IVO786490 JFJ786488:JFK786490 JPF786488:JPG786490 JZB786488:JZC786490 KIX786488:KIY786490 KST786488:KSU786490 LCP786488:LCQ786490 LML786488:LMM786490 LWH786488:LWI786490 MGD786488:MGE786490 MPZ786488:MQA786490 MZV786488:MZW786490 NJR786488:NJS786490 NTN786488:NTO786490 ODJ786488:ODK786490 ONF786488:ONG786490 OXB786488:OXC786490 PGX786488:PGY786490 PQT786488:PQU786490 QAP786488:QAQ786490 QKL786488:QKM786490 QUH786488:QUI786490 RED786488:REE786490 RNZ786488:ROA786490 RXV786488:RXW786490 SHR786488:SHS786490 SRN786488:SRO786490 TBJ786488:TBK786490 TLF786488:TLG786490 TVB786488:TVC786490 UEX786488:UEY786490 UOT786488:UOU786490 UYP786488:UYQ786490 VIL786488:VIM786490 VSH786488:VSI786490 WCD786488:WCE786490 WLZ786488:WMA786490 WVV786488:WVW786490 M852024:N852026 JJ852024:JK852026 TF852024:TG852026 ADB852024:ADC852026 AMX852024:AMY852026 AWT852024:AWU852026 BGP852024:BGQ852026 BQL852024:BQM852026 CAH852024:CAI852026 CKD852024:CKE852026 CTZ852024:CUA852026 DDV852024:DDW852026 DNR852024:DNS852026 DXN852024:DXO852026 EHJ852024:EHK852026 ERF852024:ERG852026 FBB852024:FBC852026 FKX852024:FKY852026 FUT852024:FUU852026 GEP852024:GEQ852026 GOL852024:GOM852026 GYH852024:GYI852026 HID852024:HIE852026 HRZ852024:HSA852026 IBV852024:IBW852026 ILR852024:ILS852026 IVN852024:IVO852026 JFJ852024:JFK852026 JPF852024:JPG852026 JZB852024:JZC852026 KIX852024:KIY852026 KST852024:KSU852026 LCP852024:LCQ852026 LML852024:LMM852026 LWH852024:LWI852026 MGD852024:MGE852026 MPZ852024:MQA852026 MZV852024:MZW852026 NJR852024:NJS852026 NTN852024:NTO852026 ODJ852024:ODK852026 ONF852024:ONG852026 OXB852024:OXC852026 PGX852024:PGY852026 PQT852024:PQU852026 QAP852024:QAQ852026 QKL852024:QKM852026 QUH852024:QUI852026 RED852024:REE852026 RNZ852024:ROA852026 RXV852024:RXW852026 SHR852024:SHS852026 SRN852024:SRO852026 TBJ852024:TBK852026 TLF852024:TLG852026 TVB852024:TVC852026 UEX852024:UEY852026 UOT852024:UOU852026 UYP852024:UYQ852026 VIL852024:VIM852026 VSH852024:VSI852026 WCD852024:WCE852026 WLZ852024:WMA852026 WVV852024:WVW852026 M917560:N917562 JJ917560:JK917562 TF917560:TG917562 ADB917560:ADC917562 AMX917560:AMY917562 AWT917560:AWU917562 BGP917560:BGQ917562 BQL917560:BQM917562 CAH917560:CAI917562 CKD917560:CKE917562 CTZ917560:CUA917562 DDV917560:DDW917562 DNR917560:DNS917562 DXN917560:DXO917562 EHJ917560:EHK917562 ERF917560:ERG917562 FBB917560:FBC917562 FKX917560:FKY917562 FUT917560:FUU917562 GEP917560:GEQ917562 GOL917560:GOM917562 GYH917560:GYI917562 HID917560:HIE917562 HRZ917560:HSA917562 IBV917560:IBW917562 ILR917560:ILS917562 IVN917560:IVO917562 JFJ917560:JFK917562 JPF917560:JPG917562 JZB917560:JZC917562 KIX917560:KIY917562 KST917560:KSU917562 LCP917560:LCQ917562 LML917560:LMM917562 LWH917560:LWI917562 MGD917560:MGE917562 MPZ917560:MQA917562 MZV917560:MZW917562 NJR917560:NJS917562 NTN917560:NTO917562 ODJ917560:ODK917562 ONF917560:ONG917562 OXB917560:OXC917562 PGX917560:PGY917562 PQT917560:PQU917562 QAP917560:QAQ917562 QKL917560:QKM917562 QUH917560:QUI917562 RED917560:REE917562 RNZ917560:ROA917562 RXV917560:RXW917562 SHR917560:SHS917562 SRN917560:SRO917562 TBJ917560:TBK917562 TLF917560:TLG917562 TVB917560:TVC917562 UEX917560:UEY917562 UOT917560:UOU917562 UYP917560:UYQ917562 VIL917560:VIM917562 VSH917560:VSI917562 WCD917560:WCE917562 WLZ917560:WMA917562 WVV917560:WVW917562 M983096:N983098 JJ983096:JK983098 TF983096:TG983098 ADB983096:ADC983098 AMX983096:AMY983098 AWT983096:AWU983098 BGP983096:BGQ983098 BQL983096:BQM983098 CAH983096:CAI983098 CKD983096:CKE983098 CTZ983096:CUA983098 DDV983096:DDW983098 DNR983096:DNS983098 DXN983096:DXO983098 EHJ983096:EHK983098 ERF983096:ERG983098 FBB983096:FBC983098 FKX983096:FKY983098 FUT983096:FUU983098 GEP983096:GEQ983098 GOL983096:GOM983098 GYH983096:GYI983098 HID983096:HIE983098 HRZ983096:HSA983098 IBV983096:IBW983098 ILR983096:ILS983098 IVN983096:IVO983098 JFJ983096:JFK983098 JPF983096:JPG983098 JZB983096:JZC983098 KIX983096:KIY983098 KST983096:KSU983098 LCP983096:LCQ983098 LML983096:LMM983098 LWH983096:LWI983098 MGD983096:MGE983098 MPZ983096:MQA983098 MZV983096:MZW983098 NJR983096:NJS983098 NTN983096:NTO983098 ODJ983096:ODK983098 ONF983096:ONG983098 OXB983096:OXC983098 PGX983096:PGY983098 PQT983096:PQU983098 QAP983096:QAQ983098 QKL983096:QKM983098 QUH983096:QUI983098 RED983096:REE983098 RNZ983096:ROA983098 RXV983096:RXW983098 SHR983096:SHS983098 SRN983096:SRO983098 TBJ983096:TBK983098 TLF983096:TLG983098 TVB983096:TVC983098 UEX983096:UEY983098 UOT983096:UOU983098 UYP983096:UYQ983098 VIL983096:VIM983098 VSH983096:VSI983098 WCD983096:WCE983098 WLZ983096:WMA983098 WVV983096:WVW983098 WLZ983082:WMA983085 JJ30:JK30 TF30:TG30 ADB30:ADC30 AMX30:AMY30 AWT30:AWU30 BGP30:BGQ30 BQL30:BQM30 CAH30:CAI30 CKD30:CKE30 CTZ30:CUA30 DDV30:DDW30 DNR30:DNS30 DXN30:DXO30 EHJ30:EHK30 ERF30:ERG30 FBB30:FBC30 FKX30:FKY30 FUT30:FUU30 GEP30:GEQ30 GOL30:GOM30 GYH30:GYI30 HID30:HIE30 HRZ30:HSA30 IBV30:IBW30 ILR30:ILS30 IVN30:IVO30 JFJ30:JFK30 JPF30:JPG30 JZB30:JZC30 KIX30:KIY30 KST30:KSU30 LCP30:LCQ30 LML30:LMM30 LWH30:LWI30 MGD30:MGE30 MPZ30:MQA30 MZV30:MZW30 NJR30:NJS30 NTN30:NTO30 ODJ30:ODK30 ONF30:ONG30 OXB30:OXC30 PGX30:PGY30 PQT30:PQU30 QAP30:QAQ30 QKL30:QKM30 QUH30:QUI30 RED30:REE30 RNZ30:ROA30 RXV30:RXW30 SHR30:SHS30 SRN30:SRO30 TBJ30:TBK30 TLF30:TLG30 TVB30:TVC30 UEX30:UEY30 UOT30:UOU30 UYP30:UYQ30 VIL30:VIM30 VSH30:VSI30 WCD30:WCE30 WLZ30:WMA30 WVV30:WVW30 M65568:N65568 JJ65568:JK65568 TF65568:TG65568 ADB65568:ADC65568 AMX65568:AMY65568 AWT65568:AWU65568 BGP65568:BGQ65568 BQL65568:BQM65568 CAH65568:CAI65568 CKD65568:CKE65568 CTZ65568:CUA65568 DDV65568:DDW65568 DNR65568:DNS65568 DXN65568:DXO65568 EHJ65568:EHK65568 ERF65568:ERG65568 FBB65568:FBC65568 FKX65568:FKY65568 FUT65568:FUU65568 GEP65568:GEQ65568 GOL65568:GOM65568 GYH65568:GYI65568 HID65568:HIE65568 HRZ65568:HSA65568 IBV65568:IBW65568 ILR65568:ILS65568 IVN65568:IVO65568 JFJ65568:JFK65568 JPF65568:JPG65568 JZB65568:JZC65568 KIX65568:KIY65568 KST65568:KSU65568 LCP65568:LCQ65568 LML65568:LMM65568 LWH65568:LWI65568 MGD65568:MGE65568 MPZ65568:MQA65568 MZV65568:MZW65568 NJR65568:NJS65568 NTN65568:NTO65568 ODJ65568:ODK65568 ONF65568:ONG65568 OXB65568:OXC65568 PGX65568:PGY65568 PQT65568:PQU65568 QAP65568:QAQ65568 QKL65568:QKM65568 QUH65568:QUI65568 RED65568:REE65568 RNZ65568:ROA65568 RXV65568:RXW65568 SHR65568:SHS65568 SRN65568:SRO65568 TBJ65568:TBK65568 TLF65568:TLG65568 TVB65568:TVC65568 UEX65568:UEY65568 UOT65568:UOU65568 UYP65568:UYQ65568 VIL65568:VIM65568 VSH65568:VSI65568 WCD65568:WCE65568 WLZ65568:WMA65568 WVV65568:WVW65568 M131104:N131104 JJ131104:JK131104 TF131104:TG131104 ADB131104:ADC131104 AMX131104:AMY131104 AWT131104:AWU131104 BGP131104:BGQ131104 BQL131104:BQM131104 CAH131104:CAI131104 CKD131104:CKE131104 CTZ131104:CUA131104 DDV131104:DDW131104 DNR131104:DNS131104 DXN131104:DXO131104 EHJ131104:EHK131104 ERF131104:ERG131104 FBB131104:FBC131104 FKX131104:FKY131104 FUT131104:FUU131104 GEP131104:GEQ131104 GOL131104:GOM131104 GYH131104:GYI131104 HID131104:HIE131104 HRZ131104:HSA131104 IBV131104:IBW131104 ILR131104:ILS131104 IVN131104:IVO131104 JFJ131104:JFK131104 JPF131104:JPG131104 JZB131104:JZC131104 KIX131104:KIY131104 KST131104:KSU131104 LCP131104:LCQ131104 LML131104:LMM131104 LWH131104:LWI131104 MGD131104:MGE131104 MPZ131104:MQA131104 MZV131104:MZW131104 NJR131104:NJS131104 NTN131104:NTO131104 ODJ131104:ODK131104 ONF131104:ONG131104 OXB131104:OXC131104 PGX131104:PGY131104 PQT131104:PQU131104 QAP131104:QAQ131104 QKL131104:QKM131104 QUH131104:QUI131104 RED131104:REE131104 RNZ131104:ROA131104 RXV131104:RXW131104 SHR131104:SHS131104 SRN131104:SRO131104 TBJ131104:TBK131104 TLF131104:TLG131104 TVB131104:TVC131104 UEX131104:UEY131104 UOT131104:UOU131104 UYP131104:UYQ131104 VIL131104:VIM131104 VSH131104:VSI131104 WCD131104:WCE131104 WLZ131104:WMA131104 WVV131104:WVW131104 M196640:N196640 JJ196640:JK196640 TF196640:TG196640 ADB196640:ADC196640 AMX196640:AMY196640 AWT196640:AWU196640 BGP196640:BGQ196640 BQL196640:BQM196640 CAH196640:CAI196640 CKD196640:CKE196640 CTZ196640:CUA196640 DDV196640:DDW196640 DNR196640:DNS196640 DXN196640:DXO196640 EHJ196640:EHK196640 ERF196640:ERG196640 FBB196640:FBC196640 FKX196640:FKY196640 FUT196640:FUU196640 GEP196640:GEQ196640 GOL196640:GOM196640 GYH196640:GYI196640 HID196640:HIE196640 HRZ196640:HSA196640 IBV196640:IBW196640 ILR196640:ILS196640 IVN196640:IVO196640 JFJ196640:JFK196640 JPF196640:JPG196640 JZB196640:JZC196640 KIX196640:KIY196640 KST196640:KSU196640 LCP196640:LCQ196640 LML196640:LMM196640 LWH196640:LWI196640 MGD196640:MGE196640 MPZ196640:MQA196640 MZV196640:MZW196640 NJR196640:NJS196640 NTN196640:NTO196640 ODJ196640:ODK196640 ONF196640:ONG196640 OXB196640:OXC196640 PGX196640:PGY196640 PQT196640:PQU196640 QAP196640:QAQ196640 QKL196640:QKM196640 QUH196640:QUI196640 RED196640:REE196640 RNZ196640:ROA196640 RXV196640:RXW196640 SHR196640:SHS196640 SRN196640:SRO196640 TBJ196640:TBK196640 TLF196640:TLG196640 TVB196640:TVC196640 UEX196640:UEY196640 UOT196640:UOU196640 UYP196640:UYQ196640 VIL196640:VIM196640 VSH196640:VSI196640 WCD196640:WCE196640 WLZ196640:WMA196640 WVV196640:WVW196640 M262176:N262176 JJ262176:JK262176 TF262176:TG262176 ADB262176:ADC262176 AMX262176:AMY262176 AWT262176:AWU262176 BGP262176:BGQ262176 BQL262176:BQM262176 CAH262176:CAI262176 CKD262176:CKE262176 CTZ262176:CUA262176 DDV262176:DDW262176 DNR262176:DNS262176 DXN262176:DXO262176 EHJ262176:EHK262176 ERF262176:ERG262176 FBB262176:FBC262176 FKX262176:FKY262176 FUT262176:FUU262176 GEP262176:GEQ262176 GOL262176:GOM262176 GYH262176:GYI262176 HID262176:HIE262176 HRZ262176:HSA262176 IBV262176:IBW262176 ILR262176:ILS262176 IVN262176:IVO262176 JFJ262176:JFK262176 JPF262176:JPG262176 JZB262176:JZC262176 KIX262176:KIY262176 KST262176:KSU262176 LCP262176:LCQ262176 LML262176:LMM262176 LWH262176:LWI262176 MGD262176:MGE262176 MPZ262176:MQA262176 MZV262176:MZW262176 NJR262176:NJS262176 NTN262176:NTO262176 ODJ262176:ODK262176 ONF262176:ONG262176 OXB262176:OXC262176 PGX262176:PGY262176 PQT262176:PQU262176 QAP262176:QAQ262176 QKL262176:QKM262176 QUH262176:QUI262176 RED262176:REE262176 RNZ262176:ROA262176 RXV262176:RXW262176 SHR262176:SHS262176 SRN262176:SRO262176 TBJ262176:TBK262176 TLF262176:TLG262176 TVB262176:TVC262176 UEX262176:UEY262176 UOT262176:UOU262176 UYP262176:UYQ262176 VIL262176:VIM262176 VSH262176:VSI262176 WCD262176:WCE262176 WLZ262176:WMA262176 WVV262176:WVW262176 M327712:N327712 JJ327712:JK327712 TF327712:TG327712 ADB327712:ADC327712 AMX327712:AMY327712 AWT327712:AWU327712 BGP327712:BGQ327712 BQL327712:BQM327712 CAH327712:CAI327712 CKD327712:CKE327712 CTZ327712:CUA327712 DDV327712:DDW327712 DNR327712:DNS327712 DXN327712:DXO327712 EHJ327712:EHK327712 ERF327712:ERG327712 FBB327712:FBC327712 FKX327712:FKY327712 FUT327712:FUU327712 GEP327712:GEQ327712 GOL327712:GOM327712 GYH327712:GYI327712 HID327712:HIE327712 HRZ327712:HSA327712 IBV327712:IBW327712 ILR327712:ILS327712 IVN327712:IVO327712 JFJ327712:JFK327712 JPF327712:JPG327712 JZB327712:JZC327712 KIX327712:KIY327712 KST327712:KSU327712 LCP327712:LCQ327712 LML327712:LMM327712 LWH327712:LWI327712 MGD327712:MGE327712 MPZ327712:MQA327712 MZV327712:MZW327712 NJR327712:NJS327712 NTN327712:NTO327712 ODJ327712:ODK327712 ONF327712:ONG327712 OXB327712:OXC327712 PGX327712:PGY327712 PQT327712:PQU327712 QAP327712:QAQ327712 QKL327712:QKM327712 QUH327712:QUI327712 RED327712:REE327712 RNZ327712:ROA327712 RXV327712:RXW327712 SHR327712:SHS327712 SRN327712:SRO327712 TBJ327712:TBK327712 TLF327712:TLG327712 TVB327712:TVC327712 UEX327712:UEY327712 UOT327712:UOU327712 UYP327712:UYQ327712 VIL327712:VIM327712 VSH327712:VSI327712 WCD327712:WCE327712 WLZ327712:WMA327712 WVV327712:WVW327712 M393248:N393248 JJ393248:JK393248 TF393248:TG393248 ADB393248:ADC393248 AMX393248:AMY393248 AWT393248:AWU393248 BGP393248:BGQ393248 BQL393248:BQM393248 CAH393248:CAI393248 CKD393248:CKE393248 CTZ393248:CUA393248 DDV393248:DDW393248 DNR393248:DNS393248 DXN393248:DXO393248 EHJ393248:EHK393248 ERF393248:ERG393248 FBB393248:FBC393248 FKX393248:FKY393248 FUT393248:FUU393248 GEP393248:GEQ393248 GOL393248:GOM393248 GYH393248:GYI393248 HID393248:HIE393248 HRZ393248:HSA393248 IBV393248:IBW393248 ILR393248:ILS393248 IVN393248:IVO393248 JFJ393248:JFK393248 JPF393248:JPG393248 JZB393248:JZC393248 KIX393248:KIY393248 KST393248:KSU393248 LCP393248:LCQ393248 LML393248:LMM393248 LWH393248:LWI393248 MGD393248:MGE393248 MPZ393248:MQA393248 MZV393248:MZW393248 NJR393248:NJS393248 NTN393248:NTO393248 ODJ393248:ODK393248 ONF393248:ONG393248 OXB393248:OXC393248 PGX393248:PGY393248 PQT393248:PQU393248 QAP393248:QAQ393248 QKL393248:QKM393248 QUH393248:QUI393248 RED393248:REE393248 RNZ393248:ROA393248 RXV393248:RXW393248 SHR393248:SHS393248 SRN393248:SRO393248 TBJ393248:TBK393248 TLF393248:TLG393248 TVB393248:TVC393248 UEX393248:UEY393248 UOT393248:UOU393248 UYP393248:UYQ393248 VIL393248:VIM393248 VSH393248:VSI393248 WCD393248:WCE393248 WLZ393248:WMA393248 WVV393248:WVW393248 M458784:N458784 JJ458784:JK458784 TF458784:TG458784 ADB458784:ADC458784 AMX458784:AMY458784 AWT458784:AWU458784 BGP458784:BGQ458784 BQL458784:BQM458784 CAH458784:CAI458784 CKD458784:CKE458784 CTZ458784:CUA458784 DDV458784:DDW458784 DNR458784:DNS458784 DXN458784:DXO458784 EHJ458784:EHK458784 ERF458784:ERG458784 FBB458784:FBC458784 FKX458784:FKY458784 FUT458784:FUU458784 GEP458784:GEQ458784 GOL458784:GOM458784 GYH458784:GYI458784 HID458784:HIE458784 HRZ458784:HSA458784 IBV458784:IBW458784 ILR458784:ILS458784 IVN458784:IVO458784 JFJ458784:JFK458784 JPF458784:JPG458784 JZB458784:JZC458784 KIX458784:KIY458784 KST458784:KSU458784 LCP458784:LCQ458784 LML458784:LMM458784 LWH458784:LWI458784 MGD458784:MGE458784 MPZ458784:MQA458784 MZV458784:MZW458784 NJR458784:NJS458784 NTN458784:NTO458784 ODJ458784:ODK458784 ONF458784:ONG458784 OXB458784:OXC458784 PGX458784:PGY458784 PQT458784:PQU458784 QAP458784:QAQ458784 QKL458784:QKM458784 QUH458784:QUI458784 RED458784:REE458784 RNZ458784:ROA458784 RXV458784:RXW458784 SHR458784:SHS458784 SRN458784:SRO458784 TBJ458784:TBK458784 TLF458784:TLG458784 TVB458784:TVC458784 UEX458784:UEY458784 UOT458784:UOU458784 UYP458784:UYQ458784 VIL458784:VIM458784 VSH458784:VSI458784 WCD458784:WCE458784 WLZ458784:WMA458784 WVV458784:WVW458784 M524320:N524320 JJ524320:JK524320 TF524320:TG524320 ADB524320:ADC524320 AMX524320:AMY524320 AWT524320:AWU524320 BGP524320:BGQ524320 BQL524320:BQM524320 CAH524320:CAI524320 CKD524320:CKE524320 CTZ524320:CUA524320 DDV524320:DDW524320 DNR524320:DNS524320 DXN524320:DXO524320 EHJ524320:EHK524320 ERF524320:ERG524320 FBB524320:FBC524320 FKX524320:FKY524320 FUT524320:FUU524320 GEP524320:GEQ524320 GOL524320:GOM524320 GYH524320:GYI524320 HID524320:HIE524320 HRZ524320:HSA524320 IBV524320:IBW524320 ILR524320:ILS524320 IVN524320:IVO524320 JFJ524320:JFK524320 JPF524320:JPG524320 JZB524320:JZC524320 KIX524320:KIY524320 KST524320:KSU524320 LCP524320:LCQ524320 LML524320:LMM524320 LWH524320:LWI524320 MGD524320:MGE524320 MPZ524320:MQA524320 MZV524320:MZW524320 NJR524320:NJS524320 NTN524320:NTO524320 ODJ524320:ODK524320 ONF524320:ONG524320 OXB524320:OXC524320 PGX524320:PGY524320 PQT524320:PQU524320 QAP524320:QAQ524320 QKL524320:QKM524320 QUH524320:QUI524320 RED524320:REE524320 RNZ524320:ROA524320 RXV524320:RXW524320 SHR524320:SHS524320 SRN524320:SRO524320 TBJ524320:TBK524320 TLF524320:TLG524320 TVB524320:TVC524320 UEX524320:UEY524320 UOT524320:UOU524320 UYP524320:UYQ524320 VIL524320:VIM524320 VSH524320:VSI524320 WCD524320:WCE524320 WLZ524320:WMA524320 WVV524320:WVW524320 M589856:N589856 JJ589856:JK589856 TF589856:TG589856 ADB589856:ADC589856 AMX589856:AMY589856 AWT589856:AWU589856 BGP589856:BGQ589856 BQL589856:BQM589856 CAH589856:CAI589856 CKD589856:CKE589856 CTZ589856:CUA589856 DDV589856:DDW589856 DNR589856:DNS589856 DXN589856:DXO589856 EHJ589856:EHK589856 ERF589856:ERG589856 FBB589856:FBC589856 FKX589856:FKY589856 FUT589856:FUU589856 GEP589856:GEQ589856 GOL589856:GOM589856 GYH589856:GYI589856 HID589856:HIE589856 HRZ589856:HSA589856 IBV589856:IBW589856 ILR589856:ILS589856 IVN589856:IVO589856 JFJ589856:JFK589856 JPF589856:JPG589856 JZB589856:JZC589856 KIX589856:KIY589856 KST589856:KSU589856 LCP589856:LCQ589856 LML589856:LMM589856 LWH589856:LWI589856 MGD589856:MGE589856 MPZ589856:MQA589856 MZV589856:MZW589856 NJR589856:NJS589856 NTN589856:NTO589856 ODJ589856:ODK589856 ONF589856:ONG589856 OXB589856:OXC589856 PGX589856:PGY589856 PQT589856:PQU589856 QAP589856:QAQ589856 QKL589856:QKM589856 QUH589856:QUI589856 RED589856:REE589856 RNZ589856:ROA589856 RXV589856:RXW589856 SHR589856:SHS589856 SRN589856:SRO589856 TBJ589856:TBK589856 TLF589856:TLG589856 TVB589856:TVC589856 UEX589856:UEY589856 UOT589856:UOU589856 UYP589856:UYQ589856 VIL589856:VIM589856 VSH589856:VSI589856 WCD589856:WCE589856 WLZ589856:WMA589856 WVV589856:WVW589856 M655392:N655392 JJ655392:JK655392 TF655392:TG655392 ADB655392:ADC655392 AMX655392:AMY655392 AWT655392:AWU655392 BGP655392:BGQ655392 BQL655392:BQM655392 CAH655392:CAI655392 CKD655392:CKE655392 CTZ655392:CUA655392 DDV655392:DDW655392 DNR655392:DNS655392 DXN655392:DXO655392 EHJ655392:EHK655392 ERF655392:ERG655392 FBB655392:FBC655392 FKX655392:FKY655392 FUT655392:FUU655392 GEP655392:GEQ655392 GOL655392:GOM655392 GYH655392:GYI655392 HID655392:HIE655392 HRZ655392:HSA655392 IBV655392:IBW655392 ILR655392:ILS655392 IVN655392:IVO655392 JFJ655392:JFK655392 JPF655392:JPG655392 JZB655392:JZC655392 KIX655392:KIY655392 KST655392:KSU655392 LCP655392:LCQ655392 LML655392:LMM655392 LWH655392:LWI655392 MGD655392:MGE655392 MPZ655392:MQA655392 MZV655392:MZW655392 NJR655392:NJS655392 NTN655392:NTO655392 ODJ655392:ODK655392 ONF655392:ONG655392 OXB655392:OXC655392 PGX655392:PGY655392 PQT655392:PQU655392 QAP655392:QAQ655392 QKL655392:QKM655392 QUH655392:QUI655392 RED655392:REE655392 RNZ655392:ROA655392 RXV655392:RXW655392 SHR655392:SHS655392 SRN655392:SRO655392 TBJ655392:TBK655392 TLF655392:TLG655392 TVB655392:TVC655392 UEX655392:UEY655392 UOT655392:UOU655392 UYP655392:UYQ655392 VIL655392:VIM655392 VSH655392:VSI655392 WCD655392:WCE655392 WLZ655392:WMA655392 WVV655392:WVW655392 M720928:N720928 JJ720928:JK720928 TF720928:TG720928 ADB720928:ADC720928 AMX720928:AMY720928 AWT720928:AWU720928 BGP720928:BGQ720928 BQL720928:BQM720928 CAH720928:CAI720928 CKD720928:CKE720928 CTZ720928:CUA720928 DDV720928:DDW720928 DNR720928:DNS720928 DXN720928:DXO720928 EHJ720928:EHK720928 ERF720928:ERG720928 FBB720928:FBC720928 FKX720928:FKY720928 FUT720928:FUU720928 GEP720928:GEQ720928 GOL720928:GOM720928 GYH720928:GYI720928 HID720928:HIE720928 HRZ720928:HSA720928 IBV720928:IBW720928 ILR720928:ILS720928 IVN720928:IVO720928 JFJ720928:JFK720928 JPF720928:JPG720928 JZB720928:JZC720928 KIX720928:KIY720928 KST720928:KSU720928 LCP720928:LCQ720928 LML720928:LMM720928 LWH720928:LWI720928 MGD720928:MGE720928 MPZ720928:MQA720928 MZV720928:MZW720928 NJR720928:NJS720928 NTN720928:NTO720928 ODJ720928:ODK720928 ONF720928:ONG720928 OXB720928:OXC720928 PGX720928:PGY720928 PQT720928:PQU720928 QAP720928:QAQ720928 QKL720928:QKM720928 QUH720928:QUI720928 RED720928:REE720928 RNZ720928:ROA720928 RXV720928:RXW720928 SHR720928:SHS720928 SRN720928:SRO720928 TBJ720928:TBK720928 TLF720928:TLG720928 TVB720928:TVC720928 UEX720928:UEY720928 UOT720928:UOU720928 UYP720928:UYQ720928 VIL720928:VIM720928 VSH720928:VSI720928 WCD720928:WCE720928 WLZ720928:WMA720928 WVV720928:WVW720928 M786464:N786464 JJ786464:JK786464 TF786464:TG786464 ADB786464:ADC786464 AMX786464:AMY786464 AWT786464:AWU786464 BGP786464:BGQ786464 BQL786464:BQM786464 CAH786464:CAI786464 CKD786464:CKE786464 CTZ786464:CUA786464 DDV786464:DDW786464 DNR786464:DNS786464 DXN786464:DXO786464 EHJ786464:EHK786464 ERF786464:ERG786464 FBB786464:FBC786464 FKX786464:FKY786464 FUT786464:FUU786464 GEP786464:GEQ786464 GOL786464:GOM786464 GYH786464:GYI786464 HID786464:HIE786464 HRZ786464:HSA786464 IBV786464:IBW786464 ILR786464:ILS786464 IVN786464:IVO786464 JFJ786464:JFK786464 JPF786464:JPG786464 JZB786464:JZC786464 KIX786464:KIY786464 KST786464:KSU786464 LCP786464:LCQ786464 LML786464:LMM786464 LWH786464:LWI786464 MGD786464:MGE786464 MPZ786464:MQA786464 MZV786464:MZW786464 NJR786464:NJS786464 NTN786464:NTO786464 ODJ786464:ODK786464 ONF786464:ONG786464 OXB786464:OXC786464 PGX786464:PGY786464 PQT786464:PQU786464 QAP786464:QAQ786464 QKL786464:QKM786464 QUH786464:QUI786464 RED786464:REE786464 RNZ786464:ROA786464 RXV786464:RXW786464 SHR786464:SHS786464 SRN786464:SRO786464 TBJ786464:TBK786464 TLF786464:TLG786464 TVB786464:TVC786464 UEX786464:UEY786464 UOT786464:UOU786464 UYP786464:UYQ786464 VIL786464:VIM786464 VSH786464:VSI786464 WCD786464:WCE786464 WLZ786464:WMA786464 WVV786464:WVW786464 M852000:N852000 JJ852000:JK852000 TF852000:TG852000 ADB852000:ADC852000 AMX852000:AMY852000 AWT852000:AWU852000 BGP852000:BGQ852000 BQL852000:BQM852000 CAH852000:CAI852000 CKD852000:CKE852000 CTZ852000:CUA852000 DDV852000:DDW852000 DNR852000:DNS852000 DXN852000:DXO852000 EHJ852000:EHK852000 ERF852000:ERG852000 FBB852000:FBC852000 FKX852000:FKY852000 FUT852000:FUU852000 GEP852000:GEQ852000 GOL852000:GOM852000 GYH852000:GYI852000 HID852000:HIE852000 HRZ852000:HSA852000 IBV852000:IBW852000 ILR852000:ILS852000 IVN852000:IVO852000 JFJ852000:JFK852000 JPF852000:JPG852000 JZB852000:JZC852000 KIX852000:KIY852000 KST852000:KSU852000 LCP852000:LCQ852000 LML852000:LMM852000 LWH852000:LWI852000 MGD852000:MGE852000 MPZ852000:MQA852000 MZV852000:MZW852000 NJR852000:NJS852000 NTN852000:NTO852000 ODJ852000:ODK852000 ONF852000:ONG852000 OXB852000:OXC852000 PGX852000:PGY852000 PQT852000:PQU852000 QAP852000:QAQ852000 QKL852000:QKM852000 QUH852000:QUI852000 RED852000:REE852000 RNZ852000:ROA852000 RXV852000:RXW852000 SHR852000:SHS852000 SRN852000:SRO852000 TBJ852000:TBK852000 TLF852000:TLG852000 TVB852000:TVC852000 UEX852000:UEY852000 UOT852000:UOU852000 UYP852000:UYQ852000 VIL852000:VIM852000 VSH852000:VSI852000 WCD852000:WCE852000 WLZ852000:WMA852000 WVV852000:WVW852000 M917536:N917536 JJ917536:JK917536 TF917536:TG917536 ADB917536:ADC917536 AMX917536:AMY917536 AWT917536:AWU917536 BGP917536:BGQ917536 BQL917536:BQM917536 CAH917536:CAI917536 CKD917536:CKE917536 CTZ917536:CUA917536 DDV917536:DDW917536 DNR917536:DNS917536 DXN917536:DXO917536 EHJ917536:EHK917536 ERF917536:ERG917536 FBB917536:FBC917536 FKX917536:FKY917536 FUT917536:FUU917536 GEP917536:GEQ917536 GOL917536:GOM917536 GYH917536:GYI917536 HID917536:HIE917536 HRZ917536:HSA917536 IBV917536:IBW917536 ILR917536:ILS917536 IVN917536:IVO917536 JFJ917536:JFK917536 JPF917536:JPG917536 JZB917536:JZC917536 KIX917536:KIY917536 KST917536:KSU917536 LCP917536:LCQ917536 LML917536:LMM917536 LWH917536:LWI917536 MGD917536:MGE917536 MPZ917536:MQA917536 MZV917536:MZW917536 NJR917536:NJS917536 NTN917536:NTO917536 ODJ917536:ODK917536 ONF917536:ONG917536 OXB917536:OXC917536 PGX917536:PGY917536 PQT917536:PQU917536 QAP917536:QAQ917536 QKL917536:QKM917536 QUH917536:QUI917536 RED917536:REE917536 RNZ917536:ROA917536 RXV917536:RXW917536 SHR917536:SHS917536 SRN917536:SRO917536 TBJ917536:TBK917536 TLF917536:TLG917536 TVB917536:TVC917536 UEX917536:UEY917536 UOT917536:UOU917536 UYP917536:UYQ917536 VIL917536:VIM917536 VSH917536:VSI917536 WCD917536:WCE917536 WLZ917536:WMA917536 WVV917536:WVW917536 M983072:N983072 JJ983072:JK983072 TF983072:TG983072 ADB983072:ADC983072 AMX983072:AMY983072 AWT983072:AWU983072 BGP983072:BGQ983072 BQL983072:BQM983072 CAH983072:CAI983072 CKD983072:CKE983072 CTZ983072:CUA983072 DDV983072:DDW983072 DNR983072:DNS983072 DXN983072:DXO983072 EHJ983072:EHK983072 ERF983072:ERG983072 FBB983072:FBC983072 FKX983072:FKY983072 FUT983072:FUU983072 GEP983072:GEQ983072 GOL983072:GOM983072 GYH983072:GYI983072 HID983072:HIE983072 HRZ983072:HSA983072 IBV983072:IBW983072 ILR983072:ILS983072 IVN983072:IVO983072 JFJ983072:JFK983072 JPF983072:JPG983072 JZB983072:JZC983072 KIX983072:KIY983072 KST983072:KSU983072 LCP983072:LCQ983072 LML983072:LMM983072 LWH983072:LWI983072 MGD983072:MGE983072 MPZ983072:MQA983072 MZV983072:MZW983072 NJR983072:NJS983072 NTN983072:NTO983072 ODJ983072:ODK983072 ONF983072:ONG983072 OXB983072:OXC983072 PGX983072:PGY983072 PQT983072:PQU983072 QAP983072:QAQ983072 QKL983072:QKM983072 QUH983072:QUI983072 RED983072:REE983072 RNZ983072:ROA983072 RXV983072:RXW983072 SHR983072:SHS983072 SRN983072:SRO983072 TBJ983072:TBK983072 TLF983072:TLG983072 TVB983072:TVC983072 UEX983072:UEY983072 UOT983072:UOU983072 UYP983072:UYQ983072 VIL983072:VIM983072 VSH983072:VSI983072 WCD983072:WCE983072 WLZ983072:WMA983072 WVV983072:WVW983072 WCD983082:WCE983085 JJ34:JK35 TF34:TG35 ADB34:ADC35 AMX34:AMY35 AWT34:AWU35 BGP34:BGQ35 BQL34:BQM35 CAH34:CAI35 CKD34:CKE35 CTZ34:CUA35 DDV34:DDW35 DNR34:DNS35 DXN34:DXO35 EHJ34:EHK35 ERF34:ERG35 FBB34:FBC35 FKX34:FKY35 FUT34:FUU35 GEP34:GEQ35 GOL34:GOM35 GYH34:GYI35 HID34:HIE35 HRZ34:HSA35 IBV34:IBW35 ILR34:ILS35 IVN34:IVO35 JFJ34:JFK35 JPF34:JPG35 JZB34:JZC35 KIX34:KIY35 KST34:KSU35 LCP34:LCQ35 LML34:LMM35 LWH34:LWI35 MGD34:MGE35 MPZ34:MQA35 MZV34:MZW35 NJR34:NJS35 NTN34:NTO35 ODJ34:ODK35 ONF34:ONG35 OXB34:OXC35 PGX34:PGY35 PQT34:PQU35 QAP34:QAQ35 QKL34:QKM35 QUH34:QUI35 RED34:REE35 RNZ34:ROA35 RXV34:RXW35 SHR34:SHS35 SRN34:SRO35 TBJ34:TBK35 TLF34:TLG35 TVB34:TVC35 UEX34:UEY35 UOT34:UOU35 UYP34:UYQ35 VIL34:VIM35 VSH34:VSI35 WCD34:WCE35 WLZ34:WMA35 WVV34:WVW35 M65572:N65573 JJ65572:JK65573 TF65572:TG65573 ADB65572:ADC65573 AMX65572:AMY65573 AWT65572:AWU65573 BGP65572:BGQ65573 BQL65572:BQM65573 CAH65572:CAI65573 CKD65572:CKE65573 CTZ65572:CUA65573 DDV65572:DDW65573 DNR65572:DNS65573 DXN65572:DXO65573 EHJ65572:EHK65573 ERF65572:ERG65573 FBB65572:FBC65573 FKX65572:FKY65573 FUT65572:FUU65573 GEP65572:GEQ65573 GOL65572:GOM65573 GYH65572:GYI65573 HID65572:HIE65573 HRZ65572:HSA65573 IBV65572:IBW65573 ILR65572:ILS65573 IVN65572:IVO65573 JFJ65572:JFK65573 JPF65572:JPG65573 JZB65572:JZC65573 KIX65572:KIY65573 KST65572:KSU65573 LCP65572:LCQ65573 LML65572:LMM65573 LWH65572:LWI65573 MGD65572:MGE65573 MPZ65572:MQA65573 MZV65572:MZW65573 NJR65572:NJS65573 NTN65572:NTO65573 ODJ65572:ODK65573 ONF65572:ONG65573 OXB65572:OXC65573 PGX65572:PGY65573 PQT65572:PQU65573 QAP65572:QAQ65573 QKL65572:QKM65573 QUH65572:QUI65573 RED65572:REE65573 RNZ65572:ROA65573 RXV65572:RXW65573 SHR65572:SHS65573 SRN65572:SRO65573 TBJ65572:TBK65573 TLF65572:TLG65573 TVB65572:TVC65573 UEX65572:UEY65573 UOT65572:UOU65573 UYP65572:UYQ65573 VIL65572:VIM65573 VSH65572:VSI65573 WCD65572:WCE65573 WLZ65572:WMA65573 WVV65572:WVW65573 M131108:N131109 JJ131108:JK131109 TF131108:TG131109 ADB131108:ADC131109 AMX131108:AMY131109 AWT131108:AWU131109 BGP131108:BGQ131109 BQL131108:BQM131109 CAH131108:CAI131109 CKD131108:CKE131109 CTZ131108:CUA131109 DDV131108:DDW131109 DNR131108:DNS131109 DXN131108:DXO131109 EHJ131108:EHK131109 ERF131108:ERG131109 FBB131108:FBC131109 FKX131108:FKY131109 FUT131108:FUU131109 GEP131108:GEQ131109 GOL131108:GOM131109 GYH131108:GYI131109 HID131108:HIE131109 HRZ131108:HSA131109 IBV131108:IBW131109 ILR131108:ILS131109 IVN131108:IVO131109 JFJ131108:JFK131109 JPF131108:JPG131109 JZB131108:JZC131109 KIX131108:KIY131109 KST131108:KSU131109 LCP131108:LCQ131109 LML131108:LMM131109 LWH131108:LWI131109 MGD131108:MGE131109 MPZ131108:MQA131109 MZV131108:MZW131109 NJR131108:NJS131109 NTN131108:NTO131109 ODJ131108:ODK131109 ONF131108:ONG131109 OXB131108:OXC131109 PGX131108:PGY131109 PQT131108:PQU131109 QAP131108:QAQ131109 QKL131108:QKM131109 QUH131108:QUI131109 RED131108:REE131109 RNZ131108:ROA131109 RXV131108:RXW131109 SHR131108:SHS131109 SRN131108:SRO131109 TBJ131108:TBK131109 TLF131108:TLG131109 TVB131108:TVC131109 UEX131108:UEY131109 UOT131108:UOU131109 UYP131108:UYQ131109 VIL131108:VIM131109 VSH131108:VSI131109 WCD131108:WCE131109 WLZ131108:WMA131109 WVV131108:WVW131109 M196644:N196645 JJ196644:JK196645 TF196644:TG196645 ADB196644:ADC196645 AMX196644:AMY196645 AWT196644:AWU196645 BGP196644:BGQ196645 BQL196644:BQM196645 CAH196644:CAI196645 CKD196644:CKE196645 CTZ196644:CUA196645 DDV196644:DDW196645 DNR196644:DNS196645 DXN196644:DXO196645 EHJ196644:EHK196645 ERF196644:ERG196645 FBB196644:FBC196645 FKX196644:FKY196645 FUT196644:FUU196645 GEP196644:GEQ196645 GOL196644:GOM196645 GYH196644:GYI196645 HID196644:HIE196645 HRZ196644:HSA196645 IBV196644:IBW196645 ILR196644:ILS196645 IVN196644:IVO196645 JFJ196644:JFK196645 JPF196644:JPG196645 JZB196644:JZC196645 KIX196644:KIY196645 KST196644:KSU196645 LCP196644:LCQ196645 LML196644:LMM196645 LWH196644:LWI196645 MGD196644:MGE196645 MPZ196644:MQA196645 MZV196644:MZW196645 NJR196644:NJS196645 NTN196644:NTO196645 ODJ196644:ODK196645 ONF196644:ONG196645 OXB196644:OXC196645 PGX196644:PGY196645 PQT196644:PQU196645 QAP196644:QAQ196645 QKL196644:QKM196645 QUH196644:QUI196645 RED196644:REE196645 RNZ196644:ROA196645 RXV196644:RXW196645 SHR196644:SHS196645 SRN196644:SRO196645 TBJ196644:TBK196645 TLF196644:TLG196645 TVB196644:TVC196645 UEX196644:UEY196645 UOT196644:UOU196645 UYP196644:UYQ196645 VIL196644:VIM196645 VSH196644:VSI196645 WCD196644:WCE196645 WLZ196644:WMA196645 WVV196644:WVW196645 M262180:N262181 JJ262180:JK262181 TF262180:TG262181 ADB262180:ADC262181 AMX262180:AMY262181 AWT262180:AWU262181 BGP262180:BGQ262181 BQL262180:BQM262181 CAH262180:CAI262181 CKD262180:CKE262181 CTZ262180:CUA262181 DDV262180:DDW262181 DNR262180:DNS262181 DXN262180:DXO262181 EHJ262180:EHK262181 ERF262180:ERG262181 FBB262180:FBC262181 FKX262180:FKY262181 FUT262180:FUU262181 GEP262180:GEQ262181 GOL262180:GOM262181 GYH262180:GYI262181 HID262180:HIE262181 HRZ262180:HSA262181 IBV262180:IBW262181 ILR262180:ILS262181 IVN262180:IVO262181 JFJ262180:JFK262181 JPF262180:JPG262181 JZB262180:JZC262181 KIX262180:KIY262181 KST262180:KSU262181 LCP262180:LCQ262181 LML262180:LMM262181 LWH262180:LWI262181 MGD262180:MGE262181 MPZ262180:MQA262181 MZV262180:MZW262181 NJR262180:NJS262181 NTN262180:NTO262181 ODJ262180:ODK262181 ONF262180:ONG262181 OXB262180:OXC262181 PGX262180:PGY262181 PQT262180:PQU262181 QAP262180:QAQ262181 QKL262180:QKM262181 QUH262180:QUI262181 RED262180:REE262181 RNZ262180:ROA262181 RXV262180:RXW262181 SHR262180:SHS262181 SRN262180:SRO262181 TBJ262180:TBK262181 TLF262180:TLG262181 TVB262180:TVC262181 UEX262180:UEY262181 UOT262180:UOU262181 UYP262180:UYQ262181 VIL262180:VIM262181 VSH262180:VSI262181 WCD262180:WCE262181 WLZ262180:WMA262181 WVV262180:WVW262181 M327716:N327717 JJ327716:JK327717 TF327716:TG327717 ADB327716:ADC327717 AMX327716:AMY327717 AWT327716:AWU327717 BGP327716:BGQ327717 BQL327716:BQM327717 CAH327716:CAI327717 CKD327716:CKE327717 CTZ327716:CUA327717 DDV327716:DDW327717 DNR327716:DNS327717 DXN327716:DXO327717 EHJ327716:EHK327717 ERF327716:ERG327717 FBB327716:FBC327717 FKX327716:FKY327717 FUT327716:FUU327717 GEP327716:GEQ327717 GOL327716:GOM327717 GYH327716:GYI327717 HID327716:HIE327717 HRZ327716:HSA327717 IBV327716:IBW327717 ILR327716:ILS327717 IVN327716:IVO327717 JFJ327716:JFK327717 JPF327716:JPG327717 JZB327716:JZC327717 KIX327716:KIY327717 KST327716:KSU327717 LCP327716:LCQ327717 LML327716:LMM327717 LWH327716:LWI327717 MGD327716:MGE327717 MPZ327716:MQA327717 MZV327716:MZW327717 NJR327716:NJS327717 NTN327716:NTO327717 ODJ327716:ODK327717 ONF327716:ONG327717 OXB327716:OXC327717 PGX327716:PGY327717 PQT327716:PQU327717 QAP327716:QAQ327717 QKL327716:QKM327717 QUH327716:QUI327717 RED327716:REE327717 RNZ327716:ROA327717 RXV327716:RXW327717 SHR327716:SHS327717 SRN327716:SRO327717 TBJ327716:TBK327717 TLF327716:TLG327717 TVB327716:TVC327717 UEX327716:UEY327717 UOT327716:UOU327717 UYP327716:UYQ327717 VIL327716:VIM327717 VSH327716:VSI327717 WCD327716:WCE327717 WLZ327716:WMA327717 WVV327716:WVW327717 M393252:N393253 JJ393252:JK393253 TF393252:TG393253 ADB393252:ADC393253 AMX393252:AMY393253 AWT393252:AWU393253 BGP393252:BGQ393253 BQL393252:BQM393253 CAH393252:CAI393253 CKD393252:CKE393253 CTZ393252:CUA393253 DDV393252:DDW393253 DNR393252:DNS393253 DXN393252:DXO393253 EHJ393252:EHK393253 ERF393252:ERG393253 FBB393252:FBC393253 FKX393252:FKY393253 FUT393252:FUU393253 GEP393252:GEQ393253 GOL393252:GOM393253 GYH393252:GYI393253 HID393252:HIE393253 HRZ393252:HSA393253 IBV393252:IBW393253 ILR393252:ILS393253 IVN393252:IVO393253 JFJ393252:JFK393253 JPF393252:JPG393253 JZB393252:JZC393253 KIX393252:KIY393253 KST393252:KSU393253 LCP393252:LCQ393253 LML393252:LMM393253 LWH393252:LWI393253 MGD393252:MGE393253 MPZ393252:MQA393253 MZV393252:MZW393253 NJR393252:NJS393253 NTN393252:NTO393253 ODJ393252:ODK393253 ONF393252:ONG393253 OXB393252:OXC393253 PGX393252:PGY393253 PQT393252:PQU393253 QAP393252:QAQ393253 QKL393252:QKM393253 QUH393252:QUI393253 RED393252:REE393253 RNZ393252:ROA393253 RXV393252:RXW393253 SHR393252:SHS393253 SRN393252:SRO393253 TBJ393252:TBK393253 TLF393252:TLG393253 TVB393252:TVC393253 UEX393252:UEY393253 UOT393252:UOU393253 UYP393252:UYQ393253 VIL393252:VIM393253 VSH393252:VSI393253 WCD393252:WCE393253 WLZ393252:WMA393253 WVV393252:WVW393253 M458788:N458789 JJ458788:JK458789 TF458788:TG458789 ADB458788:ADC458789 AMX458788:AMY458789 AWT458788:AWU458789 BGP458788:BGQ458789 BQL458788:BQM458789 CAH458788:CAI458789 CKD458788:CKE458789 CTZ458788:CUA458789 DDV458788:DDW458789 DNR458788:DNS458789 DXN458788:DXO458789 EHJ458788:EHK458789 ERF458788:ERG458789 FBB458788:FBC458789 FKX458788:FKY458789 FUT458788:FUU458789 GEP458788:GEQ458789 GOL458788:GOM458789 GYH458788:GYI458789 HID458788:HIE458789 HRZ458788:HSA458789 IBV458788:IBW458789 ILR458788:ILS458789 IVN458788:IVO458789 JFJ458788:JFK458789 JPF458788:JPG458789 JZB458788:JZC458789 KIX458788:KIY458789 KST458788:KSU458789 LCP458788:LCQ458789 LML458788:LMM458789 LWH458788:LWI458789 MGD458788:MGE458789 MPZ458788:MQA458789 MZV458788:MZW458789 NJR458788:NJS458789 NTN458788:NTO458789 ODJ458788:ODK458789 ONF458788:ONG458789 OXB458788:OXC458789 PGX458788:PGY458789 PQT458788:PQU458789 QAP458788:QAQ458789 QKL458788:QKM458789 QUH458788:QUI458789 RED458788:REE458789 RNZ458788:ROA458789 RXV458788:RXW458789 SHR458788:SHS458789 SRN458788:SRO458789 TBJ458788:TBK458789 TLF458788:TLG458789 TVB458788:TVC458789 UEX458788:UEY458789 UOT458788:UOU458789 UYP458788:UYQ458789 VIL458788:VIM458789 VSH458788:VSI458789 WCD458788:WCE458789 WLZ458788:WMA458789 WVV458788:WVW458789 M524324:N524325 JJ524324:JK524325 TF524324:TG524325 ADB524324:ADC524325 AMX524324:AMY524325 AWT524324:AWU524325 BGP524324:BGQ524325 BQL524324:BQM524325 CAH524324:CAI524325 CKD524324:CKE524325 CTZ524324:CUA524325 DDV524324:DDW524325 DNR524324:DNS524325 DXN524324:DXO524325 EHJ524324:EHK524325 ERF524324:ERG524325 FBB524324:FBC524325 FKX524324:FKY524325 FUT524324:FUU524325 GEP524324:GEQ524325 GOL524324:GOM524325 GYH524324:GYI524325 HID524324:HIE524325 HRZ524324:HSA524325 IBV524324:IBW524325 ILR524324:ILS524325 IVN524324:IVO524325 JFJ524324:JFK524325 JPF524324:JPG524325 JZB524324:JZC524325 KIX524324:KIY524325 KST524324:KSU524325 LCP524324:LCQ524325 LML524324:LMM524325 LWH524324:LWI524325 MGD524324:MGE524325 MPZ524324:MQA524325 MZV524324:MZW524325 NJR524324:NJS524325 NTN524324:NTO524325 ODJ524324:ODK524325 ONF524324:ONG524325 OXB524324:OXC524325 PGX524324:PGY524325 PQT524324:PQU524325 QAP524324:QAQ524325 QKL524324:QKM524325 QUH524324:QUI524325 RED524324:REE524325 RNZ524324:ROA524325 RXV524324:RXW524325 SHR524324:SHS524325 SRN524324:SRO524325 TBJ524324:TBK524325 TLF524324:TLG524325 TVB524324:TVC524325 UEX524324:UEY524325 UOT524324:UOU524325 UYP524324:UYQ524325 VIL524324:VIM524325 VSH524324:VSI524325 WCD524324:WCE524325 WLZ524324:WMA524325 WVV524324:WVW524325 M589860:N589861 JJ589860:JK589861 TF589860:TG589861 ADB589860:ADC589861 AMX589860:AMY589861 AWT589860:AWU589861 BGP589860:BGQ589861 BQL589860:BQM589861 CAH589860:CAI589861 CKD589860:CKE589861 CTZ589860:CUA589861 DDV589860:DDW589861 DNR589860:DNS589861 DXN589860:DXO589861 EHJ589860:EHK589861 ERF589860:ERG589861 FBB589860:FBC589861 FKX589860:FKY589861 FUT589860:FUU589861 GEP589860:GEQ589861 GOL589860:GOM589861 GYH589860:GYI589861 HID589860:HIE589861 HRZ589860:HSA589861 IBV589860:IBW589861 ILR589860:ILS589861 IVN589860:IVO589861 JFJ589860:JFK589861 JPF589860:JPG589861 JZB589860:JZC589861 KIX589860:KIY589861 KST589860:KSU589861 LCP589860:LCQ589861 LML589860:LMM589861 LWH589860:LWI589861 MGD589860:MGE589861 MPZ589860:MQA589861 MZV589860:MZW589861 NJR589860:NJS589861 NTN589860:NTO589861 ODJ589860:ODK589861 ONF589860:ONG589861 OXB589860:OXC589861 PGX589860:PGY589861 PQT589860:PQU589861 QAP589860:QAQ589861 QKL589860:QKM589861 QUH589860:QUI589861 RED589860:REE589861 RNZ589860:ROA589861 RXV589860:RXW589861 SHR589860:SHS589861 SRN589860:SRO589861 TBJ589860:TBK589861 TLF589860:TLG589861 TVB589860:TVC589861 UEX589860:UEY589861 UOT589860:UOU589861 UYP589860:UYQ589861 VIL589860:VIM589861 VSH589860:VSI589861 WCD589860:WCE589861 WLZ589860:WMA589861 WVV589860:WVW589861 M655396:N655397 JJ655396:JK655397 TF655396:TG655397 ADB655396:ADC655397 AMX655396:AMY655397 AWT655396:AWU655397 BGP655396:BGQ655397 BQL655396:BQM655397 CAH655396:CAI655397 CKD655396:CKE655397 CTZ655396:CUA655397 DDV655396:DDW655397 DNR655396:DNS655397 DXN655396:DXO655397 EHJ655396:EHK655397 ERF655396:ERG655397 FBB655396:FBC655397 FKX655396:FKY655397 FUT655396:FUU655397 GEP655396:GEQ655397 GOL655396:GOM655397 GYH655396:GYI655397 HID655396:HIE655397 HRZ655396:HSA655397 IBV655396:IBW655397 ILR655396:ILS655397 IVN655396:IVO655397 JFJ655396:JFK655397 JPF655396:JPG655397 JZB655396:JZC655397 KIX655396:KIY655397 KST655396:KSU655397 LCP655396:LCQ655397 LML655396:LMM655397 LWH655396:LWI655397 MGD655396:MGE655397 MPZ655396:MQA655397 MZV655396:MZW655397 NJR655396:NJS655397 NTN655396:NTO655397 ODJ655396:ODK655397 ONF655396:ONG655397 OXB655396:OXC655397 PGX655396:PGY655397 PQT655396:PQU655397 QAP655396:QAQ655397 QKL655396:QKM655397 QUH655396:QUI655397 RED655396:REE655397 RNZ655396:ROA655397 RXV655396:RXW655397 SHR655396:SHS655397 SRN655396:SRO655397 TBJ655396:TBK655397 TLF655396:TLG655397 TVB655396:TVC655397 UEX655396:UEY655397 UOT655396:UOU655397 UYP655396:UYQ655397 VIL655396:VIM655397 VSH655396:VSI655397 WCD655396:WCE655397 WLZ655396:WMA655397 WVV655396:WVW655397 M720932:N720933 JJ720932:JK720933 TF720932:TG720933 ADB720932:ADC720933 AMX720932:AMY720933 AWT720932:AWU720933 BGP720932:BGQ720933 BQL720932:BQM720933 CAH720932:CAI720933 CKD720932:CKE720933 CTZ720932:CUA720933 DDV720932:DDW720933 DNR720932:DNS720933 DXN720932:DXO720933 EHJ720932:EHK720933 ERF720932:ERG720933 FBB720932:FBC720933 FKX720932:FKY720933 FUT720932:FUU720933 GEP720932:GEQ720933 GOL720932:GOM720933 GYH720932:GYI720933 HID720932:HIE720933 HRZ720932:HSA720933 IBV720932:IBW720933 ILR720932:ILS720933 IVN720932:IVO720933 JFJ720932:JFK720933 JPF720932:JPG720933 JZB720932:JZC720933 KIX720932:KIY720933 KST720932:KSU720933 LCP720932:LCQ720933 LML720932:LMM720933 LWH720932:LWI720933 MGD720932:MGE720933 MPZ720932:MQA720933 MZV720932:MZW720933 NJR720932:NJS720933 NTN720932:NTO720933 ODJ720932:ODK720933 ONF720932:ONG720933 OXB720932:OXC720933 PGX720932:PGY720933 PQT720932:PQU720933 QAP720932:QAQ720933 QKL720932:QKM720933 QUH720932:QUI720933 RED720932:REE720933 RNZ720932:ROA720933 RXV720932:RXW720933 SHR720932:SHS720933 SRN720932:SRO720933 TBJ720932:TBK720933 TLF720932:TLG720933 TVB720932:TVC720933 UEX720932:UEY720933 UOT720932:UOU720933 UYP720932:UYQ720933 VIL720932:VIM720933 VSH720932:VSI720933 WCD720932:WCE720933 WLZ720932:WMA720933 WVV720932:WVW720933 M786468:N786469 JJ786468:JK786469 TF786468:TG786469 ADB786468:ADC786469 AMX786468:AMY786469 AWT786468:AWU786469 BGP786468:BGQ786469 BQL786468:BQM786469 CAH786468:CAI786469 CKD786468:CKE786469 CTZ786468:CUA786469 DDV786468:DDW786469 DNR786468:DNS786469 DXN786468:DXO786469 EHJ786468:EHK786469 ERF786468:ERG786469 FBB786468:FBC786469 FKX786468:FKY786469 FUT786468:FUU786469 GEP786468:GEQ786469 GOL786468:GOM786469 GYH786468:GYI786469 HID786468:HIE786469 HRZ786468:HSA786469 IBV786468:IBW786469 ILR786468:ILS786469 IVN786468:IVO786469 JFJ786468:JFK786469 JPF786468:JPG786469 JZB786468:JZC786469 KIX786468:KIY786469 KST786468:KSU786469 LCP786468:LCQ786469 LML786468:LMM786469 LWH786468:LWI786469 MGD786468:MGE786469 MPZ786468:MQA786469 MZV786468:MZW786469 NJR786468:NJS786469 NTN786468:NTO786469 ODJ786468:ODK786469 ONF786468:ONG786469 OXB786468:OXC786469 PGX786468:PGY786469 PQT786468:PQU786469 QAP786468:QAQ786469 QKL786468:QKM786469 QUH786468:QUI786469 RED786468:REE786469 RNZ786468:ROA786469 RXV786468:RXW786469 SHR786468:SHS786469 SRN786468:SRO786469 TBJ786468:TBK786469 TLF786468:TLG786469 TVB786468:TVC786469 UEX786468:UEY786469 UOT786468:UOU786469 UYP786468:UYQ786469 VIL786468:VIM786469 VSH786468:VSI786469 WCD786468:WCE786469 WLZ786468:WMA786469 WVV786468:WVW786469 M852004:N852005 JJ852004:JK852005 TF852004:TG852005 ADB852004:ADC852005 AMX852004:AMY852005 AWT852004:AWU852005 BGP852004:BGQ852005 BQL852004:BQM852005 CAH852004:CAI852005 CKD852004:CKE852005 CTZ852004:CUA852005 DDV852004:DDW852005 DNR852004:DNS852005 DXN852004:DXO852005 EHJ852004:EHK852005 ERF852004:ERG852005 FBB852004:FBC852005 FKX852004:FKY852005 FUT852004:FUU852005 GEP852004:GEQ852005 GOL852004:GOM852005 GYH852004:GYI852005 HID852004:HIE852005 HRZ852004:HSA852005 IBV852004:IBW852005 ILR852004:ILS852005 IVN852004:IVO852005 JFJ852004:JFK852005 JPF852004:JPG852005 JZB852004:JZC852005 KIX852004:KIY852005 KST852004:KSU852005 LCP852004:LCQ852005 LML852004:LMM852005 LWH852004:LWI852005 MGD852004:MGE852005 MPZ852004:MQA852005 MZV852004:MZW852005 NJR852004:NJS852005 NTN852004:NTO852005 ODJ852004:ODK852005 ONF852004:ONG852005 OXB852004:OXC852005 PGX852004:PGY852005 PQT852004:PQU852005 QAP852004:QAQ852005 QKL852004:QKM852005 QUH852004:QUI852005 RED852004:REE852005 RNZ852004:ROA852005 RXV852004:RXW852005 SHR852004:SHS852005 SRN852004:SRO852005 TBJ852004:TBK852005 TLF852004:TLG852005 TVB852004:TVC852005 UEX852004:UEY852005 UOT852004:UOU852005 UYP852004:UYQ852005 VIL852004:VIM852005 VSH852004:VSI852005 WCD852004:WCE852005 WLZ852004:WMA852005 WVV852004:WVW852005 M917540:N917541 JJ917540:JK917541 TF917540:TG917541 ADB917540:ADC917541 AMX917540:AMY917541 AWT917540:AWU917541 BGP917540:BGQ917541 BQL917540:BQM917541 CAH917540:CAI917541 CKD917540:CKE917541 CTZ917540:CUA917541 DDV917540:DDW917541 DNR917540:DNS917541 DXN917540:DXO917541 EHJ917540:EHK917541 ERF917540:ERG917541 FBB917540:FBC917541 FKX917540:FKY917541 FUT917540:FUU917541 GEP917540:GEQ917541 GOL917540:GOM917541 GYH917540:GYI917541 HID917540:HIE917541 HRZ917540:HSA917541 IBV917540:IBW917541 ILR917540:ILS917541 IVN917540:IVO917541 JFJ917540:JFK917541 JPF917540:JPG917541 JZB917540:JZC917541 KIX917540:KIY917541 KST917540:KSU917541 LCP917540:LCQ917541 LML917540:LMM917541 LWH917540:LWI917541 MGD917540:MGE917541 MPZ917540:MQA917541 MZV917540:MZW917541 NJR917540:NJS917541 NTN917540:NTO917541 ODJ917540:ODK917541 ONF917540:ONG917541 OXB917540:OXC917541 PGX917540:PGY917541 PQT917540:PQU917541 QAP917540:QAQ917541 QKL917540:QKM917541 QUH917540:QUI917541 RED917540:REE917541 RNZ917540:ROA917541 RXV917540:RXW917541 SHR917540:SHS917541 SRN917540:SRO917541 TBJ917540:TBK917541 TLF917540:TLG917541 TVB917540:TVC917541 UEX917540:UEY917541 UOT917540:UOU917541 UYP917540:UYQ917541 VIL917540:VIM917541 VSH917540:VSI917541 WCD917540:WCE917541 WLZ917540:WMA917541 WVV917540:WVW917541 M983076:N983077 JJ983076:JK983077 TF983076:TG983077 ADB983076:ADC983077 AMX983076:AMY983077 AWT983076:AWU983077 BGP983076:BGQ983077 BQL983076:BQM983077 CAH983076:CAI983077 CKD983076:CKE983077 CTZ983076:CUA983077 DDV983076:DDW983077 DNR983076:DNS983077 DXN983076:DXO983077 EHJ983076:EHK983077 ERF983076:ERG983077 FBB983076:FBC983077 FKX983076:FKY983077 FUT983076:FUU983077 GEP983076:GEQ983077 GOL983076:GOM983077 GYH983076:GYI983077 HID983076:HIE983077 HRZ983076:HSA983077 IBV983076:IBW983077 ILR983076:ILS983077 IVN983076:IVO983077 JFJ983076:JFK983077 JPF983076:JPG983077 JZB983076:JZC983077 KIX983076:KIY983077 KST983076:KSU983077 LCP983076:LCQ983077 LML983076:LMM983077 LWH983076:LWI983077 MGD983076:MGE983077 MPZ983076:MQA983077 MZV983076:MZW983077 NJR983076:NJS983077 NTN983076:NTO983077 ODJ983076:ODK983077 ONF983076:ONG983077 OXB983076:OXC983077 PGX983076:PGY983077 PQT983076:PQU983077 QAP983076:QAQ983077 QKL983076:QKM983077 QUH983076:QUI983077 RED983076:REE983077 RNZ983076:ROA983077 RXV983076:RXW983077 SHR983076:SHS983077 SRN983076:SRO983077 TBJ983076:TBK983077 TLF983076:TLG983077 TVB983076:TVC983077 UEX983076:UEY983077 UOT983076:UOU983077 UYP983076:UYQ983077 VIL983076:VIM983077 VSH983076:VSI983077 WCD983076:WCE983077 WLZ983076:WMA983077 WVV983076:WVW983077 TVB983082:TVC983085 JJ79:JK81 TF79:TG81 ADB79:ADC81 AMX79:AMY81 AWT79:AWU81 BGP79:BGQ81 BQL79:BQM81 CAH79:CAI81 CKD79:CKE81 CTZ79:CUA81 DDV79:DDW81 DNR79:DNS81 DXN79:DXO81 EHJ79:EHK81 ERF79:ERG81 FBB79:FBC81 FKX79:FKY81 FUT79:FUU81 GEP79:GEQ81 GOL79:GOM81 GYH79:GYI81 HID79:HIE81 HRZ79:HSA81 IBV79:IBW81 ILR79:ILS81 IVN79:IVO81 JFJ79:JFK81 JPF79:JPG81 JZB79:JZC81 KIX79:KIY81 KST79:KSU81 LCP79:LCQ81 LML79:LMM81 LWH79:LWI81 MGD79:MGE81 MPZ79:MQA81 MZV79:MZW81 NJR79:NJS81 NTN79:NTO81 ODJ79:ODK81 ONF79:ONG81 OXB79:OXC81 PGX79:PGY81 PQT79:PQU81 QAP79:QAQ81 QKL79:QKM81 QUH79:QUI81 RED79:REE81 RNZ79:ROA81 RXV79:RXW81 SHR79:SHS81 SRN79:SRO81 TBJ79:TBK81 TLF79:TLG81 TVB79:TVC81 UEX79:UEY81 UOT79:UOU81 UYP79:UYQ81 VIL79:VIM81 VSH79:VSI81 WCD79:WCE81 WLZ79:WMA81 WVV79:WVW81 M65617:N65619 JJ65617:JK65619 TF65617:TG65619 ADB65617:ADC65619 AMX65617:AMY65619 AWT65617:AWU65619 BGP65617:BGQ65619 BQL65617:BQM65619 CAH65617:CAI65619 CKD65617:CKE65619 CTZ65617:CUA65619 DDV65617:DDW65619 DNR65617:DNS65619 DXN65617:DXO65619 EHJ65617:EHK65619 ERF65617:ERG65619 FBB65617:FBC65619 FKX65617:FKY65619 FUT65617:FUU65619 GEP65617:GEQ65619 GOL65617:GOM65619 GYH65617:GYI65619 HID65617:HIE65619 HRZ65617:HSA65619 IBV65617:IBW65619 ILR65617:ILS65619 IVN65617:IVO65619 JFJ65617:JFK65619 JPF65617:JPG65619 JZB65617:JZC65619 KIX65617:KIY65619 KST65617:KSU65619 LCP65617:LCQ65619 LML65617:LMM65619 LWH65617:LWI65619 MGD65617:MGE65619 MPZ65617:MQA65619 MZV65617:MZW65619 NJR65617:NJS65619 NTN65617:NTO65619 ODJ65617:ODK65619 ONF65617:ONG65619 OXB65617:OXC65619 PGX65617:PGY65619 PQT65617:PQU65619 QAP65617:QAQ65619 QKL65617:QKM65619 QUH65617:QUI65619 RED65617:REE65619 RNZ65617:ROA65619 RXV65617:RXW65619 SHR65617:SHS65619 SRN65617:SRO65619 TBJ65617:TBK65619 TLF65617:TLG65619 TVB65617:TVC65619 UEX65617:UEY65619 UOT65617:UOU65619 UYP65617:UYQ65619 VIL65617:VIM65619 VSH65617:VSI65619 WCD65617:WCE65619 WLZ65617:WMA65619 WVV65617:WVW65619 M131153:N131155 JJ131153:JK131155 TF131153:TG131155 ADB131153:ADC131155 AMX131153:AMY131155 AWT131153:AWU131155 BGP131153:BGQ131155 BQL131153:BQM131155 CAH131153:CAI131155 CKD131153:CKE131155 CTZ131153:CUA131155 DDV131153:DDW131155 DNR131153:DNS131155 DXN131153:DXO131155 EHJ131153:EHK131155 ERF131153:ERG131155 FBB131153:FBC131155 FKX131153:FKY131155 FUT131153:FUU131155 GEP131153:GEQ131155 GOL131153:GOM131155 GYH131153:GYI131155 HID131153:HIE131155 HRZ131153:HSA131155 IBV131153:IBW131155 ILR131153:ILS131155 IVN131153:IVO131155 JFJ131153:JFK131155 JPF131153:JPG131155 JZB131153:JZC131155 KIX131153:KIY131155 KST131153:KSU131155 LCP131153:LCQ131155 LML131153:LMM131155 LWH131153:LWI131155 MGD131153:MGE131155 MPZ131153:MQA131155 MZV131153:MZW131155 NJR131153:NJS131155 NTN131153:NTO131155 ODJ131153:ODK131155 ONF131153:ONG131155 OXB131153:OXC131155 PGX131153:PGY131155 PQT131153:PQU131155 QAP131153:QAQ131155 QKL131153:QKM131155 QUH131153:QUI131155 RED131153:REE131155 RNZ131153:ROA131155 RXV131153:RXW131155 SHR131153:SHS131155 SRN131153:SRO131155 TBJ131153:TBK131155 TLF131153:TLG131155 TVB131153:TVC131155 UEX131153:UEY131155 UOT131153:UOU131155 UYP131153:UYQ131155 VIL131153:VIM131155 VSH131153:VSI131155 WCD131153:WCE131155 WLZ131153:WMA131155 WVV131153:WVW131155 M196689:N196691 JJ196689:JK196691 TF196689:TG196691 ADB196689:ADC196691 AMX196689:AMY196691 AWT196689:AWU196691 BGP196689:BGQ196691 BQL196689:BQM196691 CAH196689:CAI196691 CKD196689:CKE196691 CTZ196689:CUA196691 DDV196689:DDW196691 DNR196689:DNS196691 DXN196689:DXO196691 EHJ196689:EHK196691 ERF196689:ERG196691 FBB196689:FBC196691 FKX196689:FKY196691 FUT196689:FUU196691 GEP196689:GEQ196691 GOL196689:GOM196691 GYH196689:GYI196691 HID196689:HIE196691 HRZ196689:HSA196691 IBV196689:IBW196691 ILR196689:ILS196691 IVN196689:IVO196691 JFJ196689:JFK196691 JPF196689:JPG196691 JZB196689:JZC196691 KIX196689:KIY196691 KST196689:KSU196691 LCP196689:LCQ196691 LML196689:LMM196691 LWH196689:LWI196691 MGD196689:MGE196691 MPZ196689:MQA196691 MZV196689:MZW196691 NJR196689:NJS196691 NTN196689:NTO196691 ODJ196689:ODK196691 ONF196689:ONG196691 OXB196689:OXC196691 PGX196689:PGY196691 PQT196689:PQU196691 QAP196689:QAQ196691 QKL196689:QKM196691 QUH196689:QUI196691 RED196689:REE196691 RNZ196689:ROA196691 RXV196689:RXW196691 SHR196689:SHS196691 SRN196689:SRO196691 TBJ196689:TBK196691 TLF196689:TLG196691 TVB196689:TVC196691 UEX196689:UEY196691 UOT196689:UOU196691 UYP196689:UYQ196691 VIL196689:VIM196691 VSH196689:VSI196691 WCD196689:WCE196691 WLZ196689:WMA196691 WVV196689:WVW196691 M262225:N262227 JJ262225:JK262227 TF262225:TG262227 ADB262225:ADC262227 AMX262225:AMY262227 AWT262225:AWU262227 BGP262225:BGQ262227 BQL262225:BQM262227 CAH262225:CAI262227 CKD262225:CKE262227 CTZ262225:CUA262227 DDV262225:DDW262227 DNR262225:DNS262227 DXN262225:DXO262227 EHJ262225:EHK262227 ERF262225:ERG262227 FBB262225:FBC262227 FKX262225:FKY262227 FUT262225:FUU262227 GEP262225:GEQ262227 GOL262225:GOM262227 GYH262225:GYI262227 HID262225:HIE262227 HRZ262225:HSA262227 IBV262225:IBW262227 ILR262225:ILS262227 IVN262225:IVO262227 JFJ262225:JFK262227 JPF262225:JPG262227 JZB262225:JZC262227 KIX262225:KIY262227 KST262225:KSU262227 LCP262225:LCQ262227 LML262225:LMM262227 LWH262225:LWI262227 MGD262225:MGE262227 MPZ262225:MQA262227 MZV262225:MZW262227 NJR262225:NJS262227 NTN262225:NTO262227 ODJ262225:ODK262227 ONF262225:ONG262227 OXB262225:OXC262227 PGX262225:PGY262227 PQT262225:PQU262227 QAP262225:QAQ262227 QKL262225:QKM262227 QUH262225:QUI262227 RED262225:REE262227 RNZ262225:ROA262227 RXV262225:RXW262227 SHR262225:SHS262227 SRN262225:SRO262227 TBJ262225:TBK262227 TLF262225:TLG262227 TVB262225:TVC262227 UEX262225:UEY262227 UOT262225:UOU262227 UYP262225:UYQ262227 VIL262225:VIM262227 VSH262225:VSI262227 WCD262225:WCE262227 WLZ262225:WMA262227 WVV262225:WVW262227 M327761:N327763 JJ327761:JK327763 TF327761:TG327763 ADB327761:ADC327763 AMX327761:AMY327763 AWT327761:AWU327763 BGP327761:BGQ327763 BQL327761:BQM327763 CAH327761:CAI327763 CKD327761:CKE327763 CTZ327761:CUA327763 DDV327761:DDW327763 DNR327761:DNS327763 DXN327761:DXO327763 EHJ327761:EHK327763 ERF327761:ERG327763 FBB327761:FBC327763 FKX327761:FKY327763 FUT327761:FUU327763 GEP327761:GEQ327763 GOL327761:GOM327763 GYH327761:GYI327763 HID327761:HIE327763 HRZ327761:HSA327763 IBV327761:IBW327763 ILR327761:ILS327763 IVN327761:IVO327763 JFJ327761:JFK327763 JPF327761:JPG327763 JZB327761:JZC327763 KIX327761:KIY327763 KST327761:KSU327763 LCP327761:LCQ327763 LML327761:LMM327763 LWH327761:LWI327763 MGD327761:MGE327763 MPZ327761:MQA327763 MZV327761:MZW327763 NJR327761:NJS327763 NTN327761:NTO327763 ODJ327761:ODK327763 ONF327761:ONG327763 OXB327761:OXC327763 PGX327761:PGY327763 PQT327761:PQU327763 QAP327761:QAQ327763 QKL327761:QKM327763 QUH327761:QUI327763 RED327761:REE327763 RNZ327761:ROA327763 RXV327761:RXW327763 SHR327761:SHS327763 SRN327761:SRO327763 TBJ327761:TBK327763 TLF327761:TLG327763 TVB327761:TVC327763 UEX327761:UEY327763 UOT327761:UOU327763 UYP327761:UYQ327763 VIL327761:VIM327763 VSH327761:VSI327763 WCD327761:WCE327763 WLZ327761:WMA327763 WVV327761:WVW327763 M393297:N393299 JJ393297:JK393299 TF393297:TG393299 ADB393297:ADC393299 AMX393297:AMY393299 AWT393297:AWU393299 BGP393297:BGQ393299 BQL393297:BQM393299 CAH393297:CAI393299 CKD393297:CKE393299 CTZ393297:CUA393299 DDV393297:DDW393299 DNR393297:DNS393299 DXN393297:DXO393299 EHJ393297:EHK393299 ERF393297:ERG393299 FBB393297:FBC393299 FKX393297:FKY393299 FUT393297:FUU393299 GEP393297:GEQ393299 GOL393297:GOM393299 GYH393297:GYI393299 HID393297:HIE393299 HRZ393297:HSA393299 IBV393297:IBW393299 ILR393297:ILS393299 IVN393297:IVO393299 JFJ393297:JFK393299 JPF393297:JPG393299 JZB393297:JZC393299 KIX393297:KIY393299 KST393297:KSU393299 LCP393297:LCQ393299 LML393297:LMM393299 LWH393297:LWI393299 MGD393297:MGE393299 MPZ393297:MQA393299 MZV393297:MZW393299 NJR393297:NJS393299 NTN393297:NTO393299 ODJ393297:ODK393299 ONF393297:ONG393299 OXB393297:OXC393299 PGX393297:PGY393299 PQT393297:PQU393299 QAP393297:QAQ393299 QKL393297:QKM393299 QUH393297:QUI393299 RED393297:REE393299 RNZ393297:ROA393299 RXV393297:RXW393299 SHR393297:SHS393299 SRN393297:SRO393299 TBJ393297:TBK393299 TLF393297:TLG393299 TVB393297:TVC393299 UEX393297:UEY393299 UOT393297:UOU393299 UYP393297:UYQ393299 VIL393297:VIM393299 VSH393297:VSI393299 WCD393297:WCE393299 WLZ393297:WMA393299 WVV393297:WVW393299 M458833:N458835 JJ458833:JK458835 TF458833:TG458835 ADB458833:ADC458835 AMX458833:AMY458835 AWT458833:AWU458835 BGP458833:BGQ458835 BQL458833:BQM458835 CAH458833:CAI458835 CKD458833:CKE458835 CTZ458833:CUA458835 DDV458833:DDW458835 DNR458833:DNS458835 DXN458833:DXO458835 EHJ458833:EHK458835 ERF458833:ERG458835 FBB458833:FBC458835 FKX458833:FKY458835 FUT458833:FUU458835 GEP458833:GEQ458835 GOL458833:GOM458835 GYH458833:GYI458835 HID458833:HIE458835 HRZ458833:HSA458835 IBV458833:IBW458835 ILR458833:ILS458835 IVN458833:IVO458835 JFJ458833:JFK458835 JPF458833:JPG458835 JZB458833:JZC458835 KIX458833:KIY458835 KST458833:KSU458835 LCP458833:LCQ458835 LML458833:LMM458835 LWH458833:LWI458835 MGD458833:MGE458835 MPZ458833:MQA458835 MZV458833:MZW458835 NJR458833:NJS458835 NTN458833:NTO458835 ODJ458833:ODK458835 ONF458833:ONG458835 OXB458833:OXC458835 PGX458833:PGY458835 PQT458833:PQU458835 QAP458833:QAQ458835 QKL458833:QKM458835 QUH458833:QUI458835 RED458833:REE458835 RNZ458833:ROA458835 RXV458833:RXW458835 SHR458833:SHS458835 SRN458833:SRO458835 TBJ458833:TBK458835 TLF458833:TLG458835 TVB458833:TVC458835 UEX458833:UEY458835 UOT458833:UOU458835 UYP458833:UYQ458835 VIL458833:VIM458835 VSH458833:VSI458835 WCD458833:WCE458835 WLZ458833:WMA458835 WVV458833:WVW458835 M524369:N524371 JJ524369:JK524371 TF524369:TG524371 ADB524369:ADC524371 AMX524369:AMY524371 AWT524369:AWU524371 BGP524369:BGQ524371 BQL524369:BQM524371 CAH524369:CAI524371 CKD524369:CKE524371 CTZ524369:CUA524371 DDV524369:DDW524371 DNR524369:DNS524371 DXN524369:DXO524371 EHJ524369:EHK524371 ERF524369:ERG524371 FBB524369:FBC524371 FKX524369:FKY524371 FUT524369:FUU524371 GEP524369:GEQ524371 GOL524369:GOM524371 GYH524369:GYI524371 HID524369:HIE524371 HRZ524369:HSA524371 IBV524369:IBW524371 ILR524369:ILS524371 IVN524369:IVO524371 JFJ524369:JFK524371 JPF524369:JPG524371 JZB524369:JZC524371 KIX524369:KIY524371 KST524369:KSU524371 LCP524369:LCQ524371 LML524369:LMM524371 LWH524369:LWI524371 MGD524369:MGE524371 MPZ524369:MQA524371 MZV524369:MZW524371 NJR524369:NJS524371 NTN524369:NTO524371 ODJ524369:ODK524371 ONF524369:ONG524371 OXB524369:OXC524371 PGX524369:PGY524371 PQT524369:PQU524371 QAP524369:QAQ524371 QKL524369:QKM524371 QUH524369:QUI524371 RED524369:REE524371 RNZ524369:ROA524371 RXV524369:RXW524371 SHR524369:SHS524371 SRN524369:SRO524371 TBJ524369:TBK524371 TLF524369:TLG524371 TVB524369:TVC524371 UEX524369:UEY524371 UOT524369:UOU524371 UYP524369:UYQ524371 VIL524369:VIM524371 VSH524369:VSI524371 WCD524369:WCE524371 WLZ524369:WMA524371 WVV524369:WVW524371 M589905:N589907 JJ589905:JK589907 TF589905:TG589907 ADB589905:ADC589907 AMX589905:AMY589907 AWT589905:AWU589907 BGP589905:BGQ589907 BQL589905:BQM589907 CAH589905:CAI589907 CKD589905:CKE589907 CTZ589905:CUA589907 DDV589905:DDW589907 DNR589905:DNS589907 DXN589905:DXO589907 EHJ589905:EHK589907 ERF589905:ERG589907 FBB589905:FBC589907 FKX589905:FKY589907 FUT589905:FUU589907 GEP589905:GEQ589907 GOL589905:GOM589907 GYH589905:GYI589907 HID589905:HIE589907 HRZ589905:HSA589907 IBV589905:IBW589907 ILR589905:ILS589907 IVN589905:IVO589907 JFJ589905:JFK589907 JPF589905:JPG589907 JZB589905:JZC589907 KIX589905:KIY589907 KST589905:KSU589907 LCP589905:LCQ589907 LML589905:LMM589907 LWH589905:LWI589907 MGD589905:MGE589907 MPZ589905:MQA589907 MZV589905:MZW589907 NJR589905:NJS589907 NTN589905:NTO589907 ODJ589905:ODK589907 ONF589905:ONG589907 OXB589905:OXC589907 PGX589905:PGY589907 PQT589905:PQU589907 QAP589905:QAQ589907 QKL589905:QKM589907 QUH589905:QUI589907 RED589905:REE589907 RNZ589905:ROA589907 RXV589905:RXW589907 SHR589905:SHS589907 SRN589905:SRO589907 TBJ589905:TBK589907 TLF589905:TLG589907 TVB589905:TVC589907 UEX589905:UEY589907 UOT589905:UOU589907 UYP589905:UYQ589907 VIL589905:VIM589907 VSH589905:VSI589907 WCD589905:WCE589907 WLZ589905:WMA589907 WVV589905:WVW589907 M655441:N655443 JJ655441:JK655443 TF655441:TG655443 ADB655441:ADC655443 AMX655441:AMY655443 AWT655441:AWU655443 BGP655441:BGQ655443 BQL655441:BQM655443 CAH655441:CAI655443 CKD655441:CKE655443 CTZ655441:CUA655443 DDV655441:DDW655443 DNR655441:DNS655443 DXN655441:DXO655443 EHJ655441:EHK655443 ERF655441:ERG655443 FBB655441:FBC655443 FKX655441:FKY655443 FUT655441:FUU655443 GEP655441:GEQ655443 GOL655441:GOM655443 GYH655441:GYI655443 HID655441:HIE655443 HRZ655441:HSA655443 IBV655441:IBW655443 ILR655441:ILS655443 IVN655441:IVO655443 JFJ655441:JFK655443 JPF655441:JPG655443 JZB655441:JZC655443 KIX655441:KIY655443 KST655441:KSU655443 LCP655441:LCQ655443 LML655441:LMM655443 LWH655441:LWI655443 MGD655441:MGE655443 MPZ655441:MQA655443 MZV655441:MZW655443 NJR655441:NJS655443 NTN655441:NTO655443 ODJ655441:ODK655443 ONF655441:ONG655443 OXB655441:OXC655443 PGX655441:PGY655443 PQT655441:PQU655443 QAP655441:QAQ655443 QKL655441:QKM655443 QUH655441:QUI655443 RED655441:REE655443 RNZ655441:ROA655443 RXV655441:RXW655443 SHR655441:SHS655443 SRN655441:SRO655443 TBJ655441:TBK655443 TLF655441:TLG655443 TVB655441:TVC655443 UEX655441:UEY655443 UOT655441:UOU655443 UYP655441:UYQ655443 VIL655441:VIM655443 VSH655441:VSI655443 WCD655441:WCE655443 WLZ655441:WMA655443 WVV655441:WVW655443 M720977:N720979 JJ720977:JK720979 TF720977:TG720979 ADB720977:ADC720979 AMX720977:AMY720979 AWT720977:AWU720979 BGP720977:BGQ720979 BQL720977:BQM720979 CAH720977:CAI720979 CKD720977:CKE720979 CTZ720977:CUA720979 DDV720977:DDW720979 DNR720977:DNS720979 DXN720977:DXO720979 EHJ720977:EHK720979 ERF720977:ERG720979 FBB720977:FBC720979 FKX720977:FKY720979 FUT720977:FUU720979 GEP720977:GEQ720979 GOL720977:GOM720979 GYH720977:GYI720979 HID720977:HIE720979 HRZ720977:HSA720979 IBV720977:IBW720979 ILR720977:ILS720979 IVN720977:IVO720979 JFJ720977:JFK720979 JPF720977:JPG720979 JZB720977:JZC720979 KIX720977:KIY720979 KST720977:KSU720979 LCP720977:LCQ720979 LML720977:LMM720979 LWH720977:LWI720979 MGD720977:MGE720979 MPZ720977:MQA720979 MZV720977:MZW720979 NJR720977:NJS720979 NTN720977:NTO720979 ODJ720977:ODK720979 ONF720977:ONG720979 OXB720977:OXC720979 PGX720977:PGY720979 PQT720977:PQU720979 QAP720977:QAQ720979 QKL720977:QKM720979 QUH720977:QUI720979 RED720977:REE720979 RNZ720977:ROA720979 RXV720977:RXW720979 SHR720977:SHS720979 SRN720977:SRO720979 TBJ720977:TBK720979 TLF720977:TLG720979 TVB720977:TVC720979 UEX720977:UEY720979 UOT720977:UOU720979 UYP720977:UYQ720979 VIL720977:VIM720979 VSH720977:VSI720979 WCD720977:WCE720979 WLZ720977:WMA720979 WVV720977:WVW720979 M786513:N786515 JJ786513:JK786515 TF786513:TG786515 ADB786513:ADC786515 AMX786513:AMY786515 AWT786513:AWU786515 BGP786513:BGQ786515 BQL786513:BQM786515 CAH786513:CAI786515 CKD786513:CKE786515 CTZ786513:CUA786515 DDV786513:DDW786515 DNR786513:DNS786515 DXN786513:DXO786515 EHJ786513:EHK786515 ERF786513:ERG786515 FBB786513:FBC786515 FKX786513:FKY786515 FUT786513:FUU786515 GEP786513:GEQ786515 GOL786513:GOM786515 GYH786513:GYI786515 HID786513:HIE786515 HRZ786513:HSA786515 IBV786513:IBW786515 ILR786513:ILS786515 IVN786513:IVO786515 JFJ786513:JFK786515 JPF786513:JPG786515 JZB786513:JZC786515 KIX786513:KIY786515 KST786513:KSU786515 LCP786513:LCQ786515 LML786513:LMM786515 LWH786513:LWI786515 MGD786513:MGE786515 MPZ786513:MQA786515 MZV786513:MZW786515 NJR786513:NJS786515 NTN786513:NTO786515 ODJ786513:ODK786515 ONF786513:ONG786515 OXB786513:OXC786515 PGX786513:PGY786515 PQT786513:PQU786515 QAP786513:QAQ786515 QKL786513:QKM786515 QUH786513:QUI786515 RED786513:REE786515 RNZ786513:ROA786515 RXV786513:RXW786515 SHR786513:SHS786515 SRN786513:SRO786515 TBJ786513:TBK786515 TLF786513:TLG786515 TVB786513:TVC786515 UEX786513:UEY786515 UOT786513:UOU786515 UYP786513:UYQ786515 VIL786513:VIM786515 VSH786513:VSI786515 WCD786513:WCE786515 WLZ786513:WMA786515 WVV786513:WVW786515 M852049:N852051 JJ852049:JK852051 TF852049:TG852051 ADB852049:ADC852051 AMX852049:AMY852051 AWT852049:AWU852051 BGP852049:BGQ852051 BQL852049:BQM852051 CAH852049:CAI852051 CKD852049:CKE852051 CTZ852049:CUA852051 DDV852049:DDW852051 DNR852049:DNS852051 DXN852049:DXO852051 EHJ852049:EHK852051 ERF852049:ERG852051 FBB852049:FBC852051 FKX852049:FKY852051 FUT852049:FUU852051 GEP852049:GEQ852051 GOL852049:GOM852051 GYH852049:GYI852051 HID852049:HIE852051 HRZ852049:HSA852051 IBV852049:IBW852051 ILR852049:ILS852051 IVN852049:IVO852051 JFJ852049:JFK852051 JPF852049:JPG852051 JZB852049:JZC852051 KIX852049:KIY852051 KST852049:KSU852051 LCP852049:LCQ852051 LML852049:LMM852051 LWH852049:LWI852051 MGD852049:MGE852051 MPZ852049:MQA852051 MZV852049:MZW852051 NJR852049:NJS852051 NTN852049:NTO852051 ODJ852049:ODK852051 ONF852049:ONG852051 OXB852049:OXC852051 PGX852049:PGY852051 PQT852049:PQU852051 QAP852049:QAQ852051 QKL852049:QKM852051 QUH852049:QUI852051 RED852049:REE852051 RNZ852049:ROA852051 RXV852049:RXW852051 SHR852049:SHS852051 SRN852049:SRO852051 TBJ852049:TBK852051 TLF852049:TLG852051 TVB852049:TVC852051 UEX852049:UEY852051 UOT852049:UOU852051 UYP852049:UYQ852051 VIL852049:VIM852051 VSH852049:VSI852051 WCD852049:WCE852051 WLZ852049:WMA852051 WVV852049:WVW852051 M917585:N917587 JJ917585:JK917587 TF917585:TG917587 ADB917585:ADC917587 AMX917585:AMY917587 AWT917585:AWU917587 BGP917585:BGQ917587 BQL917585:BQM917587 CAH917585:CAI917587 CKD917585:CKE917587 CTZ917585:CUA917587 DDV917585:DDW917587 DNR917585:DNS917587 DXN917585:DXO917587 EHJ917585:EHK917587 ERF917585:ERG917587 FBB917585:FBC917587 FKX917585:FKY917587 FUT917585:FUU917587 GEP917585:GEQ917587 GOL917585:GOM917587 GYH917585:GYI917587 HID917585:HIE917587 HRZ917585:HSA917587 IBV917585:IBW917587 ILR917585:ILS917587 IVN917585:IVO917587 JFJ917585:JFK917587 JPF917585:JPG917587 JZB917585:JZC917587 KIX917585:KIY917587 KST917585:KSU917587 LCP917585:LCQ917587 LML917585:LMM917587 LWH917585:LWI917587 MGD917585:MGE917587 MPZ917585:MQA917587 MZV917585:MZW917587 NJR917585:NJS917587 NTN917585:NTO917587 ODJ917585:ODK917587 ONF917585:ONG917587 OXB917585:OXC917587 PGX917585:PGY917587 PQT917585:PQU917587 QAP917585:QAQ917587 QKL917585:QKM917587 QUH917585:QUI917587 RED917585:REE917587 RNZ917585:ROA917587 RXV917585:RXW917587 SHR917585:SHS917587 SRN917585:SRO917587 TBJ917585:TBK917587 TLF917585:TLG917587 TVB917585:TVC917587 UEX917585:UEY917587 UOT917585:UOU917587 UYP917585:UYQ917587 VIL917585:VIM917587 VSH917585:VSI917587 WCD917585:WCE917587 WLZ917585:WMA917587 WVV917585:WVW917587 M983121:N983123 JJ983121:JK983123 TF983121:TG983123 ADB983121:ADC983123 AMX983121:AMY983123 AWT983121:AWU983123 BGP983121:BGQ983123 BQL983121:BQM983123 CAH983121:CAI983123 CKD983121:CKE983123 CTZ983121:CUA983123 DDV983121:DDW983123 DNR983121:DNS983123 DXN983121:DXO983123 EHJ983121:EHK983123 ERF983121:ERG983123 FBB983121:FBC983123 FKX983121:FKY983123 FUT983121:FUU983123 GEP983121:GEQ983123 GOL983121:GOM983123 GYH983121:GYI983123 HID983121:HIE983123 HRZ983121:HSA983123 IBV983121:IBW983123 ILR983121:ILS983123 IVN983121:IVO983123 JFJ983121:JFK983123 JPF983121:JPG983123 JZB983121:JZC983123 KIX983121:KIY983123 KST983121:KSU983123 LCP983121:LCQ983123 LML983121:LMM983123 LWH983121:LWI983123 MGD983121:MGE983123 MPZ983121:MQA983123 MZV983121:MZW983123 NJR983121:NJS983123 NTN983121:NTO983123 ODJ983121:ODK983123 ONF983121:ONG983123 OXB983121:OXC983123 PGX983121:PGY983123 PQT983121:PQU983123 QAP983121:QAQ983123 QKL983121:QKM983123 QUH983121:QUI983123 RED983121:REE983123 RNZ983121:ROA983123 RXV983121:RXW983123 SHR983121:SHS983123 SRN983121:SRO983123 TBJ983121:TBK983123 TLF983121:TLG983123 TVB983121:TVC983123 UEX983121:UEY983123 UOT983121:UOU983123 UYP983121:UYQ983123 VIL983121:VIM983123 VSH983121:VSI983123 WCD983121:WCE983123 WLZ983121:WMA983123 WVV983121:WVW983123 UOT983082:UOU983085 JJ61:JK62 TF61:TG62 ADB61:ADC62 AMX61:AMY62 AWT61:AWU62 BGP61:BGQ62 BQL61:BQM62 CAH61:CAI62 CKD61:CKE62 CTZ61:CUA62 DDV61:DDW62 DNR61:DNS62 DXN61:DXO62 EHJ61:EHK62 ERF61:ERG62 FBB61:FBC62 FKX61:FKY62 FUT61:FUU62 GEP61:GEQ62 GOL61:GOM62 GYH61:GYI62 HID61:HIE62 HRZ61:HSA62 IBV61:IBW62 ILR61:ILS62 IVN61:IVO62 JFJ61:JFK62 JPF61:JPG62 JZB61:JZC62 KIX61:KIY62 KST61:KSU62 LCP61:LCQ62 LML61:LMM62 LWH61:LWI62 MGD61:MGE62 MPZ61:MQA62 MZV61:MZW62 NJR61:NJS62 NTN61:NTO62 ODJ61:ODK62 ONF61:ONG62 OXB61:OXC62 PGX61:PGY62 PQT61:PQU62 QAP61:QAQ62 QKL61:QKM62 QUH61:QUI62 RED61:REE62 RNZ61:ROA62 RXV61:RXW62 SHR61:SHS62 SRN61:SRO62 TBJ61:TBK62 TLF61:TLG62 TVB61:TVC62 UEX61:UEY62 UOT61:UOU62 UYP61:UYQ62 VIL61:VIM62 VSH61:VSI62 WCD61:WCE62 WLZ61:WMA62 WVV61:WVW62 M65599:N65600 JJ65599:JK65600 TF65599:TG65600 ADB65599:ADC65600 AMX65599:AMY65600 AWT65599:AWU65600 BGP65599:BGQ65600 BQL65599:BQM65600 CAH65599:CAI65600 CKD65599:CKE65600 CTZ65599:CUA65600 DDV65599:DDW65600 DNR65599:DNS65600 DXN65599:DXO65600 EHJ65599:EHK65600 ERF65599:ERG65600 FBB65599:FBC65600 FKX65599:FKY65600 FUT65599:FUU65600 GEP65599:GEQ65600 GOL65599:GOM65600 GYH65599:GYI65600 HID65599:HIE65600 HRZ65599:HSA65600 IBV65599:IBW65600 ILR65599:ILS65600 IVN65599:IVO65600 JFJ65599:JFK65600 JPF65599:JPG65600 JZB65599:JZC65600 KIX65599:KIY65600 KST65599:KSU65600 LCP65599:LCQ65600 LML65599:LMM65600 LWH65599:LWI65600 MGD65599:MGE65600 MPZ65599:MQA65600 MZV65599:MZW65600 NJR65599:NJS65600 NTN65599:NTO65600 ODJ65599:ODK65600 ONF65599:ONG65600 OXB65599:OXC65600 PGX65599:PGY65600 PQT65599:PQU65600 QAP65599:QAQ65600 QKL65599:QKM65600 QUH65599:QUI65600 RED65599:REE65600 RNZ65599:ROA65600 RXV65599:RXW65600 SHR65599:SHS65600 SRN65599:SRO65600 TBJ65599:TBK65600 TLF65599:TLG65600 TVB65599:TVC65600 UEX65599:UEY65600 UOT65599:UOU65600 UYP65599:UYQ65600 VIL65599:VIM65600 VSH65599:VSI65600 WCD65599:WCE65600 WLZ65599:WMA65600 WVV65599:WVW65600 M131135:N131136 JJ131135:JK131136 TF131135:TG131136 ADB131135:ADC131136 AMX131135:AMY131136 AWT131135:AWU131136 BGP131135:BGQ131136 BQL131135:BQM131136 CAH131135:CAI131136 CKD131135:CKE131136 CTZ131135:CUA131136 DDV131135:DDW131136 DNR131135:DNS131136 DXN131135:DXO131136 EHJ131135:EHK131136 ERF131135:ERG131136 FBB131135:FBC131136 FKX131135:FKY131136 FUT131135:FUU131136 GEP131135:GEQ131136 GOL131135:GOM131136 GYH131135:GYI131136 HID131135:HIE131136 HRZ131135:HSA131136 IBV131135:IBW131136 ILR131135:ILS131136 IVN131135:IVO131136 JFJ131135:JFK131136 JPF131135:JPG131136 JZB131135:JZC131136 KIX131135:KIY131136 KST131135:KSU131136 LCP131135:LCQ131136 LML131135:LMM131136 LWH131135:LWI131136 MGD131135:MGE131136 MPZ131135:MQA131136 MZV131135:MZW131136 NJR131135:NJS131136 NTN131135:NTO131136 ODJ131135:ODK131136 ONF131135:ONG131136 OXB131135:OXC131136 PGX131135:PGY131136 PQT131135:PQU131136 QAP131135:QAQ131136 QKL131135:QKM131136 QUH131135:QUI131136 RED131135:REE131136 RNZ131135:ROA131136 RXV131135:RXW131136 SHR131135:SHS131136 SRN131135:SRO131136 TBJ131135:TBK131136 TLF131135:TLG131136 TVB131135:TVC131136 UEX131135:UEY131136 UOT131135:UOU131136 UYP131135:UYQ131136 VIL131135:VIM131136 VSH131135:VSI131136 WCD131135:WCE131136 WLZ131135:WMA131136 WVV131135:WVW131136 M196671:N196672 JJ196671:JK196672 TF196671:TG196672 ADB196671:ADC196672 AMX196671:AMY196672 AWT196671:AWU196672 BGP196671:BGQ196672 BQL196671:BQM196672 CAH196671:CAI196672 CKD196671:CKE196672 CTZ196671:CUA196672 DDV196671:DDW196672 DNR196671:DNS196672 DXN196671:DXO196672 EHJ196671:EHK196672 ERF196671:ERG196672 FBB196671:FBC196672 FKX196671:FKY196672 FUT196671:FUU196672 GEP196671:GEQ196672 GOL196671:GOM196672 GYH196671:GYI196672 HID196671:HIE196672 HRZ196671:HSA196672 IBV196671:IBW196672 ILR196671:ILS196672 IVN196671:IVO196672 JFJ196671:JFK196672 JPF196671:JPG196672 JZB196671:JZC196672 KIX196671:KIY196672 KST196671:KSU196672 LCP196671:LCQ196672 LML196671:LMM196672 LWH196671:LWI196672 MGD196671:MGE196672 MPZ196671:MQA196672 MZV196671:MZW196672 NJR196671:NJS196672 NTN196671:NTO196672 ODJ196671:ODK196672 ONF196671:ONG196672 OXB196671:OXC196672 PGX196671:PGY196672 PQT196671:PQU196672 QAP196671:QAQ196672 QKL196671:QKM196672 QUH196671:QUI196672 RED196671:REE196672 RNZ196671:ROA196672 RXV196671:RXW196672 SHR196671:SHS196672 SRN196671:SRO196672 TBJ196671:TBK196672 TLF196671:TLG196672 TVB196671:TVC196672 UEX196671:UEY196672 UOT196671:UOU196672 UYP196671:UYQ196672 VIL196671:VIM196672 VSH196671:VSI196672 WCD196671:WCE196672 WLZ196671:WMA196672 WVV196671:WVW196672 M262207:N262208 JJ262207:JK262208 TF262207:TG262208 ADB262207:ADC262208 AMX262207:AMY262208 AWT262207:AWU262208 BGP262207:BGQ262208 BQL262207:BQM262208 CAH262207:CAI262208 CKD262207:CKE262208 CTZ262207:CUA262208 DDV262207:DDW262208 DNR262207:DNS262208 DXN262207:DXO262208 EHJ262207:EHK262208 ERF262207:ERG262208 FBB262207:FBC262208 FKX262207:FKY262208 FUT262207:FUU262208 GEP262207:GEQ262208 GOL262207:GOM262208 GYH262207:GYI262208 HID262207:HIE262208 HRZ262207:HSA262208 IBV262207:IBW262208 ILR262207:ILS262208 IVN262207:IVO262208 JFJ262207:JFK262208 JPF262207:JPG262208 JZB262207:JZC262208 KIX262207:KIY262208 KST262207:KSU262208 LCP262207:LCQ262208 LML262207:LMM262208 LWH262207:LWI262208 MGD262207:MGE262208 MPZ262207:MQA262208 MZV262207:MZW262208 NJR262207:NJS262208 NTN262207:NTO262208 ODJ262207:ODK262208 ONF262207:ONG262208 OXB262207:OXC262208 PGX262207:PGY262208 PQT262207:PQU262208 QAP262207:QAQ262208 QKL262207:QKM262208 QUH262207:QUI262208 RED262207:REE262208 RNZ262207:ROA262208 RXV262207:RXW262208 SHR262207:SHS262208 SRN262207:SRO262208 TBJ262207:TBK262208 TLF262207:TLG262208 TVB262207:TVC262208 UEX262207:UEY262208 UOT262207:UOU262208 UYP262207:UYQ262208 VIL262207:VIM262208 VSH262207:VSI262208 WCD262207:WCE262208 WLZ262207:WMA262208 WVV262207:WVW262208 M327743:N327744 JJ327743:JK327744 TF327743:TG327744 ADB327743:ADC327744 AMX327743:AMY327744 AWT327743:AWU327744 BGP327743:BGQ327744 BQL327743:BQM327744 CAH327743:CAI327744 CKD327743:CKE327744 CTZ327743:CUA327744 DDV327743:DDW327744 DNR327743:DNS327744 DXN327743:DXO327744 EHJ327743:EHK327744 ERF327743:ERG327744 FBB327743:FBC327744 FKX327743:FKY327744 FUT327743:FUU327744 GEP327743:GEQ327744 GOL327743:GOM327744 GYH327743:GYI327744 HID327743:HIE327744 HRZ327743:HSA327744 IBV327743:IBW327744 ILR327743:ILS327744 IVN327743:IVO327744 JFJ327743:JFK327744 JPF327743:JPG327744 JZB327743:JZC327744 KIX327743:KIY327744 KST327743:KSU327744 LCP327743:LCQ327744 LML327743:LMM327744 LWH327743:LWI327744 MGD327743:MGE327744 MPZ327743:MQA327744 MZV327743:MZW327744 NJR327743:NJS327744 NTN327743:NTO327744 ODJ327743:ODK327744 ONF327743:ONG327744 OXB327743:OXC327744 PGX327743:PGY327744 PQT327743:PQU327744 QAP327743:QAQ327744 QKL327743:QKM327744 QUH327743:QUI327744 RED327743:REE327744 RNZ327743:ROA327744 RXV327743:RXW327744 SHR327743:SHS327744 SRN327743:SRO327744 TBJ327743:TBK327744 TLF327743:TLG327744 TVB327743:TVC327744 UEX327743:UEY327744 UOT327743:UOU327744 UYP327743:UYQ327744 VIL327743:VIM327744 VSH327743:VSI327744 WCD327743:WCE327744 WLZ327743:WMA327744 WVV327743:WVW327744 M393279:N393280 JJ393279:JK393280 TF393279:TG393280 ADB393279:ADC393280 AMX393279:AMY393280 AWT393279:AWU393280 BGP393279:BGQ393280 BQL393279:BQM393280 CAH393279:CAI393280 CKD393279:CKE393280 CTZ393279:CUA393280 DDV393279:DDW393280 DNR393279:DNS393280 DXN393279:DXO393280 EHJ393279:EHK393280 ERF393279:ERG393280 FBB393279:FBC393280 FKX393279:FKY393280 FUT393279:FUU393280 GEP393279:GEQ393280 GOL393279:GOM393280 GYH393279:GYI393280 HID393279:HIE393280 HRZ393279:HSA393280 IBV393279:IBW393280 ILR393279:ILS393280 IVN393279:IVO393280 JFJ393279:JFK393280 JPF393279:JPG393280 JZB393279:JZC393280 KIX393279:KIY393280 KST393279:KSU393280 LCP393279:LCQ393280 LML393279:LMM393280 LWH393279:LWI393280 MGD393279:MGE393280 MPZ393279:MQA393280 MZV393279:MZW393280 NJR393279:NJS393280 NTN393279:NTO393280 ODJ393279:ODK393280 ONF393279:ONG393280 OXB393279:OXC393280 PGX393279:PGY393280 PQT393279:PQU393280 QAP393279:QAQ393280 QKL393279:QKM393280 QUH393279:QUI393280 RED393279:REE393280 RNZ393279:ROA393280 RXV393279:RXW393280 SHR393279:SHS393280 SRN393279:SRO393280 TBJ393279:TBK393280 TLF393279:TLG393280 TVB393279:TVC393280 UEX393279:UEY393280 UOT393279:UOU393280 UYP393279:UYQ393280 VIL393279:VIM393280 VSH393279:VSI393280 WCD393279:WCE393280 WLZ393279:WMA393280 WVV393279:WVW393280 M458815:N458816 JJ458815:JK458816 TF458815:TG458816 ADB458815:ADC458816 AMX458815:AMY458816 AWT458815:AWU458816 BGP458815:BGQ458816 BQL458815:BQM458816 CAH458815:CAI458816 CKD458815:CKE458816 CTZ458815:CUA458816 DDV458815:DDW458816 DNR458815:DNS458816 DXN458815:DXO458816 EHJ458815:EHK458816 ERF458815:ERG458816 FBB458815:FBC458816 FKX458815:FKY458816 FUT458815:FUU458816 GEP458815:GEQ458816 GOL458815:GOM458816 GYH458815:GYI458816 HID458815:HIE458816 HRZ458815:HSA458816 IBV458815:IBW458816 ILR458815:ILS458816 IVN458815:IVO458816 JFJ458815:JFK458816 JPF458815:JPG458816 JZB458815:JZC458816 KIX458815:KIY458816 KST458815:KSU458816 LCP458815:LCQ458816 LML458815:LMM458816 LWH458815:LWI458816 MGD458815:MGE458816 MPZ458815:MQA458816 MZV458815:MZW458816 NJR458815:NJS458816 NTN458815:NTO458816 ODJ458815:ODK458816 ONF458815:ONG458816 OXB458815:OXC458816 PGX458815:PGY458816 PQT458815:PQU458816 QAP458815:QAQ458816 QKL458815:QKM458816 QUH458815:QUI458816 RED458815:REE458816 RNZ458815:ROA458816 RXV458815:RXW458816 SHR458815:SHS458816 SRN458815:SRO458816 TBJ458815:TBK458816 TLF458815:TLG458816 TVB458815:TVC458816 UEX458815:UEY458816 UOT458815:UOU458816 UYP458815:UYQ458816 VIL458815:VIM458816 VSH458815:VSI458816 WCD458815:WCE458816 WLZ458815:WMA458816 WVV458815:WVW458816 M524351:N524352 JJ524351:JK524352 TF524351:TG524352 ADB524351:ADC524352 AMX524351:AMY524352 AWT524351:AWU524352 BGP524351:BGQ524352 BQL524351:BQM524352 CAH524351:CAI524352 CKD524351:CKE524352 CTZ524351:CUA524352 DDV524351:DDW524352 DNR524351:DNS524352 DXN524351:DXO524352 EHJ524351:EHK524352 ERF524351:ERG524352 FBB524351:FBC524352 FKX524351:FKY524352 FUT524351:FUU524352 GEP524351:GEQ524352 GOL524351:GOM524352 GYH524351:GYI524352 HID524351:HIE524352 HRZ524351:HSA524352 IBV524351:IBW524352 ILR524351:ILS524352 IVN524351:IVO524352 JFJ524351:JFK524352 JPF524351:JPG524352 JZB524351:JZC524352 KIX524351:KIY524352 KST524351:KSU524352 LCP524351:LCQ524352 LML524351:LMM524352 LWH524351:LWI524352 MGD524351:MGE524352 MPZ524351:MQA524352 MZV524351:MZW524352 NJR524351:NJS524352 NTN524351:NTO524352 ODJ524351:ODK524352 ONF524351:ONG524352 OXB524351:OXC524352 PGX524351:PGY524352 PQT524351:PQU524352 QAP524351:QAQ524352 QKL524351:QKM524352 QUH524351:QUI524352 RED524351:REE524352 RNZ524351:ROA524352 RXV524351:RXW524352 SHR524351:SHS524352 SRN524351:SRO524352 TBJ524351:TBK524352 TLF524351:TLG524352 TVB524351:TVC524352 UEX524351:UEY524352 UOT524351:UOU524352 UYP524351:UYQ524352 VIL524351:VIM524352 VSH524351:VSI524352 WCD524351:WCE524352 WLZ524351:WMA524352 WVV524351:WVW524352 M589887:N589888 JJ589887:JK589888 TF589887:TG589888 ADB589887:ADC589888 AMX589887:AMY589888 AWT589887:AWU589888 BGP589887:BGQ589888 BQL589887:BQM589888 CAH589887:CAI589888 CKD589887:CKE589888 CTZ589887:CUA589888 DDV589887:DDW589888 DNR589887:DNS589888 DXN589887:DXO589888 EHJ589887:EHK589888 ERF589887:ERG589888 FBB589887:FBC589888 FKX589887:FKY589888 FUT589887:FUU589888 GEP589887:GEQ589888 GOL589887:GOM589888 GYH589887:GYI589888 HID589887:HIE589888 HRZ589887:HSA589888 IBV589887:IBW589888 ILR589887:ILS589888 IVN589887:IVO589888 JFJ589887:JFK589888 JPF589887:JPG589888 JZB589887:JZC589888 KIX589887:KIY589888 KST589887:KSU589888 LCP589887:LCQ589888 LML589887:LMM589888 LWH589887:LWI589888 MGD589887:MGE589888 MPZ589887:MQA589888 MZV589887:MZW589888 NJR589887:NJS589888 NTN589887:NTO589888 ODJ589887:ODK589888 ONF589887:ONG589888 OXB589887:OXC589888 PGX589887:PGY589888 PQT589887:PQU589888 QAP589887:QAQ589888 QKL589887:QKM589888 QUH589887:QUI589888 RED589887:REE589888 RNZ589887:ROA589888 RXV589887:RXW589888 SHR589887:SHS589888 SRN589887:SRO589888 TBJ589887:TBK589888 TLF589887:TLG589888 TVB589887:TVC589888 UEX589887:UEY589888 UOT589887:UOU589888 UYP589887:UYQ589888 VIL589887:VIM589888 VSH589887:VSI589888 WCD589887:WCE589888 WLZ589887:WMA589888 WVV589887:WVW589888 M655423:N655424 JJ655423:JK655424 TF655423:TG655424 ADB655423:ADC655424 AMX655423:AMY655424 AWT655423:AWU655424 BGP655423:BGQ655424 BQL655423:BQM655424 CAH655423:CAI655424 CKD655423:CKE655424 CTZ655423:CUA655424 DDV655423:DDW655424 DNR655423:DNS655424 DXN655423:DXO655424 EHJ655423:EHK655424 ERF655423:ERG655424 FBB655423:FBC655424 FKX655423:FKY655424 FUT655423:FUU655424 GEP655423:GEQ655424 GOL655423:GOM655424 GYH655423:GYI655424 HID655423:HIE655424 HRZ655423:HSA655424 IBV655423:IBW655424 ILR655423:ILS655424 IVN655423:IVO655424 JFJ655423:JFK655424 JPF655423:JPG655424 JZB655423:JZC655424 KIX655423:KIY655424 KST655423:KSU655424 LCP655423:LCQ655424 LML655423:LMM655424 LWH655423:LWI655424 MGD655423:MGE655424 MPZ655423:MQA655424 MZV655423:MZW655424 NJR655423:NJS655424 NTN655423:NTO655424 ODJ655423:ODK655424 ONF655423:ONG655424 OXB655423:OXC655424 PGX655423:PGY655424 PQT655423:PQU655424 QAP655423:QAQ655424 QKL655423:QKM655424 QUH655423:QUI655424 RED655423:REE655424 RNZ655423:ROA655424 RXV655423:RXW655424 SHR655423:SHS655424 SRN655423:SRO655424 TBJ655423:TBK655424 TLF655423:TLG655424 TVB655423:TVC655424 UEX655423:UEY655424 UOT655423:UOU655424 UYP655423:UYQ655424 VIL655423:VIM655424 VSH655423:VSI655424 WCD655423:WCE655424 WLZ655423:WMA655424 WVV655423:WVW655424 M720959:N720960 JJ720959:JK720960 TF720959:TG720960 ADB720959:ADC720960 AMX720959:AMY720960 AWT720959:AWU720960 BGP720959:BGQ720960 BQL720959:BQM720960 CAH720959:CAI720960 CKD720959:CKE720960 CTZ720959:CUA720960 DDV720959:DDW720960 DNR720959:DNS720960 DXN720959:DXO720960 EHJ720959:EHK720960 ERF720959:ERG720960 FBB720959:FBC720960 FKX720959:FKY720960 FUT720959:FUU720960 GEP720959:GEQ720960 GOL720959:GOM720960 GYH720959:GYI720960 HID720959:HIE720960 HRZ720959:HSA720960 IBV720959:IBW720960 ILR720959:ILS720960 IVN720959:IVO720960 JFJ720959:JFK720960 JPF720959:JPG720960 JZB720959:JZC720960 KIX720959:KIY720960 KST720959:KSU720960 LCP720959:LCQ720960 LML720959:LMM720960 LWH720959:LWI720960 MGD720959:MGE720960 MPZ720959:MQA720960 MZV720959:MZW720960 NJR720959:NJS720960 NTN720959:NTO720960 ODJ720959:ODK720960 ONF720959:ONG720960 OXB720959:OXC720960 PGX720959:PGY720960 PQT720959:PQU720960 QAP720959:QAQ720960 QKL720959:QKM720960 QUH720959:QUI720960 RED720959:REE720960 RNZ720959:ROA720960 RXV720959:RXW720960 SHR720959:SHS720960 SRN720959:SRO720960 TBJ720959:TBK720960 TLF720959:TLG720960 TVB720959:TVC720960 UEX720959:UEY720960 UOT720959:UOU720960 UYP720959:UYQ720960 VIL720959:VIM720960 VSH720959:VSI720960 WCD720959:WCE720960 WLZ720959:WMA720960 WVV720959:WVW720960 M786495:N786496 JJ786495:JK786496 TF786495:TG786496 ADB786495:ADC786496 AMX786495:AMY786496 AWT786495:AWU786496 BGP786495:BGQ786496 BQL786495:BQM786496 CAH786495:CAI786496 CKD786495:CKE786496 CTZ786495:CUA786496 DDV786495:DDW786496 DNR786495:DNS786496 DXN786495:DXO786496 EHJ786495:EHK786496 ERF786495:ERG786496 FBB786495:FBC786496 FKX786495:FKY786496 FUT786495:FUU786496 GEP786495:GEQ786496 GOL786495:GOM786496 GYH786495:GYI786496 HID786495:HIE786496 HRZ786495:HSA786496 IBV786495:IBW786496 ILR786495:ILS786496 IVN786495:IVO786496 JFJ786495:JFK786496 JPF786495:JPG786496 JZB786495:JZC786496 KIX786495:KIY786496 KST786495:KSU786496 LCP786495:LCQ786496 LML786495:LMM786496 LWH786495:LWI786496 MGD786495:MGE786496 MPZ786495:MQA786496 MZV786495:MZW786496 NJR786495:NJS786496 NTN786495:NTO786496 ODJ786495:ODK786496 ONF786495:ONG786496 OXB786495:OXC786496 PGX786495:PGY786496 PQT786495:PQU786496 QAP786495:QAQ786496 QKL786495:QKM786496 QUH786495:QUI786496 RED786495:REE786496 RNZ786495:ROA786496 RXV786495:RXW786496 SHR786495:SHS786496 SRN786495:SRO786496 TBJ786495:TBK786496 TLF786495:TLG786496 TVB786495:TVC786496 UEX786495:UEY786496 UOT786495:UOU786496 UYP786495:UYQ786496 VIL786495:VIM786496 VSH786495:VSI786496 WCD786495:WCE786496 WLZ786495:WMA786496 WVV786495:WVW786496 M852031:N852032 JJ852031:JK852032 TF852031:TG852032 ADB852031:ADC852032 AMX852031:AMY852032 AWT852031:AWU852032 BGP852031:BGQ852032 BQL852031:BQM852032 CAH852031:CAI852032 CKD852031:CKE852032 CTZ852031:CUA852032 DDV852031:DDW852032 DNR852031:DNS852032 DXN852031:DXO852032 EHJ852031:EHK852032 ERF852031:ERG852032 FBB852031:FBC852032 FKX852031:FKY852032 FUT852031:FUU852032 GEP852031:GEQ852032 GOL852031:GOM852032 GYH852031:GYI852032 HID852031:HIE852032 HRZ852031:HSA852032 IBV852031:IBW852032 ILR852031:ILS852032 IVN852031:IVO852032 JFJ852031:JFK852032 JPF852031:JPG852032 JZB852031:JZC852032 KIX852031:KIY852032 KST852031:KSU852032 LCP852031:LCQ852032 LML852031:LMM852032 LWH852031:LWI852032 MGD852031:MGE852032 MPZ852031:MQA852032 MZV852031:MZW852032 NJR852031:NJS852032 NTN852031:NTO852032 ODJ852031:ODK852032 ONF852031:ONG852032 OXB852031:OXC852032 PGX852031:PGY852032 PQT852031:PQU852032 QAP852031:QAQ852032 QKL852031:QKM852032 QUH852031:QUI852032 RED852031:REE852032 RNZ852031:ROA852032 RXV852031:RXW852032 SHR852031:SHS852032 SRN852031:SRO852032 TBJ852031:TBK852032 TLF852031:TLG852032 TVB852031:TVC852032 UEX852031:UEY852032 UOT852031:UOU852032 UYP852031:UYQ852032 VIL852031:VIM852032 VSH852031:VSI852032 WCD852031:WCE852032 WLZ852031:WMA852032 WVV852031:WVW852032 M917567:N917568 JJ917567:JK917568 TF917567:TG917568 ADB917567:ADC917568 AMX917567:AMY917568 AWT917567:AWU917568 BGP917567:BGQ917568 BQL917567:BQM917568 CAH917567:CAI917568 CKD917567:CKE917568 CTZ917567:CUA917568 DDV917567:DDW917568 DNR917567:DNS917568 DXN917567:DXO917568 EHJ917567:EHK917568 ERF917567:ERG917568 FBB917567:FBC917568 FKX917567:FKY917568 FUT917567:FUU917568 GEP917567:GEQ917568 GOL917567:GOM917568 GYH917567:GYI917568 HID917567:HIE917568 HRZ917567:HSA917568 IBV917567:IBW917568 ILR917567:ILS917568 IVN917567:IVO917568 JFJ917567:JFK917568 JPF917567:JPG917568 JZB917567:JZC917568 KIX917567:KIY917568 KST917567:KSU917568 LCP917567:LCQ917568 LML917567:LMM917568 LWH917567:LWI917568 MGD917567:MGE917568 MPZ917567:MQA917568 MZV917567:MZW917568 NJR917567:NJS917568 NTN917567:NTO917568 ODJ917567:ODK917568 ONF917567:ONG917568 OXB917567:OXC917568 PGX917567:PGY917568 PQT917567:PQU917568 QAP917567:QAQ917568 QKL917567:QKM917568 QUH917567:QUI917568 RED917567:REE917568 RNZ917567:ROA917568 RXV917567:RXW917568 SHR917567:SHS917568 SRN917567:SRO917568 TBJ917567:TBK917568 TLF917567:TLG917568 TVB917567:TVC917568 UEX917567:UEY917568 UOT917567:UOU917568 UYP917567:UYQ917568 VIL917567:VIM917568 VSH917567:VSI917568 WCD917567:WCE917568 WLZ917567:WMA917568 WVV917567:WVW917568 M983103:N983104 JJ983103:JK983104 TF983103:TG983104 ADB983103:ADC983104 AMX983103:AMY983104 AWT983103:AWU983104 BGP983103:BGQ983104 BQL983103:BQM983104 CAH983103:CAI983104 CKD983103:CKE983104 CTZ983103:CUA983104 DDV983103:DDW983104 DNR983103:DNS983104 DXN983103:DXO983104 EHJ983103:EHK983104 ERF983103:ERG983104 FBB983103:FBC983104 FKX983103:FKY983104 FUT983103:FUU983104 GEP983103:GEQ983104 GOL983103:GOM983104 GYH983103:GYI983104 HID983103:HIE983104 HRZ983103:HSA983104 IBV983103:IBW983104 ILR983103:ILS983104 IVN983103:IVO983104 JFJ983103:JFK983104 JPF983103:JPG983104 JZB983103:JZC983104 KIX983103:KIY983104 KST983103:KSU983104 LCP983103:LCQ983104 LML983103:LMM983104 LWH983103:LWI983104 MGD983103:MGE983104 MPZ983103:MQA983104 MZV983103:MZW983104 NJR983103:NJS983104 NTN983103:NTO983104 ODJ983103:ODK983104 ONF983103:ONG983104 OXB983103:OXC983104 PGX983103:PGY983104 PQT983103:PQU983104 QAP983103:QAQ983104 QKL983103:QKM983104 QUH983103:QUI983104 RED983103:REE983104 RNZ983103:ROA983104 RXV983103:RXW983104 SHR983103:SHS983104 SRN983103:SRO983104 TBJ983103:TBK983104 TLF983103:TLG983104 TVB983103:TVC983104 UEX983103:UEY983104 UOT983103:UOU983104 UYP983103:UYQ983104 VIL983103:VIM983104 VSH983103:VSI983104 WCD983103:WCE983104 WLZ983103:WMA983104 WVV983103:WVW983104 WVV983082:WVW983085 JD30:JE34 SZ30:TA34 ACV30:ACW34 AMR30:AMS34 AWN30:AWO34 BGJ30:BGK34 BQF30:BQG34 CAB30:CAC34 CJX30:CJY34 CTT30:CTU34 DDP30:DDQ34 DNL30:DNM34 DXH30:DXI34 EHD30:EHE34 EQZ30:ERA34 FAV30:FAW34 FKR30:FKS34 FUN30:FUO34 GEJ30:GEK34 GOF30:GOG34 GYB30:GYC34 HHX30:HHY34 HRT30:HRU34 IBP30:IBQ34 ILL30:ILM34 IVH30:IVI34 JFD30:JFE34 JOZ30:JPA34 JYV30:JYW34 KIR30:KIS34 KSN30:KSO34 LCJ30:LCK34 LMF30:LMG34 LWB30:LWC34 MFX30:MFY34 MPT30:MPU34 MZP30:MZQ34 NJL30:NJM34 NTH30:NTI34 ODD30:ODE34 OMZ30:ONA34 OWV30:OWW34 PGR30:PGS34 PQN30:PQO34 QAJ30:QAK34 QKF30:QKG34 QUB30:QUC34 RDX30:RDY34 RNT30:RNU34 RXP30:RXQ34 SHL30:SHM34 SRH30:SRI34 TBD30:TBE34 TKZ30:TLA34 TUV30:TUW34 UER30:UES34 UON30:UOO34 UYJ30:UYK34 VIF30:VIG34 VSB30:VSC34 WBX30:WBY34 WLT30:WLU34 WVP30:WVQ34 G65568:H65572 JD65568:JE65572 SZ65568:TA65572 ACV65568:ACW65572 AMR65568:AMS65572 AWN65568:AWO65572 BGJ65568:BGK65572 BQF65568:BQG65572 CAB65568:CAC65572 CJX65568:CJY65572 CTT65568:CTU65572 DDP65568:DDQ65572 DNL65568:DNM65572 DXH65568:DXI65572 EHD65568:EHE65572 EQZ65568:ERA65572 FAV65568:FAW65572 FKR65568:FKS65572 FUN65568:FUO65572 GEJ65568:GEK65572 GOF65568:GOG65572 GYB65568:GYC65572 HHX65568:HHY65572 HRT65568:HRU65572 IBP65568:IBQ65572 ILL65568:ILM65572 IVH65568:IVI65572 JFD65568:JFE65572 JOZ65568:JPA65572 JYV65568:JYW65572 KIR65568:KIS65572 KSN65568:KSO65572 LCJ65568:LCK65572 LMF65568:LMG65572 LWB65568:LWC65572 MFX65568:MFY65572 MPT65568:MPU65572 MZP65568:MZQ65572 NJL65568:NJM65572 NTH65568:NTI65572 ODD65568:ODE65572 OMZ65568:ONA65572 OWV65568:OWW65572 PGR65568:PGS65572 PQN65568:PQO65572 QAJ65568:QAK65572 QKF65568:QKG65572 QUB65568:QUC65572 RDX65568:RDY65572 RNT65568:RNU65572 RXP65568:RXQ65572 SHL65568:SHM65572 SRH65568:SRI65572 TBD65568:TBE65572 TKZ65568:TLA65572 TUV65568:TUW65572 UER65568:UES65572 UON65568:UOO65572 UYJ65568:UYK65572 VIF65568:VIG65572 VSB65568:VSC65572 WBX65568:WBY65572 WLT65568:WLU65572 WVP65568:WVQ65572 G131104:H131108 JD131104:JE131108 SZ131104:TA131108 ACV131104:ACW131108 AMR131104:AMS131108 AWN131104:AWO131108 BGJ131104:BGK131108 BQF131104:BQG131108 CAB131104:CAC131108 CJX131104:CJY131108 CTT131104:CTU131108 DDP131104:DDQ131108 DNL131104:DNM131108 DXH131104:DXI131108 EHD131104:EHE131108 EQZ131104:ERA131108 FAV131104:FAW131108 FKR131104:FKS131108 FUN131104:FUO131108 GEJ131104:GEK131108 GOF131104:GOG131108 GYB131104:GYC131108 HHX131104:HHY131108 HRT131104:HRU131108 IBP131104:IBQ131108 ILL131104:ILM131108 IVH131104:IVI131108 JFD131104:JFE131108 JOZ131104:JPA131108 JYV131104:JYW131108 KIR131104:KIS131108 KSN131104:KSO131108 LCJ131104:LCK131108 LMF131104:LMG131108 LWB131104:LWC131108 MFX131104:MFY131108 MPT131104:MPU131108 MZP131104:MZQ131108 NJL131104:NJM131108 NTH131104:NTI131108 ODD131104:ODE131108 OMZ131104:ONA131108 OWV131104:OWW131108 PGR131104:PGS131108 PQN131104:PQO131108 QAJ131104:QAK131108 QKF131104:QKG131108 QUB131104:QUC131108 RDX131104:RDY131108 RNT131104:RNU131108 RXP131104:RXQ131108 SHL131104:SHM131108 SRH131104:SRI131108 TBD131104:TBE131108 TKZ131104:TLA131108 TUV131104:TUW131108 UER131104:UES131108 UON131104:UOO131108 UYJ131104:UYK131108 VIF131104:VIG131108 VSB131104:VSC131108 WBX131104:WBY131108 WLT131104:WLU131108 WVP131104:WVQ131108 G196640:H196644 JD196640:JE196644 SZ196640:TA196644 ACV196640:ACW196644 AMR196640:AMS196644 AWN196640:AWO196644 BGJ196640:BGK196644 BQF196640:BQG196644 CAB196640:CAC196644 CJX196640:CJY196644 CTT196640:CTU196644 DDP196640:DDQ196644 DNL196640:DNM196644 DXH196640:DXI196644 EHD196640:EHE196644 EQZ196640:ERA196644 FAV196640:FAW196644 FKR196640:FKS196644 FUN196640:FUO196644 GEJ196640:GEK196644 GOF196640:GOG196644 GYB196640:GYC196644 HHX196640:HHY196644 HRT196640:HRU196644 IBP196640:IBQ196644 ILL196640:ILM196644 IVH196640:IVI196644 JFD196640:JFE196644 JOZ196640:JPA196644 JYV196640:JYW196644 KIR196640:KIS196644 KSN196640:KSO196644 LCJ196640:LCK196644 LMF196640:LMG196644 LWB196640:LWC196644 MFX196640:MFY196644 MPT196640:MPU196644 MZP196640:MZQ196644 NJL196640:NJM196644 NTH196640:NTI196644 ODD196640:ODE196644 OMZ196640:ONA196644 OWV196640:OWW196644 PGR196640:PGS196644 PQN196640:PQO196644 QAJ196640:QAK196644 QKF196640:QKG196644 QUB196640:QUC196644 RDX196640:RDY196644 RNT196640:RNU196644 RXP196640:RXQ196644 SHL196640:SHM196644 SRH196640:SRI196644 TBD196640:TBE196644 TKZ196640:TLA196644 TUV196640:TUW196644 UER196640:UES196644 UON196640:UOO196644 UYJ196640:UYK196644 VIF196640:VIG196644 VSB196640:VSC196644 WBX196640:WBY196644 WLT196640:WLU196644 WVP196640:WVQ196644 G262176:H262180 JD262176:JE262180 SZ262176:TA262180 ACV262176:ACW262180 AMR262176:AMS262180 AWN262176:AWO262180 BGJ262176:BGK262180 BQF262176:BQG262180 CAB262176:CAC262180 CJX262176:CJY262180 CTT262176:CTU262180 DDP262176:DDQ262180 DNL262176:DNM262180 DXH262176:DXI262180 EHD262176:EHE262180 EQZ262176:ERA262180 FAV262176:FAW262180 FKR262176:FKS262180 FUN262176:FUO262180 GEJ262176:GEK262180 GOF262176:GOG262180 GYB262176:GYC262180 HHX262176:HHY262180 HRT262176:HRU262180 IBP262176:IBQ262180 ILL262176:ILM262180 IVH262176:IVI262180 JFD262176:JFE262180 JOZ262176:JPA262180 JYV262176:JYW262180 KIR262176:KIS262180 KSN262176:KSO262180 LCJ262176:LCK262180 LMF262176:LMG262180 LWB262176:LWC262180 MFX262176:MFY262180 MPT262176:MPU262180 MZP262176:MZQ262180 NJL262176:NJM262180 NTH262176:NTI262180 ODD262176:ODE262180 OMZ262176:ONA262180 OWV262176:OWW262180 PGR262176:PGS262180 PQN262176:PQO262180 QAJ262176:QAK262180 QKF262176:QKG262180 QUB262176:QUC262180 RDX262176:RDY262180 RNT262176:RNU262180 RXP262176:RXQ262180 SHL262176:SHM262180 SRH262176:SRI262180 TBD262176:TBE262180 TKZ262176:TLA262180 TUV262176:TUW262180 UER262176:UES262180 UON262176:UOO262180 UYJ262176:UYK262180 VIF262176:VIG262180 VSB262176:VSC262180 WBX262176:WBY262180 WLT262176:WLU262180 WVP262176:WVQ262180 G327712:H327716 JD327712:JE327716 SZ327712:TA327716 ACV327712:ACW327716 AMR327712:AMS327716 AWN327712:AWO327716 BGJ327712:BGK327716 BQF327712:BQG327716 CAB327712:CAC327716 CJX327712:CJY327716 CTT327712:CTU327716 DDP327712:DDQ327716 DNL327712:DNM327716 DXH327712:DXI327716 EHD327712:EHE327716 EQZ327712:ERA327716 FAV327712:FAW327716 FKR327712:FKS327716 FUN327712:FUO327716 GEJ327712:GEK327716 GOF327712:GOG327716 GYB327712:GYC327716 HHX327712:HHY327716 HRT327712:HRU327716 IBP327712:IBQ327716 ILL327712:ILM327716 IVH327712:IVI327716 JFD327712:JFE327716 JOZ327712:JPA327716 JYV327712:JYW327716 KIR327712:KIS327716 KSN327712:KSO327716 LCJ327712:LCK327716 LMF327712:LMG327716 LWB327712:LWC327716 MFX327712:MFY327716 MPT327712:MPU327716 MZP327712:MZQ327716 NJL327712:NJM327716 NTH327712:NTI327716 ODD327712:ODE327716 OMZ327712:ONA327716 OWV327712:OWW327716 PGR327712:PGS327716 PQN327712:PQO327716 QAJ327712:QAK327716 QKF327712:QKG327716 QUB327712:QUC327716 RDX327712:RDY327716 RNT327712:RNU327716 RXP327712:RXQ327716 SHL327712:SHM327716 SRH327712:SRI327716 TBD327712:TBE327716 TKZ327712:TLA327716 TUV327712:TUW327716 UER327712:UES327716 UON327712:UOO327716 UYJ327712:UYK327716 VIF327712:VIG327716 VSB327712:VSC327716 WBX327712:WBY327716 WLT327712:WLU327716 WVP327712:WVQ327716 G393248:H393252 JD393248:JE393252 SZ393248:TA393252 ACV393248:ACW393252 AMR393248:AMS393252 AWN393248:AWO393252 BGJ393248:BGK393252 BQF393248:BQG393252 CAB393248:CAC393252 CJX393248:CJY393252 CTT393248:CTU393252 DDP393248:DDQ393252 DNL393248:DNM393252 DXH393248:DXI393252 EHD393248:EHE393252 EQZ393248:ERA393252 FAV393248:FAW393252 FKR393248:FKS393252 FUN393248:FUO393252 GEJ393248:GEK393252 GOF393248:GOG393252 GYB393248:GYC393252 HHX393248:HHY393252 HRT393248:HRU393252 IBP393248:IBQ393252 ILL393248:ILM393252 IVH393248:IVI393252 JFD393248:JFE393252 JOZ393248:JPA393252 JYV393248:JYW393252 KIR393248:KIS393252 KSN393248:KSO393252 LCJ393248:LCK393252 LMF393248:LMG393252 LWB393248:LWC393252 MFX393248:MFY393252 MPT393248:MPU393252 MZP393248:MZQ393252 NJL393248:NJM393252 NTH393248:NTI393252 ODD393248:ODE393252 OMZ393248:ONA393252 OWV393248:OWW393252 PGR393248:PGS393252 PQN393248:PQO393252 QAJ393248:QAK393252 QKF393248:QKG393252 QUB393248:QUC393252 RDX393248:RDY393252 RNT393248:RNU393252 RXP393248:RXQ393252 SHL393248:SHM393252 SRH393248:SRI393252 TBD393248:TBE393252 TKZ393248:TLA393252 TUV393248:TUW393252 UER393248:UES393252 UON393248:UOO393252 UYJ393248:UYK393252 VIF393248:VIG393252 VSB393248:VSC393252 WBX393248:WBY393252 WLT393248:WLU393252 WVP393248:WVQ393252 G458784:H458788 JD458784:JE458788 SZ458784:TA458788 ACV458784:ACW458788 AMR458784:AMS458788 AWN458784:AWO458788 BGJ458784:BGK458788 BQF458784:BQG458788 CAB458784:CAC458788 CJX458784:CJY458788 CTT458784:CTU458788 DDP458784:DDQ458788 DNL458784:DNM458788 DXH458784:DXI458788 EHD458784:EHE458788 EQZ458784:ERA458788 FAV458784:FAW458788 FKR458784:FKS458788 FUN458784:FUO458788 GEJ458784:GEK458788 GOF458784:GOG458788 GYB458784:GYC458788 HHX458784:HHY458788 HRT458784:HRU458788 IBP458784:IBQ458788 ILL458784:ILM458788 IVH458784:IVI458788 JFD458784:JFE458788 JOZ458784:JPA458788 JYV458784:JYW458788 KIR458784:KIS458788 KSN458784:KSO458788 LCJ458784:LCK458788 LMF458784:LMG458788 LWB458784:LWC458788 MFX458784:MFY458788 MPT458784:MPU458788 MZP458784:MZQ458788 NJL458784:NJM458788 NTH458784:NTI458788 ODD458784:ODE458788 OMZ458784:ONA458788 OWV458784:OWW458788 PGR458784:PGS458788 PQN458784:PQO458788 QAJ458784:QAK458788 QKF458784:QKG458788 QUB458784:QUC458788 RDX458784:RDY458788 RNT458784:RNU458788 RXP458784:RXQ458788 SHL458784:SHM458788 SRH458784:SRI458788 TBD458784:TBE458788 TKZ458784:TLA458788 TUV458784:TUW458788 UER458784:UES458788 UON458784:UOO458788 UYJ458784:UYK458788 VIF458784:VIG458788 VSB458784:VSC458788 WBX458784:WBY458788 WLT458784:WLU458788 WVP458784:WVQ458788 G524320:H524324 JD524320:JE524324 SZ524320:TA524324 ACV524320:ACW524324 AMR524320:AMS524324 AWN524320:AWO524324 BGJ524320:BGK524324 BQF524320:BQG524324 CAB524320:CAC524324 CJX524320:CJY524324 CTT524320:CTU524324 DDP524320:DDQ524324 DNL524320:DNM524324 DXH524320:DXI524324 EHD524320:EHE524324 EQZ524320:ERA524324 FAV524320:FAW524324 FKR524320:FKS524324 FUN524320:FUO524324 GEJ524320:GEK524324 GOF524320:GOG524324 GYB524320:GYC524324 HHX524320:HHY524324 HRT524320:HRU524324 IBP524320:IBQ524324 ILL524320:ILM524324 IVH524320:IVI524324 JFD524320:JFE524324 JOZ524320:JPA524324 JYV524320:JYW524324 KIR524320:KIS524324 KSN524320:KSO524324 LCJ524320:LCK524324 LMF524320:LMG524324 LWB524320:LWC524324 MFX524320:MFY524324 MPT524320:MPU524324 MZP524320:MZQ524324 NJL524320:NJM524324 NTH524320:NTI524324 ODD524320:ODE524324 OMZ524320:ONA524324 OWV524320:OWW524324 PGR524320:PGS524324 PQN524320:PQO524324 QAJ524320:QAK524324 QKF524320:QKG524324 QUB524320:QUC524324 RDX524320:RDY524324 RNT524320:RNU524324 RXP524320:RXQ524324 SHL524320:SHM524324 SRH524320:SRI524324 TBD524320:TBE524324 TKZ524320:TLA524324 TUV524320:TUW524324 UER524320:UES524324 UON524320:UOO524324 UYJ524320:UYK524324 VIF524320:VIG524324 VSB524320:VSC524324 WBX524320:WBY524324 WLT524320:WLU524324 WVP524320:WVQ524324 G589856:H589860 JD589856:JE589860 SZ589856:TA589860 ACV589856:ACW589860 AMR589856:AMS589860 AWN589856:AWO589860 BGJ589856:BGK589860 BQF589856:BQG589860 CAB589856:CAC589860 CJX589856:CJY589860 CTT589856:CTU589860 DDP589856:DDQ589860 DNL589856:DNM589860 DXH589856:DXI589860 EHD589856:EHE589860 EQZ589856:ERA589860 FAV589856:FAW589860 FKR589856:FKS589860 FUN589856:FUO589860 GEJ589856:GEK589860 GOF589856:GOG589860 GYB589856:GYC589860 HHX589856:HHY589860 HRT589856:HRU589860 IBP589856:IBQ589860 ILL589856:ILM589860 IVH589856:IVI589860 JFD589856:JFE589860 JOZ589856:JPA589860 JYV589856:JYW589860 KIR589856:KIS589860 KSN589856:KSO589860 LCJ589856:LCK589860 LMF589856:LMG589860 LWB589856:LWC589860 MFX589856:MFY589860 MPT589856:MPU589860 MZP589856:MZQ589860 NJL589856:NJM589860 NTH589856:NTI589860 ODD589856:ODE589860 OMZ589856:ONA589860 OWV589856:OWW589860 PGR589856:PGS589860 PQN589856:PQO589860 QAJ589856:QAK589860 QKF589856:QKG589860 QUB589856:QUC589860 RDX589856:RDY589860 RNT589856:RNU589860 RXP589856:RXQ589860 SHL589856:SHM589860 SRH589856:SRI589860 TBD589856:TBE589860 TKZ589856:TLA589860 TUV589856:TUW589860 UER589856:UES589860 UON589856:UOO589860 UYJ589856:UYK589860 VIF589856:VIG589860 VSB589856:VSC589860 WBX589856:WBY589860 WLT589856:WLU589860 WVP589856:WVQ589860 G655392:H655396 JD655392:JE655396 SZ655392:TA655396 ACV655392:ACW655396 AMR655392:AMS655396 AWN655392:AWO655396 BGJ655392:BGK655396 BQF655392:BQG655396 CAB655392:CAC655396 CJX655392:CJY655396 CTT655392:CTU655396 DDP655392:DDQ655396 DNL655392:DNM655396 DXH655392:DXI655396 EHD655392:EHE655396 EQZ655392:ERA655396 FAV655392:FAW655396 FKR655392:FKS655396 FUN655392:FUO655396 GEJ655392:GEK655396 GOF655392:GOG655396 GYB655392:GYC655396 HHX655392:HHY655396 HRT655392:HRU655396 IBP655392:IBQ655396 ILL655392:ILM655396 IVH655392:IVI655396 JFD655392:JFE655396 JOZ655392:JPA655396 JYV655392:JYW655396 KIR655392:KIS655396 KSN655392:KSO655396 LCJ655392:LCK655396 LMF655392:LMG655396 LWB655392:LWC655396 MFX655392:MFY655396 MPT655392:MPU655396 MZP655392:MZQ655396 NJL655392:NJM655396 NTH655392:NTI655396 ODD655392:ODE655396 OMZ655392:ONA655396 OWV655392:OWW655396 PGR655392:PGS655396 PQN655392:PQO655396 QAJ655392:QAK655396 QKF655392:QKG655396 QUB655392:QUC655396 RDX655392:RDY655396 RNT655392:RNU655396 RXP655392:RXQ655396 SHL655392:SHM655396 SRH655392:SRI655396 TBD655392:TBE655396 TKZ655392:TLA655396 TUV655392:TUW655396 UER655392:UES655396 UON655392:UOO655396 UYJ655392:UYK655396 VIF655392:VIG655396 VSB655392:VSC655396 WBX655392:WBY655396 WLT655392:WLU655396 WVP655392:WVQ655396 G720928:H720932 JD720928:JE720932 SZ720928:TA720932 ACV720928:ACW720932 AMR720928:AMS720932 AWN720928:AWO720932 BGJ720928:BGK720932 BQF720928:BQG720932 CAB720928:CAC720932 CJX720928:CJY720932 CTT720928:CTU720932 DDP720928:DDQ720932 DNL720928:DNM720932 DXH720928:DXI720932 EHD720928:EHE720932 EQZ720928:ERA720932 FAV720928:FAW720932 FKR720928:FKS720932 FUN720928:FUO720932 GEJ720928:GEK720932 GOF720928:GOG720932 GYB720928:GYC720932 HHX720928:HHY720932 HRT720928:HRU720932 IBP720928:IBQ720932 ILL720928:ILM720932 IVH720928:IVI720932 JFD720928:JFE720932 JOZ720928:JPA720932 JYV720928:JYW720932 KIR720928:KIS720932 KSN720928:KSO720932 LCJ720928:LCK720932 LMF720928:LMG720932 LWB720928:LWC720932 MFX720928:MFY720932 MPT720928:MPU720932 MZP720928:MZQ720932 NJL720928:NJM720932 NTH720928:NTI720932 ODD720928:ODE720932 OMZ720928:ONA720932 OWV720928:OWW720932 PGR720928:PGS720932 PQN720928:PQO720932 QAJ720928:QAK720932 QKF720928:QKG720932 QUB720928:QUC720932 RDX720928:RDY720932 RNT720928:RNU720932 RXP720928:RXQ720932 SHL720928:SHM720932 SRH720928:SRI720932 TBD720928:TBE720932 TKZ720928:TLA720932 TUV720928:TUW720932 UER720928:UES720932 UON720928:UOO720932 UYJ720928:UYK720932 VIF720928:VIG720932 VSB720928:VSC720932 WBX720928:WBY720932 WLT720928:WLU720932 WVP720928:WVQ720932 G786464:H786468 JD786464:JE786468 SZ786464:TA786468 ACV786464:ACW786468 AMR786464:AMS786468 AWN786464:AWO786468 BGJ786464:BGK786468 BQF786464:BQG786468 CAB786464:CAC786468 CJX786464:CJY786468 CTT786464:CTU786468 DDP786464:DDQ786468 DNL786464:DNM786468 DXH786464:DXI786468 EHD786464:EHE786468 EQZ786464:ERA786468 FAV786464:FAW786468 FKR786464:FKS786468 FUN786464:FUO786468 GEJ786464:GEK786468 GOF786464:GOG786468 GYB786464:GYC786468 HHX786464:HHY786468 HRT786464:HRU786468 IBP786464:IBQ786468 ILL786464:ILM786468 IVH786464:IVI786468 JFD786464:JFE786468 JOZ786464:JPA786468 JYV786464:JYW786468 KIR786464:KIS786468 KSN786464:KSO786468 LCJ786464:LCK786468 LMF786464:LMG786468 LWB786464:LWC786468 MFX786464:MFY786468 MPT786464:MPU786468 MZP786464:MZQ786468 NJL786464:NJM786468 NTH786464:NTI786468 ODD786464:ODE786468 OMZ786464:ONA786468 OWV786464:OWW786468 PGR786464:PGS786468 PQN786464:PQO786468 QAJ786464:QAK786468 QKF786464:QKG786468 QUB786464:QUC786468 RDX786464:RDY786468 RNT786464:RNU786468 RXP786464:RXQ786468 SHL786464:SHM786468 SRH786464:SRI786468 TBD786464:TBE786468 TKZ786464:TLA786468 TUV786464:TUW786468 UER786464:UES786468 UON786464:UOO786468 UYJ786464:UYK786468 VIF786464:VIG786468 VSB786464:VSC786468 WBX786464:WBY786468 WLT786464:WLU786468 WVP786464:WVQ786468 G852000:H852004 JD852000:JE852004 SZ852000:TA852004 ACV852000:ACW852004 AMR852000:AMS852004 AWN852000:AWO852004 BGJ852000:BGK852004 BQF852000:BQG852004 CAB852000:CAC852004 CJX852000:CJY852004 CTT852000:CTU852004 DDP852000:DDQ852004 DNL852000:DNM852004 DXH852000:DXI852004 EHD852000:EHE852004 EQZ852000:ERA852004 FAV852000:FAW852004 FKR852000:FKS852004 FUN852000:FUO852004 GEJ852000:GEK852004 GOF852000:GOG852004 GYB852000:GYC852004 HHX852000:HHY852004 HRT852000:HRU852004 IBP852000:IBQ852004 ILL852000:ILM852004 IVH852000:IVI852004 JFD852000:JFE852004 JOZ852000:JPA852004 JYV852000:JYW852004 KIR852000:KIS852004 KSN852000:KSO852004 LCJ852000:LCK852004 LMF852000:LMG852004 LWB852000:LWC852004 MFX852000:MFY852004 MPT852000:MPU852004 MZP852000:MZQ852004 NJL852000:NJM852004 NTH852000:NTI852004 ODD852000:ODE852004 OMZ852000:ONA852004 OWV852000:OWW852004 PGR852000:PGS852004 PQN852000:PQO852004 QAJ852000:QAK852004 QKF852000:QKG852004 QUB852000:QUC852004 RDX852000:RDY852004 RNT852000:RNU852004 RXP852000:RXQ852004 SHL852000:SHM852004 SRH852000:SRI852004 TBD852000:TBE852004 TKZ852000:TLA852004 TUV852000:TUW852004 UER852000:UES852004 UON852000:UOO852004 UYJ852000:UYK852004 VIF852000:VIG852004 VSB852000:VSC852004 WBX852000:WBY852004 WLT852000:WLU852004 WVP852000:WVQ852004 G917536:H917540 JD917536:JE917540 SZ917536:TA917540 ACV917536:ACW917540 AMR917536:AMS917540 AWN917536:AWO917540 BGJ917536:BGK917540 BQF917536:BQG917540 CAB917536:CAC917540 CJX917536:CJY917540 CTT917536:CTU917540 DDP917536:DDQ917540 DNL917536:DNM917540 DXH917536:DXI917540 EHD917536:EHE917540 EQZ917536:ERA917540 FAV917536:FAW917540 FKR917536:FKS917540 FUN917536:FUO917540 GEJ917536:GEK917540 GOF917536:GOG917540 GYB917536:GYC917540 HHX917536:HHY917540 HRT917536:HRU917540 IBP917536:IBQ917540 ILL917536:ILM917540 IVH917536:IVI917540 JFD917536:JFE917540 JOZ917536:JPA917540 JYV917536:JYW917540 KIR917536:KIS917540 KSN917536:KSO917540 LCJ917536:LCK917540 LMF917536:LMG917540 LWB917536:LWC917540 MFX917536:MFY917540 MPT917536:MPU917540 MZP917536:MZQ917540 NJL917536:NJM917540 NTH917536:NTI917540 ODD917536:ODE917540 OMZ917536:ONA917540 OWV917536:OWW917540 PGR917536:PGS917540 PQN917536:PQO917540 QAJ917536:QAK917540 QKF917536:QKG917540 QUB917536:QUC917540 RDX917536:RDY917540 RNT917536:RNU917540 RXP917536:RXQ917540 SHL917536:SHM917540 SRH917536:SRI917540 TBD917536:TBE917540 TKZ917536:TLA917540 TUV917536:TUW917540 UER917536:UES917540 UON917536:UOO917540 UYJ917536:UYK917540 VIF917536:VIG917540 VSB917536:VSC917540 WBX917536:WBY917540 WLT917536:WLU917540 WVP917536:WVQ917540 G983072:H983076 JD983072:JE983076 SZ983072:TA983076 ACV983072:ACW983076 AMR983072:AMS983076 AWN983072:AWO983076 BGJ983072:BGK983076 BQF983072:BQG983076 CAB983072:CAC983076 CJX983072:CJY983076 CTT983072:CTU983076 DDP983072:DDQ983076 DNL983072:DNM983076 DXH983072:DXI983076 EHD983072:EHE983076 EQZ983072:ERA983076 FAV983072:FAW983076 FKR983072:FKS983076 FUN983072:FUO983076 GEJ983072:GEK983076 GOF983072:GOG983076 GYB983072:GYC983076 HHX983072:HHY983076 HRT983072:HRU983076 IBP983072:IBQ983076 ILL983072:ILM983076 IVH983072:IVI983076 JFD983072:JFE983076 JOZ983072:JPA983076 JYV983072:JYW983076 KIR983072:KIS983076 KSN983072:KSO983076 LCJ983072:LCK983076 LMF983072:LMG983076 LWB983072:LWC983076 MFX983072:MFY983076 MPT983072:MPU983076 MZP983072:MZQ983076 NJL983072:NJM983076 NTH983072:NTI983076 ODD983072:ODE983076 OMZ983072:ONA983076 OWV983072:OWW983076 PGR983072:PGS983076 PQN983072:PQO983076 QAJ983072:QAK983076 QKF983072:QKG983076 QUB983072:QUC983076 RDX983072:RDY983076 RNT983072:RNU983076 RXP983072:RXQ983076 SHL983072:SHM983076 SRH983072:SRI983076 TBD983072:TBE983076 TKZ983072:TLA983076 TUV983072:TUW983076 UER983072:UES983076 UON983072:UOO983076 UYJ983072:UYK983076 VIF983072:VIG983076 VSB983072:VSC983076 WBX983072:WBY983076 WLT983072:WLU983076 WVP983072:WVQ983076 VSH983082:VSI983085 JJ40:JK43 TF40:TG43 ADB40:ADC43 AMX40:AMY43 AWT40:AWU43 BGP40:BGQ43 BQL40:BQM43 CAH40:CAI43 CKD40:CKE43 CTZ40:CUA43 DDV40:DDW43 DNR40:DNS43 DXN40:DXO43 EHJ40:EHK43 ERF40:ERG43 FBB40:FBC43 FKX40:FKY43 FUT40:FUU43 GEP40:GEQ43 GOL40:GOM43 GYH40:GYI43 HID40:HIE43 HRZ40:HSA43 IBV40:IBW43 ILR40:ILS43 IVN40:IVO43 JFJ40:JFK43 JPF40:JPG43 JZB40:JZC43 KIX40:KIY43 KST40:KSU43 LCP40:LCQ43 LML40:LMM43 LWH40:LWI43 MGD40:MGE43 MPZ40:MQA43 MZV40:MZW43 NJR40:NJS43 NTN40:NTO43 ODJ40:ODK43 ONF40:ONG43 OXB40:OXC43 PGX40:PGY43 PQT40:PQU43 QAP40:QAQ43 QKL40:QKM43 QUH40:QUI43 RED40:REE43 RNZ40:ROA43 RXV40:RXW43 SHR40:SHS43 SRN40:SRO43 TBJ40:TBK43 TLF40:TLG43 TVB40:TVC43 UEX40:UEY43 UOT40:UOU43 UYP40:UYQ43 VIL40:VIM43 VSH40:VSI43 WCD40:WCE43 WLZ40:WMA43 WVV40:WVW43 M65578:N65581 JJ65578:JK65581 TF65578:TG65581 ADB65578:ADC65581 AMX65578:AMY65581 AWT65578:AWU65581 BGP65578:BGQ65581 BQL65578:BQM65581 CAH65578:CAI65581 CKD65578:CKE65581 CTZ65578:CUA65581 DDV65578:DDW65581 DNR65578:DNS65581 DXN65578:DXO65581 EHJ65578:EHK65581 ERF65578:ERG65581 FBB65578:FBC65581 FKX65578:FKY65581 FUT65578:FUU65581 GEP65578:GEQ65581 GOL65578:GOM65581 GYH65578:GYI65581 HID65578:HIE65581 HRZ65578:HSA65581 IBV65578:IBW65581 ILR65578:ILS65581 IVN65578:IVO65581 JFJ65578:JFK65581 JPF65578:JPG65581 JZB65578:JZC65581 KIX65578:KIY65581 KST65578:KSU65581 LCP65578:LCQ65581 LML65578:LMM65581 LWH65578:LWI65581 MGD65578:MGE65581 MPZ65578:MQA65581 MZV65578:MZW65581 NJR65578:NJS65581 NTN65578:NTO65581 ODJ65578:ODK65581 ONF65578:ONG65581 OXB65578:OXC65581 PGX65578:PGY65581 PQT65578:PQU65581 QAP65578:QAQ65581 QKL65578:QKM65581 QUH65578:QUI65581 RED65578:REE65581 RNZ65578:ROA65581 RXV65578:RXW65581 SHR65578:SHS65581 SRN65578:SRO65581 TBJ65578:TBK65581 TLF65578:TLG65581 TVB65578:TVC65581 UEX65578:UEY65581 UOT65578:UOU65581 UYP65578:UYQ65581 VIL65578:VIM65581 VSH65578:VSI65581 WCD65578:WCE65581 WLZ65578:WMA65581 WVV65578:WVW65581 M131114:N131117 JJ131114:JK131117 TF131114:TG131117 ADB131114:ADC131117 AMX131114:AMY131117 AWT131114:AWU131117 BGP131114:BGQ131117 BQL131114:BQM131117 CAH131114:CAI131117 CKD131114:CKE131117 CTZ131114:CUA131117 DDV131114:DDW131117 DNR131114:DNS131117 DXN131114:DXO131117 EHJ131114:EHK131117 ERF131114:ERG131117 FBB131114:FBC131117 FKX131114:FKY131117 FUT131114:FUU131117 GEP131114:GEQ131117 GOL131114:GOM131117 GYH131114:GYI131117 HID131114:HIE131117 HRZ131114:HSA131117 IBV131114:IBW131117 ILR131114:ILS131117 IVN131114:IVO131117 JFJ131114:JFK131117 JPF131114:JPG131117 JZB131114:JZC131117 KIX131114:KIY131117 KST131114:KSU131117 LCP131114:LCQ131117 LML131114:LMM131117 LWH131114:LWI131117 MGD131114:MGE131117 MPZ131114:MQA131117 MZV131114:MZW131117 NJR131114:NJS131117 NTN131114:NTO131117 ODJ131114:ODK131117 ONF131114:ONG131117 OXB131114:OXC131117 PGX131114:PGY131117 PQT131114:PQU131117 QAP131114:QAQ131117 QKL131114:QKM131117 QUH131114:QUI131117 RED131114:REE131117 RNZ131114:ROA131117 RXV131114:RXW131117 SHR131114:SHS131117 SRN131114:SRO131117 TBJ131114:TBK131117 TLF131114:TLG131117 TVB131114:TVC131117 UEX131114:UEY131117 UOT131114:UOU131117 UYP131114:UYQ131117 VIL131114:VIM131117 VSH131114:VSI131117 WCD131114:WCE131117 WLZ131114:WMA131117 WVV131114:WVW131117 M196650:N196653 JJ196650:JK196653 TF196650:TG196653 ADB196650:ADC196653 AMX196650:AMY196653 AWT196650:AWU196653 BGP196650:BGQ196653 BQL196650:BQM196653 CAH196650:CAI196653 CKD196650:CKE196653 CTZ196650:CUA196653 DDV196650:DDW196653 DNR196650:DNS196653 DXN196650:DXO196653 EHJ196650:EHK196653 ERF196650:ERG196653 FBB196650:FBC196653 FKX196650:FKY196653 FUT196650:FUU196653 GEP196650:GEQ196653 GOL196650:GOM196653 GYH196650:GYI196653 HID196650:HIE196653 HRZ196650:HSA196653 IBV196650:IBW196653 ILR196650:ILS196653 IVN196650:IVO196653 JFJ196650:JFK196653 JPF196650:JPG196653 JZB196650:JZC196653 KIX196650:KIY196653 KST196650:KSU196653 LCP196650:LCQ196653 LML196650:LMM196653 LWH196650:LWI196653 MGD196650:MGE196653 MPZ196650:MQA196653 MZV196650:MZW196653 NJR196650:NJS196653 NTN196650:NTO196653 ODJ196650:ODK196653 ONF196650:ONG196653 OXB196650:OXC196653 PGX196650:PGY196653 PQT196650:PQU196653 QAP196650:QAQ196653 QKL196650:QKM196653 QUH196650:QUI196653 RED196650:REE196653 RNZ196650:ROA196653 RXV196650:RXW196653 SHR196650:SHS196653 SRN196650:SRO196653 TBJ196650:TBK196653 TLF196650:TLG196653 TVB196650:TVC196653 UEX196650:UEY196653 UOT196650:UOU196653 UYP196650:UYQ196653 VIL196650:VIM196653 VSH196650:VSI196653 WCD196650:WCE196653 WLZ196650:WMA196653 WVV196650:WVW196653 M262186:N262189 JJ262186:JK262189 TF262186:TG262189 ADB262186:ADC262189 AMX262186:AMY262189 AWT262186:AWU262189 BGP262186:BGQ262189 BQL262186:BQM262189 CAH262186:CAI262189 CKD262186:CKE262189 CTZ262186:CUA262189 DDV262186:DDW262189 DNR262186:DNS262189 DXN262186:DXO262189 EHJ262186:EHK262189 ERF262186:ERG262189 FBB262186:FBC262189 FKX262186:FKY262189 FUT262186:FUU262189 GEP262186:GEQ262189 GOL262186:GOM262189 GYH262186:GYI262189 HID262186:HIE262189 HRZ262186:HSA262189 IBV262186:IBW262189 ILR262186:ILS262189 IVN262186:IVO262189 JFJ262186:JFK262189 JPF262186:JPG262189 JZB262186:JZC262189 KIX262186:KIY262189 KST262186:KSU262189 LCP262186:LCQ262189 LML262186:LMM262189 LWH262186:LWI262189 MGD262186:MGE262189 MPZ262186:MQA262189 MZV262186:MZW262189 NJR262186:NJS262189 NTN262186:NTO262189 ODJ262186:ODK262189 ONF262186:ONG262189 OXB262186:OXC262189 PGX262186:PGY262189 PQT262186:PQU262189 QAP262186:QAQ262189 QKL262186:QKM262189 QUH262186:QUI262189 RED262186:REE262189 RNZ262186:ROA262189 RXV262186:RXW262189 SHR262186:SHS262189 SRN262186:SRO262189 TBJ262186:TBK262189 TLF262186:TLG262189 TVB262186:TVC262189 UEX262186:UEY262189 UOT262186:UOU262189 UYP262186:UYQ262189 VIL262186:VIM262189 VSH262186:VSI262189 WCD262186:WCE262189 WLZ262186:WMA262189 WVV262186:WVW262189 M327722:N327725 JJ327722:JK327725 TF327722:TG327725 ADB327722:ADC327725 AMX327722:AMY327725 AWT327722:AWU327725 BGP327722:BGQ327725 BQL327722:BQM327725 CAH327722:CAI327725 CKD327722:CKE327725 CTZ327722:CUA327725 DDV327722:DDW327725 DNR327722:DNS327725 DXN327722:DXO327725 EHJ327722:EHK327725 ERF327722:ERG327725 FBB327722:FBC327725 FKX327722:FKY327725 FUT327722:FUU327725 GEP327722:GEQ327725 GOL327722:GOM327725 GYH327722:GYI327725 HID327722:HIE327725 HRZ327722:HSA327725 IBV327722:IBW327725 ILR327722:ILS327725 IVN327722:IVO327725 JFJ327722:JFK327725 JPF327722:JPG327725 JZB327722:JZC327725 KIX327722:KIY327725 KST327722:KSU327725 LCP327722:LCQ327725 LML327722:LMM327725 LWH327722:LWI327725 MGD327722:MGE327725 MPZ327722:MQA327725 MZV327722:MZW327725 NJR327722:NJS327725 NTN327722:NTO327725 ODJ327722:ODK327725 ONF327722:ONG327725 OXB327722:OXC327725 PGX327722:PGY327725 PQT327722:PQU327725 QAP327722:QAQ327725 QKL327722:QKM327725 QUH327722:QUI327725 RED327722:REE327725 RNZ327722:ROA327725 RXV327722:RXW327725 SHR327722:SHS327725 SRN327722:SRO327725 TBJ327722:TBK327725 TLF327722:TLG327725 TVB327722:TVC327725 UEX327722:UEY327725 UOT327722:UOU327725 UYP327722:UYQ327725 VIL327722:VIM327725 VSH327722:VSI327725 WCD327722:WCE327725 WLZ327722:WMA327725 WVV327722:WVW327725 M393258:N393261 JJ393258:JK393261 TF393258:TG393261 ADB393258:ADC393261 AMX393258:AMY393261 AWT393258:AWU393261 BGP393258:BGQ393261 BQL393258:BQM393261 CAH393258:CAI393261 CKD393258:CKE393261 CTZ393258:CUA393261 DDV393258:DDW393261 DNR393258:DNS393261 DXN393258:DXO393261 EHJ393258:EHK393261 ERF393258:ERG393261 FBB393258:FBC393261 FKX393258:FKY393261 FUT393258:FUU393261 GEP393258:GEQ393261 GOL393258:GOM393261 GYH393258:GYI393261 HID393258:HIE393261 HRZ393258:HSA393261 IBV393258:IBW393261 ILR393258:ILS393261 IVN393258:IVO393261 JFJ393258:JFK393261 JPF393258:JPG393261 JZB393258:JZC393261 KIX393258:KIY393261 KST393258:KSU393261 LCP393258:LCQ393261 LML393258:LMM393261 LWH393258:LWI393261 MGD393258:MGE393261 MPZ393258:MQA393261 MZV393258:MZW393261 NJR393258:NJS393261 NTN393258:NTO393261 ODJ393258:ODK393261 ONF393258:ONG393261 OXB393258:OXC393261 PGX393258:PGY393261 PQT393258:PQU393261 QAP393258:QAQ393261 QKL393258:QKM393261 QUH393258:QUI393261 RED393258:REE393261 RNZ393258:ROA393261 RXV393258:RXW393261 SHR393258:SHS393261 SRN393258:SRO393261 TBJ393258:TBK393261 TLF393258:TLG393261 TVB393258:TVC393261 UEX393258:UEY393261 UOT393258:UOU393261 UYP393258:UYQ393261 VIL393258:VIM393261 VSH393258:VSI393261 WCD393258:WCE393261 WLZ393258:WMA393261 WVV393258:WVW393261 M458794:N458797 JJ458794:JK458797 TF458794:TG458797 ADB458794:ADC458797 AMX458794:AMY458797 AWT458794:AWU458797 BGP458794:BGQ458797 BQL458794:BQM458797 CAH458794:CAI458797 CKD458794:CKE458797 CTZ458794:CUA458797 DDV458794:DDW458797 DNR458794:DNS458797 DXN458794:DXO458797 EHJ458794:EHK458797 ERF458794:ERG458797 FBB458794:FBC458797 FKX458794:FKY458797 FUT458794:FUU458797 GEP458794:GEQ458797 GOL458794:GOM458797 GYH458794:GYI458797 HID458794:HIE458797 HRZ458794:HSA458797 IBV458794:IBW458797 ILR458794:ILS458797 IVN458794:IVO458797 JFJ458794:JFK458797 JPF458794:JPG458797 JZB458794:JZC458797 KIX458794:KIY458797 KST458794:KSU458797 LCP458794:LCQ458797 LML458794:LMM458797 LWH458794:LWI458797 MGD458794:MGE458797 MPZ458794:MQA458797 MZV458794:MZW458797 NJR458794:NJS458797 NTN458794:NTO458797 ODJ458794:ODK458797 ONF458794:ONG458797 OXB458794:OXC458797 PGX458794:PGY458797 PQT458794:PQU458797 QAP458794:QAQ458797 QKL458794:QKM458797 QUH458794:QUI458797 RED458794:REE458797 RNZ458794:ROA458797 RXV458794:RXW458797 SHR458794:SHS458797 SRN458794:SRO458797 TBJ458794:TBK458797 TLF458794:TLG458797 TVB458794:TVC458797 UEX458794:UEY458797 UOT458794:UOU458797 UYP458794:UYQ458797 VIL458794:VIM458797 VSH458794:VSI458797 WCD458794:WCE458797 WLZ458794:WMA458797 WVV458794:WVW458797 M524330:N524333 JJ524330:JK524333 TF524330:TG524333 ADB524330:ADC524333 AMX524330:AMY524333 AWT524330:AWU524333 BGP524330:BGQ524333 BQL524330:BQM524333 CAH524330:CAI524333 CKD524330:CKE524333 CTZ524330:CUA524333 DDV524330:DDW524333 DNR524330:DNS524333 DXN524330:DXO524333 EHJ524330:EHK524333 ERF524330:ERG524333 FBB524330:FBC524333 FKX524330:FKY524333 FUT524330:FUU524333 GEP524330:GEQ524333 GOL524330:GOM524333 GYH524330:GYI524333 HID524330:HIE524333 HRZ524330:HSA524333 IBV524330:IBW524333 ILR524330:ILS524333 IVN524330:IVO524333 JFJ524330:JFK524333 JPF524330:JPG524333 JZB524330:JZC524333 KIX524330:KIY524333 KST524330:KSU524333 LCP524330:LCQ524333 LML524330:LMM524333 LWH524330:LWI524333 MGD524330:MGE524333 MPZ524330:MQA524333 MZV524330:MZW524333 NJR524330:NJS524333 NTN524330:NTO524333 ODJ524330:ODK524333 ONF524330:ONG524333 OXB524330:OXC524333 PGX524330:PGY524333 PQT524330:PQU524333 QAP524330:QAQ524333 QKL524330:QKM524333 QUH524330:QUI524333 RED524330:REE524333 RNZ524330:ROA524333 RXV524330:RXW524333 SHR524330:SHS524333 SRN524330:SRO524333 TBJ524330:TBK524333 TLF524330:TLG524333 TVB524330:TVC524333 UEX524330:UEY524333 UOT524330:UOU524333 UYP524330:UYQ524333 VIL524330:VIM524333 VSH524330:VSI524333 WCD524330:WCE524333 WLZ524330:WMA524333 WVV524330:WVW524333 M589866:N589869 JJ589866:JK589869 TF589866:TG589869 ADB589866:ADC589869 AMX589866:AMY589869 AWT589866:AWU589869 BGP589866:BGQ589869 BQL589866:BQM589869 CAH589866:CAI589869 CKD589866:CKE589869 CTZ589866:CUA589869 DDV589866:DDW589869 DNR589866:DNS589869 DXN589866:DXO589869 EHJ589866:EHK589869 ERF589866:ERG589869 FBB589866:FBC589869 FKX589866:FKY589869 FUT589866:FUU589869 GEP589866:GEQ589869 GOL589866:GOM589869 GYH589866:GYI589869 HID589866:HIE589869 HRZ589866:HSA589869 IBV589866:IBW589869 ILR589866:ILS589869 IVN589866:IVO589869 JFJ589866:JFK589869 JPF589866:JPG589869 JZB589866:JZC589869 KIX589866:KIY589869 KST589866:KSU589869 LCP589866:LCQ589869 LML589866:LMM589869 LWH589866:LWI589869 MGD589866:MGE589869 MPZ589866:MQA589869 MZV589866:MZW589869 NJR589866:NJS589869 NTN589866:NTO589869 ODJ589866:ODK589869 ONF589866:ONG589869 OXB589866:OXC589869 PGX589866:PGY589869 PQT589866:PQU589869 QAP589866:QAQ589869 QKL589866:QKM589869 QUH589866:QUI589869 RED589866:REE589869 RNZ589866:ROA589869 RXV589866:RXW589869 SHR589866:SHS589869 SRN589866:SRO589869 TBJ589866:TBK589869 TLF589866:TLG589869 TVB589866:TVC589869 UEX589866:UEY589869 UOT589866:UOU589869 UYP589866:UYQ589869 VIL589866:VIM589869 VSH589866:VSI589869 WCD589866:WCE589869 WLZ589866:WMA589869 WVV589866:WVW589869 M655402:N655405 JJ655402:JK655405 TF655402:TG655405 ADB655402:ADC655405 AMX655402:AMY655405 AWT655402:AWU655405 BGP655402:BGQ655405 BQL655402:BQM655405 CAH655402:CAI655405 CKD655402:CKE655405 CTZ655402:CUA655405 DDV655402:DDW655405 DNR655402:DNS655405 DXN655402:DXO655405 EHJ655402:EHK655405 ERF655402:ERG655405 FBB655402:FBC655405 FKX655402:FKY655405 FUT655402:FUU655405 GEP655402:GEQ655405 GOL655402:GOM655405 GYH655402:GYI655405 HID655402:HIE655405 HRZ655402:HSA655405 IBV655402:IBW655405 ILR655402:ILS655405 IVN655402:IVO655405 JFJ655402:JFK655405 JPF655402:JPG655405 JZB655402:JZC655405 KIX655402:KIY655405 KST655402:KSU655405 LCP655402:LCQ655405 LML655402:LMM655405 LWH655402:LWI655405 MGD655402:MGE655405 MPZ655402:MQA655405 MZV655402:MZW655405 NJR655402:NJS655405 NTN655402:NTO655405 ODJ655402:ODK655405 ONF655402:ONG655405 OXB655402:OXC655405 PGX655402:PGY655405 PQT655402:PQU655405 QAP655402:QAQ655405 QKL655402:QKM655405 QUH655402:QUI655405 RED655402:REE655405 RNZ655402:ROA655405 RXV655402:RXW655405 SHR655402:SHS655405 SRN655402:SRO655405 TBJ655402:TBK655405 TLF655402:TLG655405 TVB655402:TVC655405 UEX655402:UEY655405 UOT655402:UOU655405 UYP655402:UYQ655405 VIL655402:VIM655405 VSH655402:VSI655405 WCD655402:WCE655405 WLZ655402:WMA655405 WVV655402:WVW655405 M720938:N720941 JJ720938:JK720941 TF720938:TG720941 ADB720938:ADC720941 AMX720938:AMY720941 AWT720938:AWU720941 BGP720938:BGQ720941 BQL720938:BQM720941 CAH720938:CAI720941 CKD720938:CKE720941 CTZ720938:CUA720941 DDV720938:DDW720941 DNR720938:DNS720941 DXN720938:DXO720941 EHJ720938:EHK720941 ERF720938:ERG720941 FBB720938:FBC720941 FKX720938:FKY720941 FUT720938:FUU720941 GEP720938:GEQ720941 GOL720938:GOM720941 GYH720938:GYI720941 HID720938:HIE720941 HRZ720938:HSA720941 IBV720938:IBW720941 ILR720938:ILS720941 IVN720938:IVO720941 JFJ720938:JFK720941 JPF720938:JPG720941 JZB720938:JZC720941 KIX720938:KIY720941 KST720938:KSU720941 LCP720938:LCQ720941 LML720938:LMM720941 LWH720938:LWI720941 MGD720938:MGE720941 MPZ720938:MQA720941 MZV720938:MZW720941 NJR720938:NJS720941 NTN720938:NTO720941 ODJ720938:ODK720941 ONF720938:ONG720941 OXB720938:OXC720941 PGX720938:PGY720941 PQT720938:PQU720941 QAP720938:QAQ720941 QKL720938:QKM720941 QUH720938:QUI720941 RED720938:REE720941 RNZ720938:ROA720941 RXV720938:RXW720941 SHR720938:SHS720941 SRN720938:SRO720941 TBJ720938:TBK720941 TLF720938:TLG720941 TVB720938:TVC720941 UEX720938:UEY720941 UOT720938:UOU720941 UYP720938:UYQ720941 VIL720938:VIM720941 VSH720938:VSI720941 WCD720938:WCE720941 WLZ720938:WMA720941 WVV720938:WVW720941 M786474:N786477 JJ786474:JK786477 TF786474:TG786477 ADB786474:ADC786477 AMX786474:AMY786477 AWT786474:AWU786477 BGP786474:BGQ786477 BQL786474:BQM786477 CAH786474:CAI786477 CKD786474:CKE786477 CTZ786474:CUA786477 DDV786474:DDW786477 DNR786474:DNS786477 DXN786474:DXO786477 EHJ786474:EHK786477 ERF786474:ERG786477 FBB786474:FBC786477 FKX786474:FKY786477 FUT786474:FUU786477 GEP786474:GEQ786477 GOL786474:GOM786477 GYH786474:GYI786477 HID786474:HIE786477 HRZ786474:HSA786477 IBV786474:IBW786477 ILR786474:ILS786477 IVN786474:IVO786477 JFJ786474:JFK786477 JPF786474:JPG786477 JZB786474:JZC786477 KIX786474:KIY786477 KST786474:KSU786477 LCP786474:LCQ786477 LML786474:LMM786477 LWH786474:LWI786477 MGD786474:MGE786477 MPZ786474:MQA786477 MZV786474:MZW786477 NJR786474:NJS786477 NTN786474:NTO786477 ODJ786474:ODK786477 ONF786474:ONG786477 OXB786474:OXC786477 PGX786474:PGY786477 PQT786474:PQU786477 QAP786474:QAQ786477 QKL786474:QKM786477 QUH786474:QUI786477 RED786474:REE786477 RNZ786474:ROA786477 RXV786474:RXW786477 SHR786474:SHS786477 SRN786474:SRO786477 TBJ786474:TBK786477 TLF786474:TLG786477 TVB786474:TVC786477 UEX786474:UEY786477 UOT786474:UOU786477 UYP786474:UYQ786477 VIL786474:VIM786477 VSH786474:VSI786477 WCD786474:WCE786477 WLZ786474:WMA786477 WVV786474:WVW786477 M852010:N852013 JJ852010:JK852013 TF852010:TG852013 ADB852010:ADC852013 AMX852010:AMY852013 AWT852010:AWU852013 BGP852010:BGQ852013 BQL852010:BQM852013 CAH852010:CAI852013 CKD852010:CKE852013 CTZ852010:CUA852013 DDV852010:DDW852013 DNR852010:DNS852013 DXN852010:DXO852013 EHJ852010:EHK852013 ERF852010:ERG852013 FBB852010:FBC852013 FKX852010:FKY852013 FUT852010:FUU852013 GEP852010:GEQ852013 GOL852010:GOM852013 GYH852010:GYI852013 HID852010:HIE852013 HRZ852010:HSA852013 IBV852010:IBW852013 ILR852010:ILS852013 IVN852010:IVO852013 JFJ852010:JFK852013 JPF852010:JPG852013 JZB852010:JZC852013 KIX852010:KIY852013 KST852010:KSU852013 LCP852010:LCQ852013 LML852010:LMM852013 LWH852010:LWI852013 MGD852010:MGE852013 MPZ852010:MQA852013 MZV852010:MZW852013 NJR852010:NJS852013 NTN852010:NTO852013 ODJ852010:ODK852013 ONF852010:ONG852013 OXB852010:OXC852013 PGX852010:PGY852013 PQT852010:PQU852013 QAP852010:QAQ852013 QKL852010:QKM852013 QUH852010:QUI852013 RED852010:REE852013 RNZ852010:ROA852013 RXV852010:RXW852013 SHR852010:SHS852013 SRN852010:SRO852013 TBJ852010:TBK852013 TLF852010:TLG852013 TVB852010:TVC852013 UEX852010:UEY852013 UOT852010:UOU852013 UYP852010:UYQ852013 VIL852010:VIM852013 VSH852010:VSI852013 WCD852010:WCE852013 WLZ852010:WMA852013 WVV852010:WVW852013 M917546:N917549 JJ917546:JK917549 TF917546:TG917549 ADB917546:ADC917549 AMX917546:AMY917549 AWT917546:AWU917549 BGP917546:BGQ917549 BQL917546:BQM917549 CAH917546:CAI917549 CKD917546:CKE917549 CTZ917546:CUA917549 DDV917546:DDW917549 DNR917546:DNS917549 DXN917546:DXO917549 EHJ917546:EHK917549 ERF917546:ERG917549 FBB917546:FBC917549 FKX917546:FKY917549 FUT917546:FUU917549 GEP917546:GEQ917549 GOL917546:GOM917549 GYH917546:GYI917549 HID917546:HIE917549 HRZ917546:HSA917549 IBV917546:IBW917549 ILR917546:ILS917549 IVN917546:IVO917549 JFJ917546:JFK917549 JPF917546:JPG917549 JZB917546:JZC917549 KIX917546:KIY917549 KST917546:KSU917549 LCP917546:LCQ917549 LML917546:LMM917549 LWH917546:LWI917549 MGD917546:MGE917549 MPZ917546:MQA917549 MZV917546:MZW917549 NJR917546:NJS917549 NTN917546:NTO917549 ODJ917546:ODK917549 ONF917546:ONG917549 OXB917546:OXC917549 PGX917546:PGY917549 PQT917546:PQU917549 QAP917546:QAQ917549 QKL917546:QKM917549 QUH917546:QUI917549 RED917546:REE917549 RNZ917546:ROA917549 RXV917546:RXW917549 SHR917546:SHS917549 SRN917546:SRO917549 TBJ917546:TBK917549 TLF917546:TLG917549 TVB917546:TVC917549 UEX917546:UEY917549 UOT917546:UOU917549 UYP917546:UYQ917549 VIL917546:VIM917549 VSH917546:VSI917549 WCD917546:WCE917549 WLZ917546:WMA917549 WVV917546:WVW917549 M983082:N983085 JJ983082:JK983085 TF983082:TG983085 ADB983082:ADC983085 AMX983082:AMY983085 AWT983082:AWU983085 BGP983082:BGQ983085 BQL983082:BQM983085 CAH983082:CAI983085 CKD983082:CKE983085 CTZ983082:CUA983085 DDV983082:DDW983085 DNR983082:DNS983085 DXN983082:DXO983085 EHJ983082:EHK983085 ERF983082:ERG983085 FBB983082:FBC983085 FKX983082:FKY983085 FUT983082:FUU983085 GEP983082:GEQ983085 GOL983082:GOM983085 GYH983082:GYI983085 HID983082:HIE983085 HRZ983082:HSA983085 IBV983082:IBW983085 ILR983082:ILS983085 IVN983082:IVO983085 JFJ983082:JFK983085 JPF983082:JPG983085 JZB983082:JZC983085 KIX983082:KIY983085 KST983082:KSU983085 LCP983082:LCQ983085 LML983082:LMM983085 LWH983082:LWI983085 MGD983082:MGE983085 MPZ983082:MQA983085 MZV983082:MZW983085 NJR983082:NJS983085 NTN983082:NTO983085 ODJ983082:ODK983085 ONF983082:ONG983085 OXB983082:OXC983085 PGX983082:PGY983085 PQT983082:PQU983085 QAP983082:QAQ983085 QKL983082:QKM983085 QUH983082:QUI983085 RED983082:REE983085 RNZ983082:ROA983085 RXV983082:RXW983085 SHR983082:SHS983085 SRN983082:SRO983085 TBJ983082:TBK983085</xm:sqref>
        </x14:dataValidation>
      </x14:dataValidations>
    </ext>
  </extLst>
</worksheet>
</file>

<file path=xl/worksheets/sheet19.xml><?xml version="1.0" encoding="utf-8"?>
<worksheet xmlns="http://schemas.openxmlformats.org/spreadsheetml/2006/main" xmlns:r="http://schemas.openxmlformats.org/officeDocument/2006/relationships">
  <sheetPr codeName="Sheet23">
    <pageSetUpPr autoPageBreaks="0"/>
  </sheetPr>
  <dimension ref="A1:BY181"/>
  <sheetViews>
    <sheetView showGridLines="0" zoomScaleNormal="100" zoomScaleSheetLayoutView="100" workbookViewId="0">
      <selection activeCell="E7" sqref="E7"/>
    </sheetView>
  </sheetViews>
  <sheetFormatPr defaultColWidth="0" defaultRowHeight="13.5" zeroHeight="1"/>
  <cols>
    <col min="1" max="1" width="2.25" customWidth="1"/>
    <col min="2" max="2" width="5.625" style="1548" customWidth="1"/>
    <col min="3" max="3" width="24.875" style="1549" customWidth="1"/>
    <col min="4" max="4" width="9" style="1694" customWidth="1"/>
    <col min="5" max="5" width="9" style="1550" customWidth="1"/>
    <col min="6" max="6" width="1.625" customWidth="1"/>
    <col min="7" max="12" width="9" style="1550" customWidth="1"/>
    <col min="13" max="13" width="2" customWidth="1"/>
    <col min="14" max="15" width="9" style="1694" customWidth="1"/>
    <col min="16" max="19" width="9" style="1550" customWidth="1"/>
    <col min="20" max="20" width="1.875" style="1550" customWidth="1"/>
    <col min="21" max="22" width="9" style="1550" customWidth="1"/>
    <col min="23" max="23" width="1.5" style="1550" customWidth="1"/>
    <col min="24" max="25" width="9" style="1550" customWidth="1"/>
    <col min="26" max="26" width="1.5" style="1551" customWidth="1"/>
    <col min="27" max="27" width="6.625" style="1552" customWidth="1"/>
    <col min="28" max="28" width="7.125" style="1552" hidden="1" customWidth="1"/>
    <col min="29" max="29" width="24.875" style="1553" customWidth="1"/>
    <col min="30" max="42" width="6.625" style="1554" customWidth="1"/>
    <col min="43" max="43" width="1.625" style="1555" customWidth="1"/>
    <col min="44" max="45" width="6.625" style="1556" hidden="1" customWidth="1"/>
    <col min="46" max="46" width="24.875" style="1556" hidden="1" customWidth="1"/>
    <col min="47" max="59" width="6.625" style="1556" hidden="1" customWidth="1"/>
    <col min="60" max="60" width="1.375" hidden="1" customWidth="1"/>
    <col min="61" max="62" width="6.625" style="1556" hidden="1" customWidth="1"/>
    <col min="63" max="63" width="24.875" style="1556" hidden="1" customWidth="1"/>
    <col min="64" max="76" width="6.625" style="1556" hidden="1" customWidth="1"/>
    <col min="77" max="77" width="0" hidden="1" customWidth="1"/>
    <col min="78" max="16384" width="1.375" style="1556" hidden="1"/>
  </cols>
  <sheetData>
    <row r="1" spans="1:77">
      <c r="AR1" s="1745"/>
      <c r="AS1" s="1745"/>
      <c r="AT1" s="1745"/>
      <c r="AU1" s="1745"/>
      <c r="AV1" s="1745"/>
      <c r="AW1" s="1745"/>
      <c r="AX1" s="1745"/>
      <c r="AY1" s="1745"/>
      <c r="AZ1" s="1745"/>
      <c r="BA1" s="1745"/>
      <c r="BB1" s="1745"/>
      <c r="BC1" s="1745"/>
      <c r="BD1" s="1745"/>
      <c r="BE1" s="1745"/>
      <c r="BF1" s="1745"/>
      <c r="BG1" s="1745"/>
      <c r="BI1" s="1745"/>
      <c r="BJ1" s="1745"/>
      <c r="BK1" s="1745"/>
      <c r="BL1" s="1745"/>
      <c r="BM1" s="1745"/>
      <c r="BN1" s="1745"/>
      <c r="BO1" s="1745"/>
      <c r="BP1" s="1745"/>
      <c r="BQ1" s="1745"/>
      <c r="BR1" s="1745"/>
      <c r="BS1" s="1745"/>
      <c r="BT1" s="1745"/>
      <c r="BU1" s="1745"/>
      <c r="BV1" s="1745"/>
      <c r="BW1" s="1745"/>
      <c r="BX1" s="1745"/>
    </row>
    <row r="2" spans="1:77" s="1565" customFormat="1" ht="17.25">
      <c r="A2"/>
      <c r="B2" s="1695" t="s">
        <v>256</v>
      </c>
      <c r="C2" s="1557"/>
      <c r="D2" s="1696"/>
      <c r="E2" s="1558"/>
      <c r="F2"/>
      <c r="G2" s="1697"/>
      <c r="H2" s="1697"/>
      <c r="I2" s="1558"/>
      <c r="J2" s="1558"/>
      <c r="K2" s="1558"/>
      <c r="L2" s="1558"/>
      <c r="M2"/>
      <c r="N2" s="1696"/>
      <c r="O2" s="1696"/>
      <c r="P2" s="1697"/>
      <c r="Q2" s="1697"/>
      <c r="R2" s="1558"/>
      <c r="S2" s="1558"/>
      <c r="T2" s="1558"/>
      <c r="U2" s="1558"/>
      <c r="V2" s="1558"/>
      <c r="W2" s="1558"/>
      <c r="X2" s="1558"/>
      <c r="Y2" s="1558"/>
      <c r="Z2" s="1559"/>
      <c r="AA2" s="1560" t="s">
        <v>394</v>
      </c>
      <c r="AB2" s="1561"/>
      <c r="AC2" s="1562"/>
      <c r="AD2" s="1562"/>
      <c r="AE2" s="1563"/>
      <c r="AF2" s="1563"/>
      <c r="AG2" s="1563"/>
      <c r="AH2" s="1563"/>
      <c r="AI2" s="1563"/>
      <c r="AJ2" s="1563"/>
      <c r="AK2" s="1563"/>
      <c r="AL2" s="1563"/>
      <c r="AM2" s="1563"/>
      <c r="AN2" s="1563"/>
      <c r="AO2" s="1563"/>
      <c r="AP2" s="1563"/>
      <c r="AQ2" s="1564"/>
      <c r="AR2" s="1562"/>
      <c r="AS2" s="1562"/>
      <c r="AT2" s="1562"/>
      <c r="AU2" s="1562"/>
      <c r="AV2" s="1562"/>
      <c r="AW2" s="1562"/>
      <c r="AX2" s="1562"/>
      <c r="AY2" s="1562"/>
      <c r="AZ2" s="1562"/>
      <c r="BA2" s="1562"/>
      <c r="BB2" s="1562"/>
      <c r="BC2" s="1562"/>
      <c r="BD2" s="1562"/>
      <c r="BE2" s="1562"/>
      <c r="BF2" s="1562"/>
      <c r="BG2" s="1562"/>
      <c r="BH2"/>
      <c r="BI2" s="1562"/>
      <c r="BJ2" s="1562"/>
      <c r="BK2" s="1562"/>
      <c r="BL2" s="1562"/>
      <c r="BM2" s="1562"/>
      <c r="BN2" s="1562"/>
      <c r="BO2" s="1562"/>
      <c r="BP2" s="1562"/>
      <c r="BQ2" s="1562"/>
      <c r="BR2" s="1562"/>
      <c r="BS2" s="1562"/>
      <c r="BT2" s="1562"/>
      <c r="BU2" s="1562"/>
      <c r="BV2" s="1562"/>
      <c r="BW2" s="1562"/>
      <c r="BX2" s="1562"/>
      <c r="BY2"/>
    </row>
    <row r="3" spans="1:77" s="1565" customFormat="1" ht="17.25">
      <c r="A3"/>
      <c r="B3" s="1695"/>
      <c r="C3" s="1557"/>
      <c r="D3" s="1696"/>
      <c r="E3" s="1558"/>
      <c r="F3"/>
      <c r="G3" s="1697"/>
      <c r="H3" s="1697"/>
      <c r="I3" s="1558"/>
      <c r="J3" s="1558"/>
      <c r="K3" s="1558"/>
      <c r="L3" s="1558"/>
      <c r="M3"/>
      <c r="N3" s="1696"/>
      <c r="O3" s="1696"/>
      <c r="P3" s="1697"/>
      <c r="Q3" s="1697"/>
      <c r="R3" s="1558"/>
      <c r="S3" s="1558"/>
      <c r="T3" s="1558"/>
      <c r="U3" s="1558"/>
      <c r="V3" s="1558"/>
      <c r="X3" s="1558"/>
      <c r="Y3" s="1558"/>
      <c r="Z3" s="1559"/>
      <c r="AA3" s="1746">
        <v>2</v>
      </c>
      <c r="AB3" s="1562"/>
      <c r="AC3" s="1994" t="s">
        <v>806</v>
      </c>
      <c r="AD3" s="1995">
        <v>2</v>
      </c>
      <c r="AE3" s="1563"/>
      <c r="AF3" s="1563"/>
      <c r="AG3" s="1563"/>
      <c r="AH3" s="1563"/>
      <c r="AI3" s="1563"/>
      <c r="AJ3" s="1563"/>
      <c r="AK3" s="1563"/>
      <c r="AL3" s="1563"/>
      <c r="AM3" s="1563"/>
      <c r="AN3" s="1563"/>
      <c r="AO3" s="1563"/>
      <c r="AP3" s="1563"/>
      <c r="AQ3" s="1564"/>
      <c r="AR3" s="1561" t="s">
        <v>395</v>
      </c>
      <c r="AS3" s="1562"/>
      <c r="AT3" s="1566"/>
      <c r="AU3" s="1563"/>
      <c r="AV3" s="1563"/>
      <c r="AW3" s="1563"/>
      <c r="AX3" s="1563"/>
      <c r="AY3" s="1563"/>
      <c r="AZ3" s="1563"/>
      <c r="BA3" s="1563"/>
      <c r="BB3" s="1563"/>
      <c r="BC3" s="1563"/>
      <c r="BD3" s="1563"/>
      <c r="BE3" s="1563"/>
      <c r="BF3" s="1563"/>
      <c r="BG3" s="1563"/>
      <c r="BH3"/>
      <c r="BI3" s="1561" t="s">
        <v>396</v>
      </c>
      <c r="BJ3" s="1562"/>
      <c r="BK3" s="1566"/>
      <c r="BL3" s="1563"/>
      <c r="BM3" s="1563"/>
      <c r="BN3" s="1563"/>
      <c r="BO3" s="1563"/>
      <c r="BP3" s="1563"/>
      <c r="BQ3" s="1563"/>
      <c r="BR3" s="1563"/>
      <c r="BS3" s="1563"/>
      <c r="BT3" s="1563"/>
      <c r="BU3" s="1563"/>
      <c r="BV3" s="1563"/>
      <c r="BW3" s="1563"/>
      <c r="BX3" s="1563"/>
      <c r="BY3"/>
    </row>
    <row r="4" spans="1:77" s="1565" customFormat="1" ht="4.5" customHeight="1">
      <c r="A4"/>
      <c r="B4" s="1695"/>
      <c r="C4" s="1557"/>
      <c r="D4" s="1696"/>
      <c r="E4" s="1558"/>
      <c r="F4"/>
      <c r="G4" s="1697"/>
      <c r="H4" s="1697"/>
      <c r="I4" s="1558"/>
      <c r="J4" s="1558"/>
      <c r="K4" s="1558"/>
      <c r="L4" s="1558"/>
      <c r="M4"/>
      <c r="N4" s="1696"/>
      <c r="O4" s="1696"/>
      <c r="P4" s="1697"/>
      <c r="Q4" s="1697"/>
      <c r="R4" s="1558"/>
      <c r="S4" s="1558"/>
      <c r="T4" s="1558"/>
      <c r="U4" s="1558"/>
      <c r="V4" s="1558"/>
      <c r="W4" s="1558"/>
      <c r="X4" s="1558"/>
      <c r="Y4" s="1558"/>
      <c r="Z4" s="1559"/>
      <c r="AA4" s="1561"/>
      <c r="AB4" s="1561"/>
      <c r="AC4" s="1566"/>
      <c r="AD4" s="1563"/>
      <c r="AE4" s="1563"/>
      <c r="AF4" s="1563"/>
      <c r="AG4" s="1563"/>
      <c r="AH4" s="1563"/>
      <c r="AI4" s="1563"/>
      <c r="AJ4" s="1563"/>
      <c r="AK4" s="1563"/>
      <c r="AL4" s="1563"/>
      <c r="AM4" s="1563"/>
      <c r="AN4" s="1563"/>
      <c r="AO4" s="1563"/>
      <c r="AP4" s="1563"/>
      <c r="AQ4" s="1564"/>
      <c r="AR4" s="1561"/>
      <c r="AS4" s="1561"/>
      <c r="AT4" s="1566"/>
      <c r="AU4" s="1563"/>
      <c r="AV4" s="1563"/>
      <c r="AW4" s="1563"/>
      <c r="AX4" s="1563"/>
      <c r="AY4" s="1563"/>
      <c r="AZ4" s="1563"/>
      <c r="BA4" s="1563"/>
      <c r="BB4" s="1563"/>
      <c r="BC4" s="1563"/>
      <c r="BD4" s="1563"/>
      <c r="BE4" s="1563"/>
      <c r="BF4" s="1563"/>
      <c r="BG4" s="1563"/>
      <c r="BH4"/>
      <c r="BI4" s="1561"/>
      <c r="BJ4" s="1561"/>
      <c r="BK4" s="1566"/>
      <c r="BL4" s="1563"/>
      <c r="BM4" s="1563"/>
      <c r="BN4" s="1563"/>
      <c r="BO4" s="1563"/>
      <c r="BP4" s="1563"/>
      <c r="BQ4" s="1563"/>
      <c r="BR4" s="1563"/>
      <c r="BS4" s="1563"/>
      <c r="BT4" s="1563"/>
      <c r="BU4" s="1563"/>
      <c r="BV4" s="1563"/>
      <c r="BW4" s="1563"/>
      <c r="BX4" s="1563"/>
      <c r="BY4"/>
    </row>
    <row r="5" spans="1:77" ht="13.5" customHeight="1">
      <c r="B5" s="3185"/>
      <c r="C5" s="3186"/>
      <c r="D5" s="1698" t="s">
        <v>382</v>
      </c>
      <c r="E5" s="2020"/>
      <c r="G5" s="2021" t="s">
        <v>384</v>
      </c>
      <c r="H5" s="2022"/>
      <c r="I5" s="2023" t="s">
        <v>383</v>
      </c>
      <c r="J5" s="2024"/>
      <c r="K5" s="1567" t="s">
        <v>399</v>
      </c>
      <c r="L5" s="1568"/>
      <c r="N5" s="2442" t="s">
        <v>397</v>
      </c>
      <c r="O5" s="1698"/>
      <c r="P5" s="1699" t="s">
        <v>398</v>
      </c>
      <c r="Q5" s="1700"/>
      <c r="R5" s="1567" t="s">
        <v>400</v>
      </c>
      <c r="S5" s="1568"/>
      <c r="T5" s="1558"/>
      <c r="U5" s="1567" t="s">
        <v>386</v>
      </c>
      <c r="V5" s="1568"/>
      <c r="W5" s="1558"/>
      <c r="X5" s="1567" t="s">
        <v>390</v>
      </c>
      <c r="Y5" s="1568"/>
      <c r="Z5" s="1569"/>
      <c r="AA5" s="1570"/>
      <c r="AB5" s="1570"/>
      <c r="AC5" s="1570"/>
      <c r="AD5" s="1571" t="s">
        <v>401</v>
      </c>
      <c r="AE5" s="1572"/>
      <c r="AF5" s="1572"/>
      <c r="AG5" s="1572"/>
      <c r="AH5" s="1572"/>
      <c r="AI5" s="1572"/>
      <c r="AJ5" s="1572"/>
      <c r="AK5" s="1572"/>
      <c r="AL5" s="1572"/>
      <c r="AM5" s="1572" t="s">
        <v>896</v>
      </c>
      <c r="AN5" s="1571" t="s">
        <v>402</v>
      </c>
      <c r="AO5" s="1572"/>
      <c r="AP5" s="1573"/>
      <c r="AQ5" s="1574"/>
      <c r="AR5" s="1570"/>
      <c r="AS5" s="1570"/>
      <c r="AT5" s="1570"/>
      <c r="AU5" s="1571" t="s">
        <v>260</v>
      </c>
      <c r="AV5" s="1572"/>
      <c r="AW5" s="1572"/>
      <c r="AX5" s="1572"/>
      <c r="AY5" s="1572"/>
      <c r="AZ5" s="1572"/>
      <c r="BA5" s="1572"/>
      <c r="BB5" s="1572"/>
      <c r="BC5" s="1572"/>
      <c r="BD5" s="1572" t="s">
        <v>896</v>
      </c>
      <c r="BE5" s="1571" t="s">
        <v>261</v>
      </c>
      <c r="BF5" s="1572"/>
      <c r="BG5" s="1573"/>
      <c r="BI5" s="1570"/>
      <c r="BJ5" s="1570"/>
      <c r="BK5" s="1570"/>
      <c r="BL5" s="1571" t="s">
        <v>260</v>
      </c>
      <c r="BM5" s="1572"/>
      <c r="BN5" s="1572"/>
      <c r="BO5" s="1572"/>
      <c r="BP5" s="1572"/>
      <c r="BQ5" s="1572"/>
      <c r="BR5" s="1572"/>
      <c r="BS5" s="1572"/>
      <c r="BT5" s="1572"/>
      <c r="BU5" s="1572" t="s">
        <v>896</v>
      </c>
      <c r="BV5" s="1571" t="s">
        <v>261</v>
      </c>
      <c r="BW5" s="1572"/>
      <c r="BX5" s="1573"/>
    </row>
    <row r="6" spans="1:77" ht="13.5" customHeight="1">
      <c r="B6" s="3187"/>
      <c r="C6" s="3188"/>
      <c r="D6" s="2031" t="s">
        <v>262</v>
      </c>
      <c r="E6" s="2031" t="s">
        <v>263</v>
      </c>
      <c r="G6" s="2031" t="s">
        <v>262</v>
      </c>
      <c r="H6" s="2031" t="s">
        <v>263</v>
      </c>
      <c r="I6" s="2031" t="s">
        <v>262</v>
      </c>
      <c r="J6" s="2031" t="s">
        <v>263</v>
      </c>
      <c r="K6" s="1576" t="s">
        <v>387</v>
      </c>
      <c r="L6" s="1576" t="s">
        <v>388</v>
      </c>
      <c r="N6" s="1576" t="s">
        <v>387</v>
      </c>
      <c r="O6" s="1576" t="s">
        <v>388</v>
      </c>
      <c r="P6" s="1576" t="s">
        <v>387</v>
      </c>
      <c r="Q6" s="1576" t="s">
        <v>388</v>
      </c>
      <c r="R6" s="1576" t="s">
        <v>387</v>
      </c>
      <c r="S6" s="1576" t="s">
        <v>388</v>
      </c>
      <c r="T6" s="1558"/>
      <c r="U6" s="1576" t="s">
        <v>387</v>
      </c>
      <c r="V6" s="1576" t="s">
        <v>388</v>
      </c>
      <c r="W6" s="1558"/>
      <c r="X6" s="1576" t="s">
        <v>387</v>
      </c>
      <c r="Y6" s="1576" t="s">
        <v>388</v>
      </c>
      <c r="Z6" s="1577"/>
      <c r="AA6" s="1570"/>
      <c r="AB6" s="1570" t="s">
        <v>403</v>
      </c>
      <c r="AC6" s="1570" t="s">
        <v>404</v>
      </c>
      <c r="AD6" s="1578" t="s">
        <v>519</v>
      </c>
      <c r="AE6" s="1578" t="s">
        <v>521</v>
      </c>
      <c r="AF6" s="1578" t="s">
        <v>523</v>
      </c>
      <c r="AG6" s="1578" t="s">
        <v>525</v>
      </c>
      <c r="AH6" s="1578" t="s">
        <v>529</v>
      </c>
      <c r="AI6" s="1578" t="s">
        <v>820</v>
      </c>
      <c r="AJ6" s="1578" t="s">
        <v>533</v>
      </c>
      <c r="AK6" s="1579" t="s">
        <v>190</v>
      </c>
      <c r="AL6" s="1578" t="s">
        <v>191</v>
      </c>
      <c r="AM6" s="1580" t="s">
        <v>521</v>
      </c>
      <c r="AN6" s="1580" t="s">
        <v>264</v>
      </c>
      <c r="AO6" s="1578" t="s">
        <v>265</v>
      </c>
      <c r="AP6" s="1578" t="s">
        <v>266</v>
      </c>
      <c r="AQ6" s="1581"/>
      <c r="AR6" s="1570"/>
      <c r="AS6" s="1570" t="s">
        <v>109</v>
      </c>
      <c r="AT6" s="1570" t="s">
        <v>453</v>
      </c>
      <c r="AU6" s="1578" t="s">
        <v>519</v>
      </c>
      <c r="AV6" s="1578" t="s">
        <v>521</v>
      </c>
      <c r="AW6" s="1578" t="s">
        <v>523</v>
      </c>
      <c r="AX6" s="1578" t="s">
        <v>525</v>
      </c>
      <c r="AY6" s="1578" t="s">
        <v>529</v>
      </c>
      <c r="AZ6" s="1578" t="s">
        <v>820</v>
      </c>
      <c r="BA6" s="1578" t="s">
        <v>533</v>
      </c>
      <c r="BB6" s="1579" t="s">
        <v>819</v>
      </c>
      <c r="BC6" s="1578" t="s">
        <v>535</v>
      </c>
      <c r="BD6" s="1580" t="s">
        <v>521</v>
      </c>
      <c r="BE6" s="1580" t="s">
        <v>264</v>
      </c>
      <c r="BF6" s="1578" t="s">
        <v>265</v>
      </c>
      <c r="BG6" s="1578" t="s">
        <v>266</v>
      </c>
      <c r="BI6" s="1570"/>
      <c r="BJ6" s="1570" t="s">
        <v>109</v>
      </c>
      <c r="BK6" s="1570" t="s">
        <v>453</v>
      </c>
      <c r="BL6" s="1578" t="s">
        <v>519</v>
      </c>
      <c r="BM6" s="1578" t="s">
        <v>521</v>
      </c>
      <c r="BN6" s="1578" t="s">
        <v>523</v>
      </c>
      <c r="BO6" s="1578" t="s">
        <v>525</v>
      </c>
      <c r="BP6" s="1578" t="s">
        <v>529</v>
      </c>
      <c r="BQ6" s="1578" t="s">
        <v>820</v>
      </c>
      <c r="BR6" s="1578" t="s">
        <v>533</v>
      </c>
      <c r="BS6" s="1579" t="s">
        <v>819</v>
      </c>
      <c r="BT6" s="1578" t="s">
        <v>535</v>
      </c>
      <c r="BU6" s="1580" t="s">
        <v>521</v>
      </c>
      <c r="BV6" s="1580" t="s">
        <v>264</v>
      </c>
      <c r="BW6" s="1578" t="s">
        <v>265</v>
      </c>
      <c r="BX6" s="1578" t="s">
        <v>266</v>
      </c>
    </row>
    <row r="7" spans="1:77" ht="13.5" customHeight="1">
      <c r="B7" s="1701"/>
      <c r="C7" s="1582" t="s">
        <v>391</v>
      </c>
      <c r="D7" s="2038">
        <f>1-E7</f>
        <v>1</v>
      </c>
      <c r="E7" s="2039">
        <f>(AD8*X7)+(AE8*Y7)+(AF8*Z7)</f>
        <v>0</v>
      </c>
      <c r="G7" s="2039"/>
      <c r="H7" s="2039"/>
      <c r="I7" s="2039"/>
      <c r="J7" s="2039"/>
      <c r="K7" s="1576"/>
      <c r="L7" s="1576"/>
      <c r="N7" s="2443"/>
      <c r="O7" s="1702"/>
      <c r="P7" s="1576"/>
      <c r="Q7" s="1576"/>
      <c r="R7" s="1576"/>
      <c r="S7" s="1576"/>
      <c r="T7" s="1558"/>
      <c r="U7" s="2445"/>
      <c r="V7" s="1747"/>
      <c r="W7" s="1558"/>
      <c r="X7" s="1576"/>
      <c r="Y7" s="1576"/>
      <c r="Z7" s="1577"/>
      <c r="AA7" s="1570"/>
      <c r="AB7" s="1570" t="s">
        <v>405</v>
      </c>
      <c r="AC7" s="1570" t="s">
        <v>391</v>
      </c>
      <c r="AD7" s="1583" t="e">
        <f>メイン!$V$47/メイン!$V$67</f>
        <v>#DIV/0!</v>
      </c>
      <c r="AE7" s="1583" t="e">
        <f>(メイン!J49+メイン!J52+メイン!J53)/メイン!$H$19</f>
        <v>#DIV/0!</v>
      </c>
      <c r="AF7" s="1583" t="e">
        <f>メイン!$V$54/メイン!$V$67</f>
        <v>#DIV/0!</v>
      </c>
      <c r="AG7" s="1583" t="e">
        <f>メイン!$V$56/メイン!$V$67</f>
        <v>#DIV/0!</v>
      </c>
      <c r="AH7" s="1583" t="e">
        <f>メイン!$V$60/メイン!$V$67</f>
        <v>#DIV/0!</v>
      </c>
      <c r="AI7" s="1583" t="e">
        <f>メイン!$V$61/メイン!$V$67</f>
        <v>#DIV/0!</v>
      </c>
      <c r="AJ7" s="1583" t="e">
        <f>メイン!$V$62/メイン!$V$67</f>
        <v>#DIV/0!</v>
      </c>
      <c r="AK7" s="1583" t="e">
        <f>メイン!$V$57/メイン!$V$67</f>
        <v>#DIV/0!</v>
      </c>
      <c r="AL7" s="1583" t="e">
        <f>メイン!$V$63/メイン!$V$67</f>
        <v>#DIV/0!</v>
      </c>
      <c r="AM7" s="1583" t="e">
        <f>(メイン!J50+メイン!J51)/メイン!$H$19</f>
        <v>#DIV/0!</v>
      </c>
      <c r="AN7" s="1583" t="e">
        <f>$AH$7</f>
        <v>#DIV/0!</v>
      </c>
      <c r="AO7" s="1583" t="e">
        <f>$AI$7</f>
        <v>#DIV/0!</v>
      </c>
      <c r="AP7" s="1583" t="e">
        <f>$AJ$7</f>
        <v>#DIV/0!</v>
      </c>
      <c r="AQ7" s="1581"/>
      <c r="AR7" s="1570"/>
      <c r="AS7" s="1570"/>
      <c r="AT7" s="1570"/>
      <c r="AU7" s="1748"/>
      <c r="AV7" s="1748"/>
      <c r="AW7" s="1748"/>
      <c r="AX7" s="1748"/>
      <c r="AY7" s="1748"/>
      <c r="AZ7" s="1748"/>
      <c r="BA7" s="1748"/>
      <c r="BB7" s="1749"/>
      <c r="BC7" s="1748"/>
      <c r="BD7" s="1748"/>
      <c r="BE7" s="1748"/>
      <c r="BF7" s="1748"/>
      <c r="BG7" s="1748"/>
      <c r="BI7" s="1570"/>
      <c r="BJ7" s="1570"/>
      <c r="BK7" s="1570"/>
      <c r="BL7" s="1748"/>
      <c r="BM7" s="1748"/>
      <c r="BN7" s="1748"/>
      <c r="BO7" s="1748"/>
      <c r="BP7" s="1748"/>
      <c r="BQ7" s="1748"/>
      <c r="BR7" s="1748"/>
      <c r="BS7" s="1749"/>
      <c r="BT7" s="1748"/>
      <c r="BU7" s="1748"/>
      <c r="BV7" s="1748"/>
      <c r="BW7" s="1748"/>
      <c r="BX7" s="1748"/>
    </row>
    <row r="8" spans="1:77" s="1594" customFormat="1" ht="13.5" customHeight="1">
      <c r="A8"/>
      <c r="B8" s="1584">
        <f t="shared" ref="B8:B39" si="0">AA8</f>
        <v>0</v>
      </c>
      <c r="C8" s="1586" t="str">
        <f t="shared" ref="C8:C39" si="1">AC8</f>
        <v>住居宿泊・共用部面積比率</v>
      </c>
      <c r="D8" s="2044"/>
      <c r="E8" s="2045"/>
      <c r="F8"/>
      <c r="G8" s="2045"/>
      <c r="H8" s="2045"/>
      <c r="I8" s="2045" t="e">
        <f>G9+G61+G109</f>
        <v>#DIV/0!</v>
      </c>
      <c r="J8" s="2045" t="e">
        <f>H9+H61+H109</f>
        <v>#DIV/0!</v>
      </c>
      <c r="K8" s="1587"/>
      <c r="L8" s="1587"/>
      <c r="M8"/>
      <c r="N8" s="2444"/>
      <c r="O8" s="1703"/>
      <c r="P8" s="1587" t="e">
        <f>R9+R61+R109</f>
        <v>#DIV/0!</v>
      </c>
      <c r="Q8" s="1587" t="e">
        <f>S9+S61+S109</f>
        <v>#DIV/0!</v>
      </c>
      <c r="R8" s="1587"/>
      <c r="S8" s="1587"/>
      <c r="T8" s="1558"/>
      <c r="U8" s="2446"/>
      <c r="V8" s="1750"/>
      <c r="W8" s="1558"/>
      <c r="X8" s="1587"/>
      <c r="Y8" s="1587"/>
      <c r="Z8" s="1588"/>
      <c r="AA8" s="1589"/>
      <c r="AB8" s="1589" t="s">
        <v>270</v>
      </c>
      <c r="AC8" s="1589" t="s">
        <v>406</v>
      </c>
      <c r="AD8" s="1590"/>
      <c r="AE8" s="1590"/>
      <c r="AF8" s="1590"/>
      <c r="AG8" s="1590"/>
      <c r="AH8" s="1590">
        <f>1-$AN$8</f>
        <v>1</v>
      </c>
      <c r="AI8" s="1590">
        <f>1-$AO$8</f>
        <v>1</v>
      </c>
      <c r="AJ8" s="1590">
        <f>1-$AP$8</f>
        <v>1</v>
      </c>
      <c r="AK8" s="1591"/>
      <c r="AL8" s="1590"/>
      <c r="AM8" s="1866"/>
      <c r="AN8" s="1592">
        <f>メイン!$J$68</f>
        <v>0</v>
      </c>
      <c r="AO8" s="1592">
        <f>メイン!$J$69</f>
        <v>0</v>
      </c>
      <c r="AP8" s="1592">
        <f>メイン!$J$70</f>
        <v>0</v>
      </c>
      <c r="AQ8" s="1593"/>
      <c r="AR8" s="1589" t="s">
        <v>392</v>
      </c>
      <c r="AS8" s="1589"/>
      <c r="AT8" s="1586" t="s">
        <v>407</v>
      </c>
      <c r="AU8" s="1725"/>
      <c r="AV8" s="1725"/>
      <c r="AW8" s="1725"/>
      <c r="AX8" s="1725"/>
      <c r="AY8" s="1725"/>
      <c r="AZ8" s="1725"/>
      <c r="BA8" s="1725"/>
      <c r="BB8" s="1726"/>
      <c r="BC8" s="1725"/>
      <c r="BD8" s="1868"/>
      <c r="BE8" s="1727"/>
      <c r="BF8" s="1728"/>
      <c r="BG8" s="1728"/>
      <c r="BH8"/>
      <c r="BI8" s="1589" t="s">
        <v>392</v>
      </c>
      <c r="BJ8" s="1589"/>
      <c r="BK8" s="1586" t="s">
        <v>407</v>
      </c>
      <c r="BL8" s="1725"/>
      <c r="BM8" s="1725"/>
      <c r="BN8" s="1725"/>
      <c r="BO8" s="1725"/>
      <c r="BP8" s="1725"/>
      <c r="BQ8" s="1725"/>
      <c r="BR8" s="1725"/>
      <c r="BS8" s="1726"/>
      <c r="BT8" s="1725"/>
      <c r="BU8" s="1868"/>
      <c r="BV8" s="1727"/>
      <c r="BW8" s="1728"/>
      <c r="BX8" s="1728"/>
      <c r="BY8"/>
    </row>
    <row r="9" spans="1:77" s="1603" customFormat="1" ht="13.5" customHeight="1">
      <c r="A9"/>
      <c r="B9" s="1595" t="str">
        <f t="shared" si="0"/>
        <v>Q1</v>
      </c>
      <c r="C9" s="1596" t="str">
        <f t="shared" si="1"/>
        <v>室内環境</v>
      </c>
      <c r="D9" s="2053" t="e">
        <f>IF(I$8=0,0,G9/I$8)</f>
        <v>#DIV/0!</v>
      </c>
      <c r="E9" s="2054" t="e">
        <f>IF(J$8=0,0,H9/J$8)</f>
        <v>#DIV/0!</v>
      </c>
      <c r="F9"/>
      <c r="G9" s="2054" t="e">
        <f t="shared" ref="G9:H40" si="2">K9*N9</f>
        <v>#DIV/0!</v>
      </c>
      <c r="H9" s="2054" t="e">
        <f t="shared" si="2"/>
        <v>#DIV/0!</v>
      </c>
      <c r="I9" s="2054" t="e">
        <f>G10+G20+G34+G47</f>
        <v>#DIV/0!</v>
      </c>
      <c r="J9" s="2054" t="e">
        <f>H10+H20+H34+H47</f>
        <v>#DIV/0!</v>
      </c>
      <c r="K9" s="1598" t="e">
        <f>IF(スコア表示!X9=0,0,1)</f>
        <v>#DIV/0!</v>
      </c>
      <c r="L9" s="1598" t="e">
        <f>IF(スコア表示!AB9=0,0,1)</f>
        <v>#DIV/0!</v>
      </c>
      <c r="M9"/>
      <c r="N9" s="1704" t="e">
        <f>IF(P$8=0,0,R9/P$8)</f>
        <v>#DIV/0!</v>
      </c>
      <c r="O9" s="1704" t="e">
        <f>IF(Q$8=0,0,S9/Q$8)</f>
        <v>#DIV/0!</v>
      </c>
      <c r="P9" s="1598" t="e">
        <f>R10+R20+R34+R47</f>
        <v>#DIV/0!</v>
      </c>
      <c r="Q9" s="1598" t="e">
        <f>S10+S20+S34+S47</f>
        <v>#DIV/0!</v>
      </c>
      <c r="R9" s="1598" t="e">
        <f>IF(スコア入力!R9="EB",重み_対象外!D9,U9)</f>
        <v>#DIV/0!</v>
      </c>
      <c r="S9" s="1598" t="e">
        <f>IF(スコア入力!Y9="EB",重み_対象外!E9,V9)</f>
        <v>#DIV/0!</v>
      </c>
      <c r="T9" s="1558"/>
      <c r="U9" s="1751" t="e">
        <f>X9</f>
        <v>#DIV/0!</v>
      </c>
      <c r="V9" s="1751" t="e">
        <f>Y9</f>
        <v>#DIV/0!</v>
      </c>
      <c r="W9" s="1558"/>
      <c r="X9" s="1598" t="e">
        <f>SUMPRODUCT($AD$7:$AM$7,AD9:AM9)</f>
        <v>#DIV/0!</v>
      </c>
      <c r="Y9" s="1598" t="e">
        <f>(AN$7*AN9)+(AO$7*AO9)+(AP$7*AP9)</f>
        <v>#DIV/0!</v>
      </c>
      <c r="Z9" s="1599"/>
      <c r="AA9" s="1600" t="str">
        <f t="shared" ref="AA9:AA40" si="3">IF($AA$3=1,AR9,BI9)</f>
        <v>Q1</v>
      </c>
      <c r="AB9" s="1600" t="str">
        <f t="shared" ref="AB9:AB40" si="4">IF($AA$3=1,AS9,BJ9)</f>
        <v xml:space="preserve"> Q</v>
      </c>
      <c r="AC9" s="1600" t="str">
        <f t="shared" ref="AC9:AC40" si="5">IF($AA$3=1,AT9,BK9)</f>
        <v>室内環境</v>
      </c>
      <c r="AD9" s="1752">
        <f t="shared" ref="AD9:AD40" si="6">IF($AA$3=1,AU9,BL9)</f>
        <v>0.4</v>
      </c>
      <c r="AE9" s="1752">
        <f t="shared" ref="AE9:AE40" si="7">IF($AA$3=1,AV9,BM9)</f>
        <v>0.4</v>
      </c>
      <c r="AF9" s="1752">
        <f t="shared" ref="AF9:AF40" si="8">IF($AA$3=1,AW9,BN9)</f>
        <v>0.4</v>
      </c>
      <c r="AG9" s="1752">
        <f t="shared" ref="AG9:AG40" si="9">IF($AA$3=1,AX9,BO9)</f>
        <v>0.4</v>
      </c>
      <c r="AH9" s="1752">
        <f t="shared" ref="AH9:AH40" si="10">IF($AA$3=1,AY9,BP9)</f>
        <v>0.4</v>
      </c>
      <c r="AI9" s="1752">
        <f t="shared" ref="AI9:AI40" si="11">IF($AA$3=1,AZ9,BQ9)</f>
        <v>0.4</v>
      </c>
      <c r="AJ9" s="1752">
        <f t="shared" ref="AJ9:AJ40" si="12">IF($AA$3=1,BA9,BR9)</f>
        <v>0.4</v>
      </c>
      <c r="AK9" s="1752">
        <f t="shared" ref="AK9:AK40" si="13">IF($AA$3=1,BB9,BS9)</f>
        <v>0.4</v>
      </c>
      <c r="AL9" s="1752">
        <f t="shared" ref="AL9:AM40" si="14">IF($AA$3=1,BC9,BT9)</f>
        <v>0.3</v>
      </c>
      <c r="AM9" s="1752">
        <f t="shared" si="14"/>
        <v>0.4</v>
      </c>
      <c r="AN9" s="1753">
        <f t="shared" ref="AN9:AN40" si="15">IF($AA$3=1,BE9,BV9)</f>
        <v>0</v>
      </c>
      <c r="AO9" s="1752">
        <f t="shared" ref="AO9:AO40" si="16">IF($AA$3=1,BF9,BW9)</f>
        <v>0</v>
      </c>
      <c r="AP9" s="1752">
        <f t="shared" ref="AP9:AP40" si="17">IF($AA$3=1,BG9,BX9)</f>
        <v>0</v>
      </c>
      <c r="AQ9" s="1602"/>
      <c r="AR9" s="1595" t="s">
        <v>1404</v>
      </c>
      <c r="AS9" s="2056" t="s">
        <v>270</v>
      </c>
      <c r="AT9" s="2055" t="s">
        <v>1405</v>
      </c>
      <c r="AU9" s="2057">
        <v>0.4</v>
      </c>
      <c r="AV9" s="2057">
        <v>0.4</v>
      </c>
      <c r="AW9" s="2057">
        <v>0.4</v>
      </c>
      <c r="AX9" s="2057">
        <v>0.4</v>
      </c>
      <c r="AY9" s="2057">
        <v>0.4</v>
      </c>
      <c r="AZ9" s="2057">
        <v>0.4</v>
      </c>
      <c r="BA9" s="2057">
        <v>0.4</v>
      </c>
      <c r="BB9" s="2057">
        <v>0.4</v>
      </c>
      <c r="BC9" s="2057">
        <v>0.3</v>
      </c>
      <c r="BD9" s="2057">
        <v>0.4</v>
      </c>
      <c r="BE9" s="2058"/>
      <c r="BF9" s="2057"/>
      <c r="BG9" s="2057"/>
      <c r="BH9"/>
      <c r="BI9" s="1595" t="s">
        <v>1404</v>
      </c>
      <c r="BJ9" s="2056" t="s">
        <v>270</v>
      </c>
      <c r="BK9" s="2055" t="s">
        <v>1405</v>
      </c>
      <c r="BL9" s="2057">
        <v>0.4</v>
      </c>
      <c r="BM9" s="2057">
        <v>0.4</v>
      </c>
      <c r="BN9" s="2057">
        <v>0.4</v>
      </c>
      <c r="BO9" s="2057">
        <v>0.4</v>
      </c>
      <c r="BP9" s="2057">
        <v>0.4</v>
      </c>
      <c r="BQ9" s="2057">
        <v>0.4</v>
      </c>
      <c r="BR9" s="2057">
        <v>0.4</v>
      </c>
      <c r="BS9" s="2057">
        <v>0.4</v>
      </c>
      <c r="BT9" s="2057">
        <v>0.3</v>
      </c>
      <c r="BU9" s="2057">
        <v>0.4</v>
      </c>
      <c r="BV9" s="2058"/>
      <c r="BW9" s="2057"/>
      <c r="BX9" s="2057"/>
      <c r="BY9"/>
    </row>
    <row r="10" spans="1:77" s="1603" customFormat="1" ht="13.5" customHeight="1">
      <c r="A10"/>
      <c r="B10" s="1604">
        <f t="shared" si="0"/>
        <v>1</v>
      </c>
      <c r="C10" s="1605" t="str">
        <f t="shared" si="1"/>
        <v>音環境</v>
      </c>
      <c r="D10" s="2059" t="e">
        <f>IF(I$9=0,0,G10/I$9)</f>
        <v>#DIV/0!</v>
      </c>
      <c r="E10" s="1741" t="e">
        <f>IF(J$9=0,0,H10/J$9)</f>
        <v>#DIV/0!</v>
      </c>
      <c r="F10"/>
      <c r="G10" s="1741" t="e">
        <f t="shared" si="2"/>
        <v>#DIV/0!</v>
      </c>
      <c r="H10" s="1741" t="e">
        <f t="shared" si="2"/>
        <v>#DIV/0!</v>
      </c>
      <c r="I10" s="1719" t="e">
        <f>G11+G14+G19</f>
        <v>#DIV/0!</v>
      </c>
      <c r="J10" s="1719" t="e">
        <f>H11+H14+H19</f>
        <v>#DIV/0!</v>
      </c>
      <c r="K10" s="1706" t="e">
        <f>IF(スコア表示!X10=0,0,1)</f>
        <v>#DIV/0!</v>
      </c>
      <c r="L10" s="1706" t="e">
        <f>IF(スコア表示!AB10=0,0,1)</f>
        <v>#DIV/0!</v>
      </c>
      <c r="M10"/>
      <c r="N10" s="1705" t="e">
        <f>IF(P$9=0,0,R10/P$9)</f>
        <v>#DIV/0!</v>
      </c>
      <c r="O10" s="1705" t="e">
        <f>IF(Q$9=0,0,S10/Q$9)</f>
        <v>#DIV/0!</v>
      </c>
      <c r="P10" s="1707" t="e">
        <f>SUM(R11:R19)</f>
        <v>#DIV/0!</v>
      </c>
      <c r="Q10" s="1708" t="e">
        <f>SUM(S11:S19)</f>
        <v>#DIV/0!</v>
      </c>
      <c r="R10" s="1614" t="e">
        <f>IF(スコア入力!R10="EB",重み_対象外!D10,U10)</f>
        <v>#DIV/0!</v>
      </c>
      <c r="S10" s="1614" t="e">
        <f>IF(スコア入力!Y10="EB",重み_対象外!E10,V10)</f>
        <v>#DIV/0!</v>
      </c>
      <c r="T10" s="1558"/>
      <c r="U10" s="1605" t="e">
        <f>SUM(U11:U19)</f>
        <v>#DIV/0!</v>
      </c>
      <c r="V10" s="1605" t="e">
        <f>SUM(V11:V19)</f>
        <v>#DIV/0!</v>
      </c>
      <c r="W10" s="1558"/>
      <c r="X10" s="1607" t="e">
        <f t="shared" ref="X10:X73" si="18">SUMPRODUCT($AD$7:$AM$7,AD10:AM10)</f>
        <v>#DIV/0!</v>
      </c>
      <c r="Y10" s="1607">
        <v>1</v>
      </c>
      <c r="Z10" s="1599"/>
      <c r="AA10" s="1604">
        <f t="shared" si="3"/>
        <v>1</v>
      </c>
      <c r="AB10" s="1604" t="str">
        <f t="shared" si="4"/>
        <v xml:space="preserve"> Q1</v>
      </c>
      <c r="AC10" s="1604" t="str">
        <f t="shared" si="5"/>
        <v>音環境</v>
      </c>
      <c r="AD10" s="1754">
        <f t="shared" si="6"/>
        <v>0.15</v>
      </c>
      <c r="AE10" s="1754">
        <f t="shared" si="7"/>
        <v>0.15</v>
      </c>
      <c r="AF10" s="1754">
        <f t="shared" si="8"/>
        <v>0.15</v>
      </c>
      <c r="AG10" s="1754">
        <f t="shared" si="9"/>
        <v>0.15</v>
      </c>
      <c r="AH10" s="1754">
        <f t="shared" si="10"/>
        <v>0.15</v>
      </c>
      <c r="AI10" s="1754">
        <f t="shared" si="11"/>
        <v>0.15</v>
      </c>
      <c r="AJ10" s="1754">
        <f t="shared" si="12"/>
        <v>0.15</v>
      </c>
      <c r="AK10" s="1755">
        <f t="shared" si="13"/>
        <v>0.23</v>
      </c>
      <c r="AL10" s="1754">
        <f t="shared" si="14"/>
        <v>0.15</v>
      </c>
      <c r="AM10" s="1754">
        <f t="shared" si="14"/>
        <v>0.15</v>
      </c>
      <c r="AN10" s="1756">
        <f t="shared" si="15"/>
        <v>0</v>
      </c>
      <c r="AO10" s="1754">
        <f t="shared" si="16"/>
        <v>0</v>
      </c>
      <c r="AP10" s="1754">
        <f t="shared" si="17"/>
        <v>0</v>
      </c>
      <c r="AQ10" s="1610"/>
      <c r="AR10" s="1639">
        <v>1</v>
      </c>
      <c r="AS10" s="1742" t="s">
        <v>271</v>
      </c>
      <c r="AT10" s="1778" t="s">
        <v>1020</v>
      </c>
      <c r="AU10" s="1709">
        <v>0.15</v>
      </c>
      <c r="AV10" s="1709">
        <v>0.15</v>
      </c>
      <c r="AW10" s="1709">
        <v>0.15</v>
      </c>
      <c r="AX10" s="1709">
        <v>0.15</v>
      </c>
      <c r="AY10" s="1709">
        <v>0.15</v>
      </c>
      <c r="AZ10" s="1709">
        <v>0.15</v>
      </c>
      <c r="BA10" s="1709">
        <v>0.15</v>
      </c>
      <c r="BB10" s="1710">
        <v>0.23</v>
      </c>
      <c r="BC10" s="1709">
        <v>0.15</v>
      </c>
      <c r="BD10" s="1709">
        <v>0.15</v>
      </c>
      <c r="BE10" s="2060"/>
      <c r="BF10" s="1709"/>
      <c r="BG10" s="1709"/>
      <c r="BH10"/>
      <c r="BI10" s="1639">
        <v>1</v>
      </c>
      <c r="BJ10" s="1742" t="s">
        <v>271</v>
      </c>
      <c r="BK10" s="1778" t="s">
        <v>1020</v>
      </c>
      <c r="BL10" s="1709">
        <v>0.15</v>
      </c>
      <c r="BM10" s="1709">
        <v>0.15</v>
      </c>
      <c r="BN10" s="1709">
        <v>0.15</v>
      </c>
      <c r="BO10" s="1709">
        <v>0.15</v>
      </c>
      <c r="BP10" s="1709">
        <v>0.15</v>
      </c>
      <c r="BQ10" s="1709">
        <v>0.15</v>
      </c>
      <c r="BR10" s="1709">
        <v>0.15</v>
      </c>
      <c r="BS10" s="1710">
        <v>0.23</v>
      </c>
      <c r="BT10" s="1709">
        <v>0.15</v>
      </c>
      <c r="BU10" s="1709">
        <v>0.15</v>
      </c>
      <c r="BV10" s="2060"/>
      <c r="BW10" s="1709"/>
      <c r="BX10" s="1709"/>
      <c r="BY10"/>
    </row>
    <row r="11" spans="1:77" ht="13.5" customHeight="1">
      <c r="B11" s="1611">
        <f t="shared" si="0"/>
        <v>1.1000000000000001</v>
      </c>
      <c r="C11" s="1612" t="str">
        <f t="shared" si="1"/>
        <v>騒音</v>
      </c>
      <c r="D11" s="1714" t="e">
        <f>IF(I$10=0,0,G11/I$10)</f>
        <v>#DIV/0!</v>
      </c>
      <c r="E11" s="1714" t="e">
        <f>IF(J$10=0,0,H11/J$10)</f>
        <v>#DIV/0!</v>
      </c>
      <c r="G11" s="1689" t="e">
        <f t="shared" si="2"/>
        <v>#DIV/0!</v>
      </c>
      <c r="H11" s="1689" t="e">
        <f t="shared" si="2"/>
        <v>#DIV/0!</v>
      </c>
      <c r="I11" s="1719">
        <f>SUM(G12:G13)</f>
        <v>0</v>
      </c>
      <c r="J11" s="1719">
        <f>SUM(H12:H13)</f>
        <v>0</v>
      </c>
      <c r="K11" s="1706">
        <f>IF(スコア表示!X11=0,0,1)</f>
        <v>1</v>
      </c>
      <c r="L11" s="1706">
        <f>IF(スコア表示!AB11=0,0,1)</f>
        <v>0</v>
      </c>
      <c r="N11" s="1711" t="e">
        <f>IF(P$10=0,0,R11/P$10)</f>
        <v>#DIV/0!</v>
      </c>
      <c r="O11" s="1711" t="e">
        <f>IF(Q$10=0,0,S11/Q$10)</f>
        <v>#DIV/0!</v>
      </c>
      <c r="P11" s="1706"/>
      <c r="Q11" s="1706"/>
      <c r="R11" s="1614" t="e">
        <f>IF(スコア入力!R11="EB",重み_対象外!D11,U11)</f>
        <v>#DIV/0!</v>
      </c>
      <c r="S11" s="1614" t="e">
        <f>IF(スコア入力!Y11="EB",重み_対象外!E11,V11)</f>
        <v>#DIV/0!</v>
      </c>
      <c r="T11" s="1558"/>
      <c r="U11" s="1303" t="e">
        <f>X10*X11</f>
        <v>#DIV/0!</v>
      </c>
      <c r="V11" s="1303" t="e">
        <f>Y10*Y11</f>
        <v>#DIV/0!</v>
      </c>
      <c r="W11" s="1558"/>
      <c r="X11" s="1614" t="e">
        <f t="shared" ref="X11" si="19">SUMPRODUCT($AD$7:$AM$7,AD11:AM11)</f>
        <v>#DIV/0!</v>
      </c>
      <c r="Y11" s="1614" t="e">
        <f t="shared" ref="Y11" si="20">(AN$7*AN11)+(AO$7*AO11)+(AP$7*AP11)</f>
        <v>#DIV/0!</v>
      </c>
      <c r="Z11" s="1569"/>
      <c r="AA11" s="1611">
        <f t="shared" si="3"/>
        <v>1.1000000000000001</v>
      </c>
      <c r="AB11" s="1611" t="str">
        <f t="shared" si="4"/>
        <v xml:space="preserve"> Q1 1</v>
      </c>
      <c r="AC11" s="1611" t="str">
        <f t="shared" si="5"/>
        <v>騒音</v>
      </c>
      <c r="AD11" s="1757">
        <f t="shared" si="6"/>
        <v>0.4</v>
      </c>
      <c r="AE11" s="1757">
        <f t="shared" si="7"/>
        <v>0.4</v>
      </c>
      <c r="AF11" s="1757">
        <f t="shared" si="8"/>
        <v>0.4</v>
      </c>
      <c r="AG11" s="1757">
        <f t="shared" si="9"/>
        <v>0.4</v>
      </c>
      <c r="AH11" s="1757">
        <f t="shared" si="10"/>
        <v>0.4</v>
      </c>
      <c r="AI11" s="1757">
        <f t="shared" si="11"/>
        <v>0.4</v>
      </c>
      <c r="AJ11" s="1757">
        <f t="shared" si="12"/>
        <v>0.5</v>
      </c>
      <c r="AK11" s="1757">
        <f t="shared" si="13"/>
        <v>0.4</v>
      </c>
      <c r="AL11" s="1757">
        <f t="shared" si="14"/>
        <v>0.4</v>
      </c>
      <c r="AM11" s="1757">
        <f t="shared" si="14"/>
        <v>0.4</v>
      </c>
      <c r="AN11" s="1758">
        <f t="shared" si="15"/>
        <v>0.4</v>
      </c>
      <c r="AO11" s="1757">
        <f t="shared" si="16"/>
        <v>0.4</v>
      </c>
      <c r="AP11" s="1757">
        <f t="shared" si="17"/>
        <v>0.5</v>
      </c>
      <c r="AQ11" s="1618"/>
      <c r="AR11" s="1645">
        <v>1.1000000000000001</v>
      </c>
      <c r="AS11" s="1691" t="s">
        <v>272</v>
      </c>
      <c r="AT11" s="2061" t="s">
        <v>1407</v>
      </c>
      <c r="AU11" s="1621">
        <v>0.4</v>
      </c>
      <c r="AV11" s="1621">
        <v>0.4</v>
      </c>
      <c r="AW11" s="1621">
        <v>0.4</v>
      </c>
      <c r="AX11" s="1621">
        <v>0.4</v>
      </c>
      <c r="AY11" s="1621">
        <v>0.4</v>
      </c>
      <c r="AZ11" s="1621">
        <v>0.4</v>
      </c>
      <c r="BA11" s="1621">
        <v>0.5</v>
      </c>
      <c r="BB11" s="1621">
        <v>0.4</v>
      </c>
      <c r="BC11" s="1621">
        <v>0.4</v>
      </c>
      <c r="BD11" s="1621">
        <v>0.4</v>
      </c>
      <c r="BE11" s="1621">
        <v>0.4</v>
      </c>
      <c r="BF11" s="1621">
        <v>0.4</v>
      </c>
      <c r="BG11" s="1621">
        <v>0.5</v>
      </c>
      <c r="BI11" s="1645">
        <v>1.1000000000000001</v>
      </c>
      <c r="BJ11" s="1691" t="s">
        <v>272</v>
      </c>
      <c r="BK11" s="2061" t="s">
        <v>1407</v>
      </c>
      <c r="BL11" s="1621">
        <v>0.4</v>
      </c>
      <c r="BM11" s="1621">
        <v>0.4</v>
      </c>
      <c r="BN11" s="1621">
        <v>0.4</v>
      </c>
      <c r="BO11" s="1621">
        <v>0.4</v>
      </c>
      <c r="BP11" s="1621">
        <v>0.4</v>
      </c>
      <c r="BQ11" s="1621">
        <v>0.4</v>
      </c>
      <c r="BR11" s="1621">
        <v>0.5</v>
      </c>
      <c r="BS11" s="1621">
        <v>0.4</v>
      </c>
      <c r="BT11" s="1621">
        <v>0.4</v>
      </c>
      <c r="BU11" s="1621">
        <v>0.4</v>
      </c>
      <c r="BV11" s="1621">
        <v>0.4</v>
      </c>
      <c r="BW11" s="1621">
        <v>0.4</v>
      </c>
      <c r="BX11" s="1621">
        <v>0.5</v>
      </c>
    </row>
    <row r="12" spans="1:77" ht="13.5" hidden="1" customHeight="1">
      <c r="B12" s="1651" t="str">
        <f t="shared" si="0"/>
        <v>1.1.1</v>
      </c>
      <c r="C12" s="1648" t="str">
        <f t="shared" si="1"/>
        <v>室内騒音レベル</v>
      </c>
      <c r="D12" s="1714">
        <f>IF(I$11=0,0,G12/I$11)</f>
        <v>0</v>
      </c>
      <c r="E12" s="1714">
        <f>IF(J$11=0,0,H12/J$11)</f>
        <v>0</v>
      </c>
      <c r="G12" s="1689">
        <f t="shared" si="2"/>
        <v>0</v>
      </c>
      <c r="H12" s="1689">
        <f t="shared" si="2"/>
        <v>0</v>
      </c>
      <c r="I12" s="1719"/>
      <c r="J12" s="1719"/>
      <c r="K12" s="1706">
        <f>IF(スコア表示!X12=0,0,1)</f>
        <v>0</v>
      </c>
      <c r="L12" s="1706">
        <f>IF(スコア表示!AB12=0,0,1)</f>
        <v>0</v>
      </c>
      <c r="N12" s="1711">
        <f>IF(P$11=0,0,R12/P$11)</f>
        <v>0</v>
      </c>
      <c r="O12" s="1711">
        <f>IF(Q$11=0,0,S12/Q$11)</f>
        <v>0</v>
      </c>
      <c r="P12" s="1706"/>
      <c r="Q12" s="1706"/>
      <c r="R12" s="1614">
        <f>IF(スコア入力!R12="EB",重み_対象外!D12,U12)</f>
        <v>0</v>
      </c>
      <c r="S12" s="1614">
        <f>IF(スコア入力!Y12="EB",重み_対象外!E12,V12)</f>
        <v>0</v>
      </c>
      <c r="T12" s="1558"/>
      <c r="U12" s="1612"/>
      <c r="V12" s="1612"/>
      <c r="W12" s="1558"/>
      <c r="X12" s="1614" t="e">
        <f t="shared" si="18"/>
        <v>#DIV/0!</v>
      </c>
      <c r="Y12" s="1614" t="e">
        <f t="shared" ref="Y12:Y73" si="21">(AN$7*AN12)+(AO$7*AO12)+(AP$7*AP12)</f>
        <v>#DIV/0!</v>
      </c>
      <c r="Z12" s="1569"/>
      <c r="AA12" s="1611" t="str">
        <f t="shared" si="3"/>
        <v>1.1.1</v>
      </c>
      <c r="AB12" s="1611" t="str">
        <f t="shared" si="4"/>
        <v xml:space="preserve"> Q1 1.1</v>
      </c>
      <c r="AC12" s="1611" t="str">
        <f t="shared" si="5"/>
        <v>室内騒音レベル</v>
      </c>
      <c r="AD12" s="1757">
        <f t="shared" si="6"/>
        <v>0</v>
      </c>
      <c r="AE12" s="1757">
        <f t="shared" si="7"/>
        <v>0</v>
      </c>
      <c r="AF12" s="1757">
        <f t="shared" si="8"/>
        <v>0</v>
      </c>
      <c r="AG12" s="1757">
        <f t="shared" si="9"/>
        <v>0</v>
      </c>
      <c r="AH12" s="1757">
        <f t="shared" si="10"/>
        <v>0</v>
      </c>
      <c r="AI12" s="1757">
        <f t="shared" si="11"/>
        <v>0</v>
      </c>
      <c r="AJ12" s="1757">
        <f t="shared" si="12"/>
        <v>0</v>
      </c>
      <c r="AK12" s="1757">
        <f t="shared" si="13"/>
        <v>0</v>
      </c>
      <c r="AL12" s="1757">
        <f t="shared" si="14"/>
        <v>0</v>
      </c>
      <c r="AM12" s="1757">
        <f t="shared" si="14"/>
        <v>0</v>
      </c>
      <c r="AN12" s="1758">
        <f t="shared" si="15"/>
        <v>0</v>
      </c>
      <c r="AO12" s="1757">
        <f t="shared" si="16"/>
        <v>0</v>
      </c>
      <c r="AP12" s="1757">
        <f t="shared" si="17"/>
        <v>0</v>
      </c>
      <c r="AQ12" s="1618"/>
      <c r="AR12" s="1645" t="s">
        <v>273</v>
      </c>
      <c r="AS12" s="1691" t="s">
        <v>274</v>
      </c>
      <c r="AT12" s="2061" t="s">
        <v>897</v>
      </c>
      <c r="AU12" s="1621"/>
      <c r="AV12" s="1621"/>
      <c r="AW12" s="1621"/>
      <c r="AX12" s="1621"/>
      <c r="AY12" s="1621"/>
      <c r="AZ12" s="1621"/>
      <c r="BA12" s="1621"/>
      <c r="BB12" s="1621"/>
      <c r="BC12" s="1621"/>
      <c r="BD12" s="1621"/>
      <c r="BE12" s="1623"/>
      <c r="BF12" s="1621"/>
      <c r="BG12" s="1621"/>
      <c r="BI12" s="1645" t="s">
        <v>273</v>
      </c>
      <c r="BJ12" s="1691" t="s">
        <v>274</v>
      </c>
      <c r="BK12" s="2061" t="s">
        <v>897</v>
      </c>
      <c r="BL12" s="1621"/>
      <c r="BM12" s="1621"/>
      <c r="BN12" s="1621"/>
      <c r="BO12" s="1621"/>
      <c r="BP12" s="1621"/>
      <c r="BQ12" s="1621"/>
      <c r="BR12" s="1621"/>
      <c r="BS12" s="1621"/>
      <c r="BT12" s="1621"/>
      <c r="BU12" s="1621"/>
      <c r="BV12" s="1623"/>
      <c r="BW12" s="1621"/>
      <c r="BX12" s="1621"/>
    </row>
    <row r="13" spans="1:77" ht="13.5" hidden="1" customHeight="1">
      <c r="B13" s="1651" t="str">
        <f t="shared" si="0"/>
        <v>1.1.2</v>
      </c>
      <c r="C13" s="1648" t="str">
        <f t="shared" si="1"/>
        <v>設備騒音対策</v>
      </c>
      <c r="D13" s="1714">
        <f>IF(I$11=0,0,G13/I$11)</f>
        <v>0</v>
      </c>
      <c r="E13" s="1714">
        <f>IF(J$11=0,0,H13/J$11)</f>
        <v>0</v>
      </c>
      <c r="G13" s="1689">
        <f t="shared" si="2"/>
        <v>0</v>
      </c>
      <c r="H13" s="1689">
        <f t="shared" si="2"/>
        <v>0</v>
      </c>
      <c r="I13" s="1719"/>
      <c r="J13" s="1719"/>
      <c r="K13" s="1706">
        <f>IF(スコア表示!X13=0,0,1)</f>
        <v>0</v>
      </c>
      <c r="L13" s="1706">
        <f>IF(スコア表示!AB13=0,0,1)</f>
        <v>0</v>
      </c>
      <c r="N13" s="1711">
        <f>IF(P$11=0,0,R13/P$11)</f>
        <v>0</v>
      </c>
      <c r="O13" s="1711">
        <f>IF(Q$11=0,0,S13/Q$11)</f>
        <v>0</v>
      </c>
      <c r="P13" s="1706"/>
      <c r="Q13" s="1706"/>
      <c r="R13" s="1614">
        <f>IF(スコア入力!R13="EB",重み_対象外!D13,U13)</f>
        <v>0</v>
      </c>
      <c r="S13" s="1614">
        <f>IF(スコア入力!Y13="EB",重み_対象外!E13,V13)</f>
        <v>0</v>
      </c>
      <c r="T13" s="1558"/>
      <c r="U13" s="1612"/>
      <c r="V13" s="1612"/>
      <c r="W13" s="1558"/>
      <c r="X13" s="1614" t="e">
        <f t="shared" si="18"/>
        <v>#DIV/0!</v>
      </c>
      <c r="Y13" s="1614" t="e">
        <f t="shared" si="21"/>
        <v>#DIV/0!</v>
      </c>
      <c r="Z13" s="1569"/>
      <c r="AA13" s="1611" t="str">
        <f t="shared" si="3"/>
        <v>1.1.2</v>
      </c>
      <c r="AB13" s="1611" t="str">
        <f t="shared" si="4"/>
        <v xml:space="preserve"> Q1 1.1</v>
      </c>
      <c r="AC13" s="1611" t="str">
        <f t="shared" si="5"/>
        <v>設備騒音対策</v>
      </c>
      <c r="AD13" s="1757">
        <f t="shared" si="6"/>
        <v>0</v>
      </c>
      <c r="AE13" s="1757">
        <f t="shared" si="7"/>
        <v>0</v>
      </c>
      <c r="AF13" s="1757">
        <f t="shared" si="8"/>
        <v>0</v>
      </c>
      <c r="AG13" s="1757">
        <f t="shared" si="9"/>
        <v>0</v>
      </c>
      <c r="AH13" s="1757">
        <f t="shared" si="10"/>
        <v>0</v>
      </c>
      <c r="AI13" s="1757">
        <f t="shared" si="11"/>
        <v>0</v>
      </c>
      <c r="AJ13" s="1757">
        <f t="shared" si="12"/>
        <v>0</v>
      </c>
      <c r="AK13" s="1757">
        <f t="shared" si="13"/>
        <v>0</v>
      </c>
      <c r="AL13" s="1757">
        <f t="shared" si="14"/>
        <v>0</v>
      </c>
      <c r="AM13" s="1757">
        <f t="shared" si="14"/>
        <v>0</v>
      </c>
      <c r="AN13" s="1758">
        <f t="shared" si="15"/>
        <v>0</v>
      </c>
      <c r="AO13" s="1757">
        <f t="shared" si="16"/>
        <v>0</v>
      </c>
      <c r="AP13" s="1757">
        <f t="shared" si="17"/>
        <v>0</v>
      </c>
      <c r="AQ13" s="1618"/>
      <c r="AR13" s="1645" t="s">
        <v>275</v>
      </c>
      <c r="AS13" s="1691" t="s">
        <v>274</v>
      </c>
      <c r="AT13" s="2061" t="s">
        <v>408</v>
      </c>
      <c r="AU13" s="1621"/>
      <c r="AV13" s="1621"/>
      <c r="AW13" s="1621"/>
      <c r="AX13" s="1621"/>
      <c r="AY13" s="1621"/>
      <c r="AZ13" s="1621"/>
      <c r="BA13" s="1621"/>
      <c r="BB13" s="1621"/>
      <c r="BC13" s="1621"/>
      <c r="BD13" s="1621"/>
      <c r="BE13" s="1623"/>
      <c r="BF13" s="1621"/>
      <c r="BG13" s="1621"/>
      <c r="BI13" s="1645" t="s">
        <v>275</v>
      </c>
      <c r="BJ13" s="1691" t="s">
        <v>274</v>
      </c>
      <c r="BK13" s="2061" t="s">
        <v>408</v>
      </c>
      <c r="BL13" s="1621"/>
      <c r="BM13" s="1621"/>
      <c r="BN13" s="1621"/>
      <c r="BO13" s="1621"/>
      <c r="BP13" s="1621"/>
      <c r="BQ13" s="1621"/>
      <c r="BR13" s="1621"/>
      <c r="BS13" s="1621"/>
      <c r="BT13" s="1621"/>
      <c r="BU13" s="1621"/>
      <c r="BV13" s="1623"/>
      <c r="BW13" s="1621"/>
      <c r="BX13" s="1621"/>
    </row>
    <row r="14" spans="1:77" ht="13.5" customHeight="1">
      <c r="B14" s="1619">
        <f t="shared" si="0"/>
        <v>1.2</v>
      </c>
      <c r="C14" s="514" t="str">
        <f t="shared" si="1"/>
        <v>遮音</v>
      </c>
      <c r="D14" s="1714" t="e">
        <f>IF(I$10=0,0,G14/I$10)</f>
        <v>#DIV/0!</v>
      </c>
      <c r="E14" s="1714" t="e">
        <f>IF(J$10=0,0,H14/J$10)</f>
        <v>#DIV/0!</v>
      </c>
      <c r="G14" s="1689" t="e">
        <f t="shared" si="2"/>
        <v>#DIV/0!</v>
      </c>
      <c r="H14" s="1689" t="e">
        <f t="shared" si="2"/>
        <v>#DIV/0!</v>
      </c>
      <c r="I14" s="1719" t="e">
        <f>SUM(G15:G18)</f>
        <v>#DIV/0!</v>
      </c>
      <c r="J14" s="1719" t="e">
        <f>SUM(H15:H18)</f>
        <v>#DIV/0!</v>
      </c>
      <c r="K14" s="1706" t="e">
        <f>IF(スコア表示!X14=0,0,1)</f>
        <v>#DIV/0!</v>
      </c>
      <c r="L14" s="1706" t="e">
        <f>IF(スコア表示!AB14=0,0,1)</f>
        <v>#DIV/0!</v>
      </c>
      <c r="N14" s="1711" t="e">
        <f>IF(P$10=0,0,P14/P$10)</f>
        <v>#DIV/0!</v>
      </c>
      <c r="O14" s="1711" t="e">
        <f>IF(Q$10=0,0,Q14/Q$10)</f>
        <v>#DIV/0!</v>
      </c>
      <c r="P14" s="1706" t="e">
        <f>SUM(R15:R18)</f>
        <v>#DIV/0!</v>
      </c>
      <c r="Q14" s="1706" t="e">
        <f>SUM(S15:S18)</f>
        <v>#DIV/0!</v>
      </c>
      <c r="R14" s="1614">
        <f>IF(スコア入力!R14="EB",重み_対象外!D14,U14)</f>
        <v>0</v>
      </c>
      <c r="S14" s="1614">
        <f>IF(スコア入力!Y14="EB",重み_対象外!E14,V14)</f>
        <v>0</v>
      </c>
      <c r="T14" s="1558"/>
      <c r="U14" s="1303"/>
      <c r="V14" s="1303"/>
      <c r="W14" s="1558"/>
      <c r="X14" s="1614" t="e">
        <f t="shared" si="18"/>
        <v>#DIV/0!</v>
      </c>
      <c r="Y14" s="1614" t="e">
        <f t="shared" si="21"/>
        <v>#DIV/0!</v>
      </c>
      <c r="Z14" s="1569"/>
      <c r="AA14" s="1611">
        <f t="shared" si="3"/>
        <v>1.2</v>
      </c>
      <c r="AB14" s="1611" t="str">
        <f t="shared" si="4"/>
        <v xml:space="preserve"> Q1 1</v>
      </c>
      <c r="AC14" s="1611" t="str">
        <f t="shared" si="5"/>
        <v>遮音</v>
      </c>
      <c r="AD14" s="1757">
        <f t="shared" si="6"/>
        <v>0.4</v>
      </c>
      <c r="AE14" s="1757">
        <f>IF($AA$3=1,AV14,BM14)</f>
        <v>0.4</v>
      </c>
      <c r="AF14" s="1757">
        <f t="shared" si="8"/>
        <v>0.4</v>
      </c>
      <c r="AG14" s="1757">
        <f t="shared" si="9"/>
        <v>0.4</v>
      </c>
      <c r="AH14" s="1757">
        <f t="shared" si="10"/>
        <v>0.4</v>
      </c>
      <c r="AI14" s="1757">
        <f t="shared" si="11"/>
        <v>0.4</v>
      </c>
      <c r="AJ14" s="1757">
        <f t="shared" si="12"/>
        <v>0.5</v>
      </c>
      <c r="AK14" s="1757">
        <f t="shared" si="13"/>
        <v>0.4</v>
      </c>
      <c r="AL14" s="1757">
        <f t="shared" si="14"/>
        <v>0.4</v>
      </c>
      <c r="AM14" s="1757">
        <f t="shared" si="14"/>
        <v>0.4</v>
      </c>
      <c r="AN14" s="1758">
        <f t="shared" si="15"/>
        <v>0.4</v>
      </c>
      <c r="AO14" s="1757">
        <f t="shared" si="16"/>
        <v>0.4</v>
      </c>
      <c r="AP14" s="1757">
        <f t="shared" si="17"/>
        <v>0.5</v>
      </c>
      <c r="AQ14" s="1618"/>
      <c r="AR14" s="1645">
        <v>1.2</v>
      </c>
      <c r="AS14" s="1691" t="s">
        <v>272</v>
      </c>
      <c r="AT14" s="1982" t="s">
        <v>409</v>
      </c>
      <c r="AU14" s="1621">
        <v>0.4</v>
      </c>
      <c r="AV14" s="1621">
        <v>0.4</v>
      </c>
      <c r="AW14" s="1621">
        <v>0.4</v>
      </c>
      <c r="AX14" s="1621">
        <v>0.4</v>
      </c>
      <c r="AY14" s="1621">
        <v>0.4</v>
      </c>
      <c r="AZ14" s="1621">
        <v>0.4</v>
      </c>
      <c r="BA14" s="1621">
        <v>0.5</v>
      </c>
      <c r="BB14" s="1621">
        <v>0.4</v>
      </c>
      <c r="BC14" s="1621">
        <v>0.4</v>
      </c>
      <c r="BD14" s="1621">
        <v>0.4</v>
      </c>
      <c r="BE14" s="1621">
        <v>0.4</v>
      </c>
      <c r="BF14" s="1621">
        <v>0.4</v>
      </c>
      <c r="BG14" s="1621">
        <v>0.5</v>
      </c>
      <c r="BI14" s="1645">
        <v>1.2</v>
      </c>
      <c r="BJ14" s="1691" t="s">
        <v>272</v>
      </c>
      <c r="BK14" s="1982" t="s">
        <v>409</v>
      </c>
      <c r="BL14" s="1621">
        <v>0.4</v>
      </c>
      <c r="BM14" s="1621">
        <v>0.4</v>
      </c>
      <c r="BN14" s="1621">
        <v>0.4</v>
      </c>
      <c r="BO14" s="1621">
        <v>0.4</v>
      </c>
      <c r="BP14" s="1621">
        <v>0.4</v>
      </c>
      <c r="BQ14" s="1621">
        <v>0.4</v>
      </c>
      <c r="BR14" s="1621">
        <v>0.5</v>
      </c>
      <c r="BS14" s="1621">
        <v>0.4</v>
      </c>
      <c r="BT14" s="1621">
        <v>0.4</v>
      </c>
      <c r="BU14" s="1621">
        <v>0.4</v>
      </c>
      <c r="BV14" s="1621">
        <v>0.4</v>
      </c>
      <c r="BW14" s="1621">
        <v>0.4</v>
      </c>
      <c r="BX14" s="1621">
        <v>0.5</v>
      </c>
    </row>
    <row r="15" spans="1:77" ht="13.5" customHeight="1">
      <c r="B15" s="1619" t="str">
        <f t="shared" si="0"/>
        <v>1.2.1</v>
      </c>
      <c r="C15" s="514" t="str">
        <f t="shared" si="1"/>
        <v>開口部遮音性能</v>
      </c>
      <c r="D15" s="1714" t="e">
        <f t="shared" ref="D15:E18" si="22">IF(I$14=0,0,G15/I$14)</f>
        <v>#DIV/0!</v>
      </c>
      <c r="E15" s="1714" t="e">
        <f>IF(J$14=0,0,H15/J$14)</f>
        <v>#DIV/0!</v>
      </c>
      <c r="G15" s="1689" t="e">
        <f t="shared" si="2"/>
        <v>#DIV/0!</v>
      </c>
      <c r="H15" s="1689" t="e">
        <f t="shared" si="2"/>
        <v>#DIV/0!</v>
      </c>
      <c r="I15" s="1719"/>
      <c r="J15" s="1719"/>
      <c r="K15" s="1706">
        <f>IF(スコア表示!X15=0,0,1)</f>
        <v>1</v>
      </c>
      <c r="L15" s="1706">
        <f>IF(スコア表示!AB15=0,0,1)</f>
        <v>0</v>
      </c>
      <c r="N15" s="1711" t="e">
        <f t="shared" ref="N15:O18" si="23">IF(P$14=0,0,R15/P$14)</f>
        <v>#DIV/0!</v>
      </c>
      <c r="O15" s="1711" t="e">
        <f t="shared" si="23"/>
        <v>#DIV/0!</v>
      </c>
      <c r="P15" s="1614"/>
      <c r="Q15" s="1614"/>
      <c r="R15" s="1614" t="e">
        <f>IF(スコア入力!R15="EB",重み_対象外!D15,U15)</f>
        <v>#DIV/0!</v>
      </c>
      <c r="S15" s="1614" t="e">
        <f>IF(スコア入力!Y15="EB",重み_対象外!E15,V15)</f>
        <v>#DIV/0!</v>
      </c>
      <c r="T15" s="1558"/>
      <c r="U15" s="1612" t="e">
        <f>X$10*X$14*X15</f>
        <v>#DIV/0!</v>
      </c>
      <c r="V15" s="1612" t="e">
        <f t="shared" ref="U15:V18" si="24">Y$10*Y$14*Y15</f>
        <v>#DIV/0!</v>
      </c>
      <c r="W15" s="1558"/>
      <c r="X15" s="1614" t="e">
        <f t="shared" si="18"/>
        <v>#DIV/0!</v>
      </c>
      <c r="Y15" s="1614" t="e">
        <f t="shared" si="21"/>
        <v>#DIV/0!</v>
      </c>
      <c r="Z15" s="1569"/>
      <c r="AA15" s="1611" t="str">
        <f t="shared" si="3"/>
        <v>1.2.1</v>
      </c>
      <c r="AB15" s="1611" t="str">
        <f t="shared" si="4"/>
        <v xml:space="preserve"> Q1 1.2</v>
      </c>
      <c r="AC15" s="1611" t="str">
        <f t="shared" si="5"/>
        <v>開口部遮音性能</v>
      </c>
      <c r="AD15" s="1757">
        <f t="shared" si="6"/>
        <v>0.6</v>
      </c>
      <c r="AE15" s="1757">
        <f t="shared" si="7"/>
        <v>0.3</v>
      </c>
      <c r="AF15" s="1757">
        <f t="shared" si="8"/>
        <v>1</v>
      </c>
      <c r="AG15" s="1757">
        <f t="shared" si="9"/>
        <v>0.6</v>
      </c>
      <c r="AH15" s="1757">
        <f t="shared" si="10"/>
        <v>0.4</v>
      </c>
      <c r="AI15" s="1757">
        <f t="shared" si="11"/>
        <v>1</v>
      </c>
      <c r="AJ15" s="1757">
        <f t="shared" si="12"/>
        <v>1</v>
      </c>
      <c r="AK15" s="1759">
        <f t="shared" si="13"/>
        <v>1</v>
      </c>
      <c r="AL15" s="1757">
        <f t="shared" si="14"/>
        <v>0.6</v>
      </c>
      <c r="AM15" s="1757">
        <f t="shared" si="14"/>
        <v>0.3</v>
      </c>
      <c r="AN15" s="1758">
        <f t="shared" si="15"/>
        <v>0.3</v>
      </c>
      <c r="AO15" s="1757">
        <f t="shared" si="16"/>
        <v>0.3</v>
      </c>
      <c r="AP15" s="1757">
        <f t="shared" si="17"/>
        <v>0.3</v>
      </c>
      <c r="AQ15" s="1618"/>
      <c r="AR15" s="1645" t="s">
        <v>1408</v>
      </c>
      <c r="AS15" s="1691" t="s">
        <v>276</v>
      </c>
      <c r="AT15" s="1982" t="s">
        <v>1409</v>
      </c>
      <c r="AU15" s="1621">
        <v>0.6</v>
      </c>
      <c r="AV15" s="1621">
        <v>0.3</v>
      </c>
      <c r="AW15" s="1621">
        <v>1</v>
      </c>
      <c r="AX15" s="1621">
        <v>0.6</v>
      </c>
      <c r="AY15" s="1621">
        <v>0.4</v>
      </c>
      <c r="AZ15" s="1621">
        <v>1</v>
      </c>
      <c r="BA15" s="1621">
        <v>1</v>
      </c>
      <c r="BB15" s="1621">
        <v>1</v>
      </c>
      <c r="BC15" s="1621">
        <v>0.6</v>
      </c>
      <c r="BD15" s="1621">
        <v>0.3</v>
      </c>
      <c r="BE15" s="1621">
        <v>0.3</v>
      </c>
      <c r="BF15" s="1621">
        <v>0.3</v>
      </c>
      <c r="BG15" s="1621">
        <v>0.3</v>
      </c>
      <c r="BI15" s="1645" t="s">
        <v>1408</v>
      </c>
      <c r="BJ15" s="1691" t="s">
        <v>276</v>
      </c>
      <c r="BK15" s="1982" t="s">
        <v>1409</v>
      </c>
      <c r="BL15" s="1621">
        <v>0.6</v>
      </c>
      <c r="BM15" s="1621">
        <v>0.3</v>
      </c>
      <c r="BN15" s="1621">
        <v>1</v>
      </c>
      <c r="BO15" s="1621">
        <v>0.6</v>
      </c>
      <c r="BP15" s="1621">
        <v>0.4</v>
      </c>
      <c r="BQ15" s="1621">
        <v>1</v>
      </c>
      <c r="BR15" s="1621">
        <v>1</v>
      </c>
      <c r="BS15" s="1621">
        <v>1</v>
      </c>
      <c r="BT15" s="1621">
        <v>0.6</v>
      </c>
      <c r="BU15" s="1621">
        <v>0.3</v>
      </c>
      <c r="BV15" s="1621">
        <v>0.3</v>
      </c>
      <c r="BW15" s="1621">
        <v>0.3</v>
      </c>
      <c r="BX15" s="1621">
        <v>0.3</v>
      </c>
    </row>
    <row r="16" spans="1:77" ht="13.5" customHeight="1">
      <c r="B16" s="1619" t="str">
        <f t="shared" si="0"/>
        <v>1.2.2</v>
      </c>
      <c r="C16" s="514" t="str">
        <f t="shared" si="1"/>
        <v>界壁遮音性能</v>
      </c>
      <c r="D16" s="1714" t="e">
        <f t="shared" si="22"/>
        <v>#DIV/0!</v>
      </c>
      <c r="E16" s="1714" t="e">
        <f t="shared" si="22"/>
        <v>#DIV/0!</v>
      </c>
      <c r="G16" s="1689" t="e">
        <f t="shared" si="2"/>
        <v>#DIV/0!</v>
      </c>
      <c r="H16" s="1689" t="e">
        <f t="shared" si="2"/>
        <v>#DIV/0!</v>
      </c>
      <c r="I16" s="1689"/>
      <c r="J16" s="1689"/>
      <c r="K16" s="1614">
        <f>IF(スコア表示!X16=0,0,1)</f>
        <v>1</v>
      </c>
      <c r="L16" s="1614">
        <f>IF(スコア表示!AB16=0,0,1)</f>
        <v>0</v>
      </c>
      <c r="N16" s="1711" t="e">
        <f t="shared" si="23"/>
        <v>#DIV/0!</v>
      </c>
      <c r="O16" s="1711" t="e">
        <f t="shared" si="23"/>
        <v>#DIV/0!</v>
      </c>
      <c r="P16" s="1614"/>
      <c r="Q16" s="1614"/>
      <c r="R16" s="1614" t="e">
        <f>IF(スコア入力!R16="EB",重み_対象外!D16,U16)</f>
        <v>#DIV/0!</v>
      </c>
      <c r="S16" s="1614" t="e">
        <f>IF(スコア入力!Y16="EB",重み_対象外!E16,V16)</f>
        <v>#DIV/0!</v>
      </c>
      <c r="T16" s="1558"/>
      <c r="U16" s="1612" t="e">
        <f t="shared" si="24"/>
        <v>#DIV/0!</v>
      </c>
      <c r="V16" s="1612" t="e">
        <f t="shared" si="24"/>
        <v>#DIV/0!</v>
      </c>
      <c r="W16" s="1558"/>
      <c r="X16" s="1614" t="e">
        <f t="shared" si="18"/>
        <v>#DIV/0!</v>
      </c>
      <c r="Y16" s="1614" t="e">
        <f t="shared" si="21"/>
        <v>#DIV/0!</v>
      </c>
      <c r="Z16" s="1569"/>
      <c r="AA16" s="1611" t="str">
        <f t="shared" si="3"/>
        <v>1.2.2</v>
      </c>
      <c r="AB16" s="1611" t="str">
        <f t="shared" si="4"/>
        <v xml:space="preserve"> Q1 1.2</v>
      </c>
      <c r="AC16" s="1611" t="str">
        <f t="shared" si="5"/>
        <v>界壁遮音性能</v>
      </c>
      <c r="AD16" s="1757">
        <f t="shared" si="6"/>
        <v>0.4</v>
      </c>
      <c r="AE16" s="1757">
        <f t="shared" si="7"/>
        <v>0.3</v>
      </c>
      <c r="AF16" s="1757">
        <f t="shared" si="8"/>
        <v>0</v>
      </c>
      <c r="AG16" s="1757">
        <f t="shared" si="9"/>
        <v>0.4</v>
      </c>
      <c r="AH16" s="1757">
        <f t="shared" si="10"/>
        <v>0.6</v>
      </c>
      <c r="AI16" s="1757">
        <f t="shared" si="11"/>
        <v>0</v>
      </c>
      <c r="AJ16" s="1757">
        <f t="shared" si="12"/>
        <v>0</v>
      </c>
      <c r="AK16" s="1759">
        <f t="shared" si="13"/>
        <v>0</v>
      </c>
      <c r="AL16" s="1757">
        <f t="shared" si="14"/>
        <v>0.4</v>
      </c>
      <c r="AM16" s="1757">
        <f t="shared" si="14"/>
        <v>0.3</v>
      </c>
      <c r="AN16" s="1758">
        <f t="shared" si="15"/>
        <v>0.3</v>
      </c>
      <c r="AO16" s="1757">
        <f t="shared" si="16"/>
        <v>0.3</v>
      </c>
      <c r="AP16" s="1757">
        <f t="shared" si="17"/>
        <v>0.3</v>
      </c>
      <c r="AQ16" s="1618"/>
      <c r="AR16" s="1645" t="s">
        <v>1410</v>
      </c>
      <c r="AS16" s="1691" t="s">
        <v>276</v>
      </c>
      <c r="AT16" s="1982" t="s">
        <v>606</v>
      </c>
      <c r="AU16" s="1621">
        <v>0.4</v>
      </c>
      <c r="AV16" s="1621">
        <v>0.3</v>
      </c>
      <c r="AW16" s="1621"/>
      <c r="AX16" s="1621">
        <v>0.4</v>
      </c>
      <c r="AY16" s="1621">
        <v>0.6</v>
      </c>
      <c r="AZ16" s="1621"/>
      <c r="BA16" s="1621"/>
      <c r="BB16" s="1621"/>
      <c r="BC16" s="1621">
        <v>0.4</v>
      </c>
      <c r="BD16" s="1621">
        <v>0.3</v>
      </c>
      <c r="BE16" s="1621">
        <v>0.3</v>
      </c>
      <c r="BF16" s="1621">
        <v>0.3</v>
      </c>
      <c r="BG16" s="1621">
        <v>0.3</v>
      </c>
      <c r="BI16" s="1645" t="s">
        <v>1410</v>
      </c>
      <c r="BJ16" s="1691" t="s">
        <v>276</v>
      </c>
      <c r="BK16" s="1982" t="s">
        <v>606</v>
      </c>
      <c r="BL16" s="1621">
        <v>0.4</v>
      </c>
      <c r="BM16" s="1621">
        <v>0.3</v>
      </c>
      <c r="BN16" s="1621"/>
      <c r="BO16" s="1621">
        <v>0.4</v>
      </c>
      <c r="BP16" s="1621">
        <v>0.6</v>
      </c>
      <c r="BQ16" s="1621"/>
      <c r="BR16" s="1621"/>
      <c r="BS16" s="1621"/>
      <c r="BT16" s="1621">
        <v>0.4</v>
      </c>
      <c r="BU16" s="1621">
        <v>0.3</v>
      </c>
      <c r="BV16" s="1621">
        <v>0.3</v>
      </c>
      <c r="BW16" s="1621">
        <v>0.3</v>
      </c>
      <c r="BX16" s="1621">
        <v>0.3</v>
      </c>
    </row>
    <row r="17" spans="1:77" ht="13.5" customHeight="1">
      <c r="B17" s="1619" t="str">
        <f t="shared" si="0"/>
        <v>1.2.3</v>
      </c>
      <c r="C17" s="514" t="str">
        <f t="shared" si="1"/>
        <v>界床遮音性能（軽量衝撃源）</v>
      </c>
      <c r="D17" s="1714" t="e">
        <f t="shared" si="22"/>
        <v>#DIV/0!</v>
      </c>
      <c r="E17" s="1714" t="e">
        <f t="shared" si="22"/>
        <v>#DIV/0!</v>
      </c>
      <c r="G17" s="1689" t="e">
        <f t="shared" si="2"/>
        <v>#DIV/0!</v>
      </c>
      <c r="H17" s="1689" t="e">
        <f t="shared" si="2"/>
        <v>#DIV/0!</v>
      </c>
      <c r="I17" s="1689"/>
      <c r="J17" s="1689"/>
      <c r="K17" s="1614">
        <f>IF(スコア表示!X17=0,0,1)</f>
        <v>0</v>
      </c>
      <c r="L17" s="1614">
        <f>IF(スコア表示!AB17=0,0,1)</f>
        <v>0</v>
      </c>
      <c r="N17" s="1711" t="e">
        <f t="shared" si="23"/>
        <v>#DIV/0!</v>
      </c>
      <c r="O17" s="1711" t="e">
        <f t="shared" si="23"/>
        <v>#DIV/0!</v>
      </c>
      <c r="P17" s="1614"/>
      <c r="Q17" s="1614"/>
      <c r="R17" s="1614" t="e">
        <f>IF(スコア入力!R17="EB",重み_対象外!D17,U17)</f>
        <v>#DIV/0!</v>
      </c>
      <c r="S17" s="1614" t="e">
        <f>IF(スコア入力!Y17="EB",重み_対象外!E17,V17)</f>
        <v>#DIV/0!</v>
      </c>
      <c r="T17" s="1558"/>
      <c r="U17" s="1612" t="e">
        <f t="shared" si="24"/>
        <v>#DIV/0!</v>
      </c>
      <c r="V17" s="1612" t="e">
        <f t="shared" si="24"/>
        <v>#DIV/0!</v>
      </c>
      <c r="W17" s="1558"/>
      <c r="X17" s="1614" t="e">
        <f t="shared" si="18"/>
        <v>#DIV/0!</v>
      </c>
      <c r="Y17" s="1614" t="e">
        <f t="shared" si="21"/>
        <v>#DIV/0!</v>
      </c>
      <c r="Z17" s="1569"/>
      <c r="AA17" s="1611" t="str">
        <f t="shared" si="3"/>
        <v>1.2.3</v>
      </c>
      <c r="AB17" s="1611" t="str">
        <f t="shared" si="4"/>
        <v xml:space="preserve"> Q1 1.2</v>
      </c>
      <c r="AC17" s="1611" t="str">
        <f t="shared" si="5"/>
        <v>界床遮音性能（軽量衝撃源）</v>
      </c>
      <c r="AD17" s="1757">
        <f t="shared" si="6"/>
        <v>0</v>
      </c>
      <c r="AE17" s="1757">
        <f t="shared" si="7"/>
        <v>0.2</v>
      </c>
      <c r="AF17" s="1757">
        <f t="shared" si="8"/>
        <v>0</v>
      </c>
      <c r="AG17" s="1757">
        <f t="shared" si="9"/>
        <v>0</v>
      </c>
      <c r="AH17" s="1757">
        <f t="shared" si="10"/>
        <v>0</v>
      </c>
      <c r="AI17" s="1757">
        <f t="shared" si="11"/>
        <v>0</v>
      </c>
      <c r="AJ17" s="1757">
        <f t="shared" si="12"/>
        <v>0</v>
      </c>
      <c r="AK17" s="1759">
        <f t="shared" si="13"/>
        <v>0</v>
      </c>
      <c r="AL17" s="1757">
        <f t="shared" si="14"/>
        <v>0</v>
      </c>
      <c r="AM17" s="1757">
        <f t="shared" si="14"/>
        <v>0.2</v>
      </c>
      <c r="AN17" s="1758">
        <f t="shared" si="15"/>
        <v>0.2</v>
      </c>
      <c r="AO17" s="1757">
        <f t="shared" si="16"/>
        <v>0.2</v>
      </c>
      <c r="AP17" s="1757">
        <f t="shared" si="17"/>
        <v>0.2</v>
      </c>
      <c r="AQ17" s="1618"/>
      <c r="AR17" s="1645" t="s">
        <v>1412</v>
      </c>
      <c r="AS17" s="1691" t="s">
        <v>276</v>
      </c>
      <c r="AT17" s="1982" t="s">
        <v>607</v>
      </c>
      <c r="AU17" s="1621"/>
      <c r="AV17" s="1621">
        <v>0.2</v>
      </c>
      <c r="AW17" s="1621"/>
      <c r="AX17" s="1621"/>
      <c r="AY17" s="1621"/>
      <c r="AZ17" s="1621"/>
      <c r="BA17" s="1621"/>
      <c r="BB17" s="1622"/>
      <c r="BC17" s="1621"/>
      <c r="BD17" s="1621">
        <v>0.2</v>
      </c>
      <c r="BE17" s="1623">
        <v>0.2</v>
      </c>
      <c r="BF17" s="1621">
        <v>0.2</v>
      </c>
      <c r="BG17" s="1621">
        <v>0.2</v>
      </c>
      <c r="BI17" s="1645" t="s">
        <v>1412</v>
      </c>
      <c r="BJ17" s="1691" t="s">
        <v>276</v>
      </c>
      <c r="BK17" s="1982" t="s">
        <v>607</v>
      </c>
      <c r="BL17" s="1621"/>
      <c r="BM17" s="1621">
        <v>0.2</v>
      </c>
      <c r="BN17" s="1621"/>
      <c r="BO17" s="1621"/>
      <c r="BP17" s="1621"/>
      <c r="BQ17" s="1621"/>
      <c r="BR17" s="1621"/>
      <c r="BS17" s="1622"/>
      <c r="BT17" s="1621"/>
      <c r="BU17" s="1621">
        <v>0.2</v>
      </c>
      <c r="BV17" s="1623">
        <v>0.2</v>
      </c>
      <c r="BW17" s="1621">
        <v>0.2</v>
      </c>
      <c r="BX17" s="1621">
        <v>0.2</v>
      </c>
    </row>
    <row r="18" spans="1:77" ht="13.5" customHeight="1">
      <c r="B18" s="1619" t="str">
        <f t="shared" si="0"/>
        <v>1.2.4</v>
      </c>
      <c r="C18" s="514" t="str">
        <f t="shared" si="1"/>
        <v>界床遮音性能（重量衝撃源）</v>
      </c>
      <c r="D18" s="1714" t="e">
        <f t="shared" si="22"/>
        <v>#DIV/0!</v>
      </c>
      <c r="E18" s="1714" t="e">
        <f t="shared" si="22"/>
        <v>#DIV/0!</v>
      </c>
      <c r="G18" s="1689" t="e">
        <f t="shared" si="2"/>
        <v>#DIV/0!</v>
      </c>
      <c r="H18" s="1689" t="e">
        <f t="shared" si="2"/>
        <v>#DIV/0!</v>
      </c>
      <c r="I18" s="1689"/>
      <c r="J18" s="1689"/>
      <c r="K18" s="1614">
        <f>IF(スコア表示!X18=0,0,1)</f>
        <v>0</v>
      </c>
      <c r="L18" s="1614">
        <f>IF(スコア表示!AB18=0,0,1)</f>
        <v>0</v>
      </c>
      <c r="N18" s="1711" t="e">
        <f t="shared" si="23"/>
        <v>#DIV/0!</v>
      </c>
      <c r="O18" s="1711" t="e">
        <f t="shared" si="23"/>
        <v>#DIV/0!</v>
      </c>
      <c r="P18" s="1614"/>
      <c r="Q18" s="1614"/>
      <c r="R18" s="1614" t="e">
        <f>IF(スコア入力!R18="EB",重み_対象外!D18,U18)</f>
        <v>#DIV/0!</v>
      </c>
      <c r="S18" s="1614" t="e">
        <f>IF(スコア入力!Y18="EB",重み_対象外!E18,V18)</f>
        <v>#DIV/0!</v>
      </c>
      <c r="T18" s="1558"/>
      <c r="U18" s="1612" t="e">
        <f t="shared" si="24"/>
        <v>#DIV/0!</v>
      </c>
      <c r="V18" s="1612" t="e">
        <f t="shared" si="24"/>
        <v>#DIV/0!</v>
      </c>
      <c r="W18" s="1558"/>
      <c r="X18" s="1614" t="e">
        <f t="shared" si="18"/>
        <v>#DIV/0!</v>
      </c>
      <c r="Y18" s="1614" t="e">
        <f t="shared" si="21"/>
        <v>#DIV/0!</v>
      </c>
      <c r="Z18" s="1569"/>
      <c r="AA18" s="1611" t="str">
        <f t="shared" si="3"/>
        <v>1.2.4</v>
      </c>
      <c r="AB18" s="1611" t="str">
        <f t="shared" si="4"/>
        <v xml:space="preserve"> Q1 1.2</v>
      </c>
      <c r="AC18" s="1611" t="str">
        <f t="shared" si="5"/>
        <v>界床遮音性能（重量衝撃源）</v>
      </c>
      <c r="AD18" s="1757">
        <f t="shared" si="6"/>
        <v>0</v>
      </c>
      <c r="AE18" s="1757">
        <f t="shared" si="7"/>
        <v>0.2</v>
      </c>
      <c r="AF18" s="1757">
        <f t="shared" si="8"/>
        <v>0</v>
      </c>
      <c r="AG18" s="1757">
        <f t="shared" si="9"/>
        <v>0</v>
      </c>
      <c r="AH18" s="1757">
        <f t="shared" si="10"/>
        <v>0</v>
      </c>
      <c r="AI18" s="1757">
        <f t="shared" si="11"/>
        <v>0</v>
      </c>
      <c r="AJ18" s="1757">
        <f t="shared" si="12"/>
        <v>0</v>
      </c>
      <c r="AK18" s="1759">
        <f t="shared" si="13"/>
        <v>0</v>
      </c>
      <c r="AL18" s="1757">
        <f t="shared" si="14"/>
        <v>0</v>
      </c>
      <c r="AM18" s="1757">
        <f t="shared" si="14"/>
        <v>0.2</v>
      </c>
      <c r="AN18" s="1758">
        <f t="shared" si="15"/>
        <v>0.2</v>
      </c>
      <c r="AO18" s="1757">
        <f t="shared" si="16"/>
        <v>0.2</v>
      </c>
      <c r="AP18" s="1757">
        <f t="shared" si="17"/>
        <v>0.2</v>
      </c>
      <c r="AQ18" s="1618"/>
      <c r="AR18" s="1645" t="s">
        <v>1413</v>
      </c>
      <c r="AS18" s="1691" t="s">
        <v>276</v>
      </c>
      <c r="AT18" s="1982" t="s">
        <v>608</v>
      </c>
      <c r="AU18" s="1621"/>
      <c r="AV18" s="1621">
        <v>0.2</v>
      </c>
      <c r="AW18" s="1621"/>
      <c r="AX18" s="1621"/>
      <c r="AY18" s="1621"/>
      <c r="AZ18" s="1621"/>
      <c r="BA18" s="1621"/>
      <c r="BB18" s="1622"/>
      <c r="BC18" s="1621"/>
      <c r="BD18" s="1621">
        <v>0.2</v>
      </c>
      <c r="BE18" s="1623">
        <v>0.2</v>
      </c>
      <c r="BF18" s="1621">
        <v>0.2</v>
      </c>
      <c r="BG18" s="1621">
        <v>0.2</v>
      </c>
      <c r="BI18" s="1645" t="s">
        <v>1413</v>
      </c>
      <c r="BJ18" s="1691" t="s">
        <v>276</v>
      </c>
      <c r="BK18" s="1982" t="s">
        <v>608</v>
      </c>
      <c r="BL18" s="1621"/>
      <c r="BM18" s="1621">
        <v>0.2</v>
      </c>
      <c r="BN18" s="1621"/>
      <c r="BO18" s="1621"/>
      <c r="BP18" s="1621"/>
      <c r="BQ18" s="1621"/>
      <c r="BR18" s="1621"/>
      <c r="BS18" s="1622"/>
      <c r="BT18" s="1621"/>
      <c r="BU18" s="1621">
        <v>0.2</v>
      </c>
      <c r="BV18" s="1623">
        <v>0.2</v>
      </c>
      <c r="BW18" s="1621">
        <v>0.2</v>
      </c>
      <c r="BX18" s="1621">
        <v>0.2</v>
      </c>
    </row>
    <row r="19" spans="1:77" ht="13.5" customHeight="1">
      <c r="B19" s="1619">
        <f t="shared" si="0"/>
        <v>1.3</v>
      </c>
      <c r="C19" s="514" t="str">
        <f t="shared" si="1"/>
        <v>吸音</v>
      </c>
      <c r="D19" s="1714" t="e">
        <f>IF(I$10=0,0,G19/I$10)</f>
        <v>#DIV/0!</v>
      </c>
      <c r="E19" s="1714" t="e">
        <f>IF(J$10=0,0,H19/J$10)</f>
        <v>#DIV/0!</v>
      </c>
      <c r="G19" s="1689" t="e">
        <f t="shared" si="2"/>
        <v>#DIV/0!</v>
      </c>
      <c r="H19" s="1689" t="e">
        <f t="shared" si="2"/>
        <v>#DIV/0!</v>
      </c>
      <c r="I19" s="1689"/>
      <c r="J19" s="1689"/>
      <c r="K19" s="1614">
        <f>IF(スコア表示!X19=0,0,1)</f>
        <v>1</v>
      </c>
      <c r="L19" s="1614">
        <f>IF(スコア表示!AB19=0,0,1)</f>
        <v>0</v>
      </c>
      <c r="N19" s="1711" t="e">
        <f>IF(P$10=0,0,R19/P$10)</f>
        <v>#DIV/0!</v>
      </c>
      <c r="O19" s="1711" t="e">
        <f>IF(Q$10=0,0,S19/Q$10)</f>
        <v>#DIV/0!</v>
      </c>
      <c r="P19" s="1614"/>
      <c r="Q19" s="1614"/>
      <c r="R19" s="1614" t="e">
        <f>IF(スコア入力!R19="EB",重み_対象外!D19,U19)</f>
        <v>#DIV/0!</v>
      </c>
      <c r="S19" s="1614" t="e">
        <f>IF(スコア入力!Y19="EB",重み_対象外!E19,V19)</f>
        <v>#DIV/0!</v>
      </c>
      <c r="T19" s="1558"/>
      <c r="U19" s="1303" t="e">
        <f>X10*X19</f>
        <v>#DIV/0!</v>
      </c>
      <c r="V19" s="1303" t="e">
        <f>Y10*Y19</f>
        <v>#DIV/0!</v>
      </c>
      <c r="W19" s="1558"/>
      <c r="X19" s="1614" t="e">
        <f t="shared" si="18"/>
        <v>#DIV/0!</v>
      </c>
      <c r="Y19" s="1614" t="e">
        <f t="shared" si="21"/>
        <v>#DIV/0!</v>
      </c>
      <c r="Z19" s="1569"/>
      <c r="AA19" s="1611">
        <f t="shared" si="3"/>
        <v>1.3</v>
      </c>
      <c r="AB19" s="1611" t="str">
        <f t="shared" si="4"/>
        <v xml:space="preserve"> Q1 1</v>
      </c>
      <c r="AC19" s="1611" t="str">
        <f t="shared" si="5"/>
        <v>吸音</v>
      </c>
      <c r="AD19" s="1757">
        <f t="shared" si="6"/>
        <v>0.2</v>
      </c>
      <c r="AE19" s="1757">
        <f t="shared" si="7"/>
        <v>0.2</v>
      </c>
      <c r="AF19" s="1757">
        <f t="shared" si="8"/>
        <v>0.2</v>
      </c>
      <c r="AG19" s="1757">
        <f t="shared" si="9"/>
        <v>0.2</v>
      </c>
      <c r="AH19" s="1757">
        <f t="shared" si="10"/>
        <v>0.2</v>
      </c>
      <c r="AI19" s="1757">
        <f t="shared" si="11"/>
        <v>0.2</v>
      </c>
      <c r="AJ19" s="1757">
        <f t="shared" si="12"/>
        <v>0</v>
      </c>
      <c r="AK19" s="1759">
        <f t="shared" si="13"/>
        <v>0.2</v>
      </c>
      <c r="AL19" s="1757">
        <f t="shared" si="14"/>
        <v>0.2</v>
      </c>
      <c r="AM19" s="1757">
        <f t="shared" si="14"/>
        <v>0.2</v>
      </c>
      <c r="AN19" s="1758">
        <f t="shared" si="15"/>
        <v>0.2</v>
      </c>
      <c r="AO19" s="1757">
        <f t="shared" si="16"/>
        <v>0.2</v>
      </c>
      <c r="AP19" s="1757">
        <f t="shared" si="17"/>
        <v>0</v>
      </c>
      <c r="AQ19" s="1618"/>
      <c r="AR19" s="1645">
        <v>1.3</v>
      </c>
      <c r="AS19" s="1691" t="s">
        <v>272</v>
      </c>
      <c r="AT19" s="1982" t="s">
        <v>609</v>
      </c>
      <c r="AU19" s="1621">
        <v>0.2</v>
      </c>
      <c r="AV19" s="1621">
        <v>0.2</v>
      </c>
      <c r="AW19" s="1621">
        <v>0.2</v>
      </c>
      <c r="AX19" s="1621">
        <v>0.2</v>
      </c>
      <c r="AY19" s="1621">
        <v>0.2</v>
      </c>
      <c r="AZ19" s="1621">
        <v>0.2</v>
      </c>
      <c r="BA19" s="1621">
        <v>0</v>
      </c>
      <c r="BB19" s="1622">
        <v>0.2</v>
      </c>
      <c r="BC19" s="1621">
        <v>0.2</v>
      </c>
      <c r="BD19" s="1621">
        <v>0.2</v>
      </c>
      <c r="BE19" s="1623">
        <v>0.2</v>
      </c>
      <c r="BF19" s="1621">
        <v>0.2</v>
      </c>
      <c r="BG19" s="1621">
        <v>0</v>
      </c>
      <c r="BI19" s="1645">
        <v>1.3</v>
      </c>
      <c r="BJ19" s="1691" t="s">
        <v>272</v>
      </c>
      <c r="BK19" s="1982" t="s">
        <v>609</v>
      </c>
      <c r="BL19" s="1621">
        <v>0.2</v>
      </c>
      <c r="BM19" s="1621">
        <v>0.2</v>
      </c>
      <c r="BN19" s="1621">
        <v>0.2</v>
      </c>
      <c r="BO19" s="1621">
        <v>0.2</v>
      </c>
      <c r="BP19" s="1621">
        <v>0.2</v>
      </c>
      <c r="BQ19" s="1621">
        <v>0.2</v>
      </c>
      <c r="BR19" s="1621">
        <v>0</v>
      </c>
      <c r="BS19" s="1622">
        <v>0.2</v>
      </c>
      <c r="BT19" s="1621">
        <v>0.2</v>
      </c>
      <c r="BU19" s="1621">
        <v>0.2</v>
      </c>
      <c r="BV19" s="1623">
        <v>0.2</v>
      </c>
      <c r="BW19" s="1621">
        <v>0.2</v>
      </c>
      <c r="BX19" s="1621">
        <v>0</v>
      </c>
    </row>
    <row r="20" spans="1:77" s="1603" customFormat="1" ht="13.5" customHeight="1">
      <c r="A20"/>
      <c r="B20" s="1625">
        <f t="shared" si="0"/>
        <v>2</v>
      </c>
      <c r="C20" s="1626" t="str">
        <f t="shared" si="1"/>
        <v>温熱環境</v>
      </c>
      <c r="D20" s="2059" t="e">
        <f>IF(I$9=0,0,G20/I$9)</f>
        <v>#DIV/0!</v>
      </c>
      <c r="E20" s="1741" t="e">
        <f>IF(J$9=0,0,H20/J$9)</f>
        <v>#DIV/0!</v>
      </c>
      <c r="F20"/>
      <c r="G20" s="1741" t="e">
        <f t="shared" si="2"/>
        <v>#DIV/0!</v>
      </c>
      <c r="H20" s="1741" t="e">
        <f t="shared" si="2"/>
        <v>#DIV/0!</v>
      </c>
      <c r="I20" s="1741" t="e">
        <f>G21+G30+G31</f>
        <v>#DIV/0!</v>
      </c>
      <c r="J20" s="1741" t="e">
        <f>H21+H30+H31</f>
        <v>#DIV/0!</v>
      </c>
      <c r="K20" s="1607" t="e">
        <f>IF(スコア表示!X20=0,0,1)</f>
        <v>#DIV/0!</v>
      </c>
      <c r="L20" s="1607" t="e">
        <f>IF(スコア表示!AB20=0,0,1)</f>
        <v>#DIV/0!</v>
      </c>
      <c r="M20"/>
      <c r="N20" s="1705" t="e">
        <f>IF(P$9=0,0,R20/P$9)</f>
        <v>#DIV/0!</v>
      </c>
      <c r="O20" s="1705" t="e">
        <f>IF(Q$9=0,0,S20/Q$9)</f>
        <v>#DIV/0!</v>
      </c>
      <c r="P20" s="1708" t="e">
        <f>SUM(R21:R33)</f>
        <v>#DIV/0!</v>
      </c>
      <c r="Q20" s="1708" t="e">
        <f>SUM(S21:S33)</f>
        <v>#DIV/0!</v>
      </c>
      <c r="R20" s="1607" t="e">
        <f>IF(スコア入力!R20="EB",重み_対象外!D20,U20)</f>
        <v>#DIV/0!</v>
      </c>
      <c r="S20" s="1607" t="e">
        <f>IF(スコア入力!Y20="EB",重み_対象外!E20,V20)</f>
        <v>#DIV/0!</v>
      </c>
      <c r="T20" s="1558"/>
      <c r="U20" s="1605" t="e">
        <f>SUM(U21:U33)</f>
        <v>#DIV/0!</v>
      </c>
      <c r="V20" s="1605" t="e">
        <f>SUM(V21:V33)</f>
        <v>#DIV/0!</v>
      </c>
      <c r="W20" s="1558"/>
      <c r="X20" s="1607" t="e">
        <f t="shared" si="18"/>
        <v>#DIV/0!</v>
      </c>
      <c r="Y20" s="1607">
        <v>1</v>
      </c>
      <c r="Z20" s="1599"/>
      <c r="AA20" s="1604">
        <f t="shared" si="3"/>
        <v>2</v>
      </c>
      <c r="AB20" s="1604" t="str">
        <f t="shared" si="4"/>
        <v xml:space="preserve"> Q1</v>
      </c>
      <c r="AC20" s="1604" t="str">
        <f t="shared" si="5"/>
        <v>温熱環境</v>
      </c>
      <c r="AD20" s="1754">
        <f t="shared" si="6"/>
        <v>0.35</v>
      </c>
      <c r="AE20" s="1754">
        <f t="shared" si="7"/>
        <v>0.35</v>
      </c>
      <c r="AF20" s="1754">
        <f t="shared" si="8"/>
        <v>0.35</v>
      </c>
      <c r="AG20" s="1754">
        <f t="shared" si="9"/>
        <v>0.35</v>
      </c>
      <c r="AH20" s="1754">
        <f t="shared" si="10"/>
        <v>0.35</v>
      </c>
      <c r="AI20" s="1754">
        <f t="shared" si="11"/>
        <v>0.35</v>
      </c>
      <c r="AJ20" s="1754">
        <f t="shared" si="12"/>
        <v>0.35</v>
      </c>
      <c r="AK20" s="1760">
        <f t="shared" si="13"/>
        <v>0.44</v>
      </c>
      <c r="AL20" s="1754">
        <f t="shared" si="14"/>
        <v>0.35</v>
      </c>
      <c r="AM20" s="1754">
        <f t="shared" si="14"/>
        <v>0.35</v>
      </c>
      <c r="AN20" s="1756">
        <f t="shared" si="15"/>
        <v>0</v>
      </c>
      <c r="AO20" s="1754">
        <f t="shared" si="16"/>
        <v>0</v>
      </c>
      <c r="AP20" s="1754">
        <f t="shared" si="17"/>
        <v>0</v>
      </c>
      <c r="AQ20" s="1610"/>
      <c r="AR20" s="1639">
        <v>2</v>
      </c>
      <c r="AS20" s="1742" t="s">
        <v>271</v>
      </c>
      <c r="AT20" s="1785" t="s">
        <v>1023</v>
      </c>
      <c r="AU20" s="1709">
        <v>0.35</v>
      </c>
      <c r="AV20" s="1709">
        <v>0.35</v>
      </c>
      <c r="AW20" s="1709">
        <v>0.35</v>
      </c>
      <c r="AX20" s="1709">
        <v>0.35</v>
      </c>
      <c r="AY20" s="1709">
        <v>0.35</v>
      </c>
      <c r="AZ20" s="1709">
        <v>0.35</v>
      </c>
      <c r="BA20" s="1709">
        <v>0.35</v>
      </c>
      <c r="BB20" s="1633">
        <v>0.44</v>
      </c>
      <c r="BC20" s="1709">
        <v>0.35</v>
      </c>
      <c r="BD20" s="1709">
        <v>0.35</v>
      </c>
      <c r="BE20" s="2060"/>
      <c r="BF20" s="1709"/>
      <c r="BG20" s="1709"/>
      <c r="BH20"/>
      <c r="BI20" s="1639">
        <v>2</v>
      </c>
      <c r="BJ20" s="1742" t="s">
        <v>271</v>
      </c>
      <c r="BK20" s="1785" t="s">
        <v>1023</v>
      </c>
      <c r="BL20" s="1709">
        <v>0.35</v>
      </c>
      <c r="BM20" s="1709">
        <v>0.35</v>
      </c>
      <c r="BN20" s="1709">
        <v>0.35</v>
      </c>
      <c r="BO20" s="1709">
        <v>0.35</v>
      </c>
      <c r="BP20" s="1709">
        <v>0.35</v>
      </c>
      <c r="BQ20" s="1709">
        <v>0.35</v>
      </c>
      <c r="BR20" s="1709">
        <v>0.35</v>
      </c>
      <c r="BS20" s="1633">
        <v>0.44</v>
      </c>
      <c r="BT20" s="1709">
        <v>0.35</v>
      </c>
      <c r="BU20" s="1709">
        <v>0.35</v>
      </c>
      <c r="BV20" s="2060"/>
      <c r="BW20" s="1709"/>
      <c r="BX20" s="1709"/>
      <c r="BY20"/>
    </row>
    <row r="21" spans="1:77" ht="13.5" customHeight="1">
      <c r="B21" s="1611">
        <f t="shared" si="0"/>
        <v>2.1</v>
      </c>
      <c r="C21" s="1628" t="str">
        <f t="shared" si="1"/>
        <v>室温制御</v>
      </c>
      <c r="D21" s="1714" t="e">
        <f>IF(I$20=0,0,G21/I$20)</f>
        <v>#DIV/0!</v>
      </c>
      <c r="E21" s="1689" t="e">
        <f>IF(J$20=0,0,H21/J$20)</f>
        <v>#DIV/0!</v>
      </c>
      <c r="G21" s="1689" t="e">
        <f t="shared" si="2"/>
        <v>#DIV/0!</v>
      </c>
      <c r="H21" s="1689" t="e">
        <f t="shared" si="2"/>
        <v>#DIV/0!</v>
      </c>
      <c r="I21" s="1689" t="e">
        <f>SUM(G22:G29)</f>
        <v>#DIV/0!</v>
      </c>
      <c r="J21" s="1689" t="e">
        <f>SUM(H22:H29)</f>
        <v>#DIV/0!</v>
      </c>
      <c r="K21" s="1614" t="e">
        <f>IF(スコア表示!X21=0,0,1)</f>
        <v>#DIV/0!</v>
      </c>
      <c r="L21" s="1614" t="e">
        <f>IF(スコア表示!AB21=0,0,1)</f>
        <v>#DIV/0!</v>
      </c>
      <c r="N21" s="1711" t="e">
        <f>IF(P$20=0,0,P21/P$20)</f>
        <v>#DIV/0!</v>
      </c>
      <c r="O21" s="1711" t="e">
        <f>IF(Q$20=0,0,Q21/Q$20)</f>
        <v>#DIV/0!</v>
      </c>
      <c r="P21" s="1614" t="e">
        <f>SUM(R22:R29)</f>
        <v>#DIV/0!</v>
      </c>
      <c r="Q21" s="1614" t="e">
        <f>SUM(S22:S29)</f>
        <v>#DIV/0!</v>
      </c>
      <c r="R21" s="1614">
        <f>IF(スコア入力!R21="EB",重み_対象外!D21,U21)</f>
        <v>0</v>
      </c>
      <c r="S21" s="1614">
        <f>IF(スコア入力!Y21="EB",重み_対象外!E21,V21)</f>
        <v>0</v>
      </c>
      <c r="T21" s="1558"/>
      <c r="U21" s="1628"/>
      <c r="V21" s="1628"/>
      <c r="W21" s="1558"/>
      <c r="X21" s="1614" t="e">
        <f t="shared" si="18"/>
        <v>#DIV/0!</v>
      </c>
      <c r="Y21" s="1614" t="e">
        <f t="shared" si="21"/>
        <v>#DIV/0!</v>
      </c>
      <c r="Z21" s="1569"/>
      <c r="AA21" s="1611">
        <f t="shared" si="3"/>
        <v>2.1</v>
      </c>
      <c r="AB21" s="1611" t="str">
        <f t="shared" si="4"/>
        <v xml:space="preserve"> Q1 2</v>
      </c>
      <c r="AC21" s="1611" t="str">
        <f t="shared" si="5"/>
        <v>室温制御</v>
      </c>
      <c r="AD21" s="1757">
        <f t="shared" si="6"/>
        <v>0.5</v>
      </c>
      <c r="AE21" s="1757">
        <f t="shared" si="7"/>
        <v>0.5</v>
      </c>
      <c r="AF21" s="1757">
        <f t="shared" si="8"/>
        <v>0.5</v>
      </c>
      <c r="AG21" s="1757">
        <f t="shared" si="9"/>
        <v>0.5</v>
      </c>
      <c r="AH21" s="1757">
        <f t="shared" si="10"/>
        <v>0.5</v>
      </c>
      <c r="AI21" s="1757">
        <f t="shared" si="11"/>
        <v>0.5</v>
      </c>
      <c r="AJ21" s="1757">
        <f t="shared" si="12"/>
        <v>0.5</v>
      </c>
      <c r="AK21" s="1761">
        <f t="shared" si="13"/>
        <v>0.5</v>
      </c>
      <c r="AL21" s="1757">
        <f t="shared" si="14"/>
        <v>0.5</v>
      </c>
      <c r="AM21" s="1757">
        <f t="shared" si="14"/>
        <v>0.5</v>
      </c>
      <c r="AN21" s="1758">
        <f t="shared" si="15"/>
        <v>0.5</v>
      </c>
      <c r="AO21" s="1757">
        <f t="shared" si="16"/>
        <v>0.5</v>
      </c>
      <c r="AP21" s="1757">
        <f t="shared" si="17"/>
        <v>0.5</v>
      </c>
      <c r="AQ21" s="1618"/>
      <c r="AR21" s="1645">
        <v>2.1</v>
      </c>
      <c r="AS21" s="1691" t="s">
        <v>277</v>
      </c>
      <c r="AT21" s="1735" t="s">
        <v>613</v>
      </c>
      <c r="AU21" s="1621">
        <v>0.5</v>
      </c>
      <c r="AV21" s="1621">
        <v>0.5</v>
      </c>
      <c r="AW21" s="1621">
        <v>0.5</v>
      </c>
      <c r="AX21" s="1621">
        <v>0.5</v>
      </c>
      <c r="AY21" s="1621">
        <v>0.5</v>
      </c>
      <c r="AZ21" s="1621">
        <v>0.5</v>
      </c>
      <c r="BA21" s="1621">
        <v>0.5</v>
      </c>
      <c r="BB21" s="1712">
        <v>0.5</v>
      </c>
      <c r="BC21" s="1621">
        <v>0.5</v>
      </c>
      <c r="BD21" s="1621">
        <v>0.5</v>
      </c>
      <c r="BE21" s="1623">
        <v>0.5</v>
      </c>
      <c r="BF21" s="1621">
        <v>0.5</v>
      </c>
      <c r="BG21" s="1621">
        <v>0.5</v>
      </c>
      <c r="BI21" s="1645">
        <v>2.1</v>
      </c>
      <c r="BJ21" s="1691" t="s">
        <v>277</v>
      </c>
      <c r="BK21" s="1735" t="s">
        <v>613</v>
      </c>
      <c r="BL21" s="1621">
        <v>0.5</v>
      </c>
      <c r="BM21" s="1621">
        <v>0.5</v>
      </c>
      <c r="BN21" s="1621">
        <v>0.5</v>
      </c>
      <c r="BO21" s="1621">
        <v>0.5</v>
      </c>
      <c r="BP21" s="1621">
        <v>0.5</v>
      </c>
      <c r="BQ21" s="1621">
        <v>0.5</v>
      </c>
      <c r="BR21" s="1621">
        <v>0.5</v>
      </c>
      <c r="BS21" s="1712">
        <v>0.5</v>
      </c>
      <c r="BT21" s="1621">
        <v>0.5</v>
      </c>
      <c r="BU21" s="1621">
        <v>0.5</v>
      </c>
      <c r="BV21" s="1623">
        <v>0.5</v>
      </c>
      <c r="BW21" s="1621">
        <v>0.5</v>
      </c>
      <c r="BX21" s="1621">
        <v>0.5</v>
      </c>
    </row>
    <row r="22" spans="1:77" ht="13.5" customHeight="1">
      <c r="B22" s="1619" t="str">
        <f t="shared" si="0"/>
        <v>2.1.1</v>
      </c>
      <c r="C22" s="1612" t="str">
        <f t="shared" si="1"/>
        <v>室温</v>
      </c>
      <c r="D22" s="1719" t="e">
        <f t="shared" ref="D22:E29" si="25">IF(I$21&gt;0,G22/I$21,0)</f>
        <v>#DIV/0!</v>
      </c>
      <c r="E22" s="1689" t="e">
        <f t="shared" si="25"/>
        <v>#DIV/0!</v>
      </c>
      <c r="G22" s="1689" t="e">
        <f t="shared" si="2"/>
        <v>#DIV/0!</v>
      </c>
      <c r="H22" s="1689" t="e">
        <f t="shared" si="2"/>
        <v>#DIV/0!</v>
      </c>
      <c r="I22" s="1689"/>
      <c r="J22" s="1689"/>
      <c r="K22" s="1614">
        <f>IF(スコア表示!X22=0,0,1)</f>
        <v>1</v>
      </c>
      <c r="L22" s="1614">
        <f>IF(スコア表示!AB22=0,0,1)</f>
        <v>1</v>
      </c>
      <c r="N22" s="1706" t="e">
        <f t="shared" ref="N22:O29" si="26">IF(P$21&gt;0,R22/P$21,0)</f>
        <v>#DIV/0!</v>
      </c>
      <c r="O22" s="1706" t="e">
        <f t="shared" si="26"/>
        <v>#DIV/0!</v>
      </c>
      <c r="P22" s="1614"/>
      <c r="Q22" s="1614"/>
      <c r="R22" s="1614" t="e">
        <f>IF(スコア入力!R22="EB",重み_対象外!D22,U22)</f>
        <v>#DIV/0!</v>
      </c>
      <c r="S22" s="1614" t="e">
        <f>IF(スコア入力!Y22="EB",重み_対象外!E22,V22)</f>
        <v>#DIV/0!</v>
      </c>
      <c r="T22" s="1558"/>
      <c r="U22" s="1612" t="e">
        <f t="shared" ref="U22:V29" si="27">X$20*X$21*X22</f>
        <v>#DIV/0!</v>
      </c>
      <c r="V22" s="1612" t="e">
        <f>Y$20*Y$21*Y22</f>
        <v>#DIV/0!</v>
      </c>
      <c r="W22" s="1558"/>
      <c r="X22" s="1614" t="e">
        <f t="shared" si="18"/>
        <v>#DIV/0!</v>
      </c>
      <c r="Y22" s="1614" t="e">
        <f t="shared" si="21"/>
        <v>#DIV/0!</v>
      </c>
      <c r="Z22" s="1569"/>
      <c r="AA22" s="1611" t="str">
        <f t="shared" si="3"/>
        <v>2.1.1</v>
      </c>
      <c r="AB22" s="1611" t="str">
        <f t="shared" si="4"/>
        <v xml:space="preserve"> Q1 2.1</v>
      </c>
      <c r="AC22" s="1611" t="str">
        <f t="shared" si="5"/>
        <v>室温</v>
      </c>
      <c r="AD22" s="1757">
        <f t="shared" si="6"/>
        <v>0.3</v>
      </c>
      <c r="AE22" s="1757">
        <f t="shared" si="7"/>
        <v>0.3</v>
      </c>
      <c r="AF22" s="1757">
        <f t="shared" si="8"/>
        <v>0.3</v>
      </c>
      <c r="AG22" s="1757">
        <f t="shared" si="9"/>
        <v>0.3</v>
      </c>
      <c r="AH22" s="1757">
        <f t="shared" si="10"/>
        <v>0.3</v>
      </c>
      <c r="AI22" s="1757">
        <f t="shared" si="11"/>
        <v>0.3</v>
      </c>
      <c r="AJ22" s="1757">
        <f t="shared" si="12"/>
        <v>0.5</v>
      </c>
      <c r="AK22" s="1761">
        <f t="shared" si="13"/>
        <v>0.3</v>
      </c>
      <c r="AL22" s="1757">
        <f t="shared" si="14"/>
        <v>0.3</v>
      </c>
      <c r="AM22" s="1757">
        <f t="shared" si="14"/>
        <v>0.3</v>
      </c>
      <c r="AN22" s="1758">
        <f t="shared" si="15"/>
        <v>0.4</v>
      </c>
      <c r="AO22" s="1757">
        <f t="shared" si="16"/>
        <v>0.4</v>
      </c>
      <c r="AP22" s="1757">
        <f t="shared" si="17"/>
        <v>0.5</v>
      </c>
      <c r="AQ22" s="1630"/>
      <c r="AR22" s="1645" t="s">
        <v>1415</v>
      </c>
      <c r="AS22" s="1691" t="s">
        <v>278</v>
      </c>
      <c r="AT22" s="2061" t="s">
        <v>1416</v>
      </c>
      <c r="AU22" s="1621">
        <v>0.3</v>
      </c>
      <c r="AV22" s="1621">
        <v>0.3</v>
      </c>
      <c r="AW22" s="1621">
        <v>0.3</v>
      </c>
      <c r="AX22" s="1621">
        <v>0.3</v>
      </c>
      <c r="AY22" s="1621">
        <v>0.3</v>
      </c>
      <c r="AZ22" s="1621">
        <v>0.3</v>
      </c>
      <c r="BA22" s="1621">
        <v>0.5</v>
      </c>
      <c r="BB22" s="1712">
        <v>0.3</v>
      </c>
      <c r="BC22" s="1621">
        <v>0.3</v>
      </c>
      <c r="BD22" s="1621">
        <v>0.3</v>
      </c>
      <c r="BE22" s="1623">
        <v>0.4</v>
      </c>
      <c r="BF22" s="1621">
        <v>0.4</v>
      </c>
      <c r="BG22" s="1621">
        <v>0.5</v>
      </c>
      <c r="BI22" s="1645" t="s">
        <v>1415</v>
      </c>
      <c r="BJ22" s="1691" t="s">
        <v>278</v>
      </c>
      <c r="BK22" s="2061" t="s">
        <v>1416</v>
      </c>
      <c r="BL22" s="1621">
        <v>0.3</v>
      </c>
      <c r="BM22" s="1621">
        <v>0.3</v>
      </c>
      <c r="BN22" s="1621">
        <v>0.3</v>
      </c>
      <c r="BO22" s="1621">
        <v>0.3</v>
      </c>
      <c r="BP22" s="1621">
        <v>0.3</v>
      </c>
      <c r="BQ22" s="1621">
        <v>0.3</v>
      </c>
      <c r="BR22" s="1621">
        <v>0.5</v>
      </c>
      <c r="BS22" s="1712">
        <v>0.3</v>
      </c>
      <c r="BT22" s="1621">
        <v>0.3</v>
      </c>
      <c r="BU22" s="1621">
        <v>0.3</v>
      </c>
      <c r="BV22" s="1623">
        <v>0.4</v>
      </c>
      <c r="BW22" s="1621">
        <v>0.4</v>
      </c>
      <c r="BX22" s="1621">
        <v>0.5</v>
      </c>
    </row>
    <row r="23" spans="1:77" ht="13.5" hidden="1" customHeight="1">
      <c r="B23" s="1647" t="str">
        <f t="shared" si="0"/>
        <v>2.1.2</v>
      </c>
      <c r="C23" s="1648" t="str">
        <f t="shared" si="1"/>
        <v>負荷変動・追従制御性</v>
      </c>
      <c r="D23" s="1719" t="e">
        <f t="shared" si="25"/>
        <v>#DIV/0!</v>
      </c>
      <c r="E23" s="1689" t="e">
        <f t="shared" si="25"/>
        <v>#DIV/0!</v>
      </c>
      <c r="G23" s="1689" t="e">
        <f t="shared" si="2"/>
        <v>#DIV/0!</v>
      </c>
      <c r="H23" s="1689" t="e">
        <f t="shared" si="2"/>
        <v>#DIV/0!</v>
      </c>
      <c r="I23" s="1689"/>
      <c r="J23" s="1689"/>
      <c r="K23" s="1614">
        <f>IF(スコア表示!X23=0,0,1)</f>
        <v>0</v>
      </c>
      <c r="L23" s="1614">
        <f>IF(スコア表示!AB23=0,0,1)</f>
        <v>0</v>
      </c>
      <c r="N23" s="1706" t="e">
        <f t="shared" si="26"/>
        <v>#DIV/0!</v>
      </c>
      <c r="O23" s="1706" t="e">
        <f t="shared" si="26"/>
        <v>#DIV/0!</v>
      </c>
      <c r="P23" s="1614"/>
      <c r="Q23" s="1614"/>
      <c r="R23" s="1614" t="e">
        <f>IF(スコア入力!R23="EB",重み_対象外!D23,U23)</f>
        <v>#DIV/0!</v>
      </c>
      <c r="S23" s="1614" t="e">
        <f>IF(スコア入力!Y23="EB",重み_対象外!E23,V23)</f>
        <v>#DIV/0!</v>
      </c>
      <c r="T23" s="1558"/>
      <c r="U23" s="1612" t="e">
        <f t="shared" si="27"/>
        <v>#DIV/0!</v>
      </c>
      <c r="V23" s="1612" t="e">
        <f t="shared" si="27"/>
        <v>#DIV/0!</v>
      </c>
      <c r="W23" s="1558"/>
      <c r="X23" s="1614" t="e">
        <f t="shared" si="18"/>
        <v>#DIV/0!</v>
      </c>
      <c r="Y23" s="1614" t="e">
        <f t="shared" si="21"/>
        <v>#DIV/0!</v>
      </c>
      <c r="Z23" s="1569"/>
      <c r="AA23" s="1611" t="str">
        <f t="shared" si="3"/>
        <v>2.1.2</v>
      </c>
      <c r="AB23" s="1611" t="str">
        <f t="shared" si="4"/>
        <v xml:space="preserve"> Q1 2.1</v>
      </c>
      <c r="AC23" s="1611" t="str">
        <f t="shared" si="5"/>
        <v>負荷変動・追従制御性</v>
      </c>
      <c r="AD23" s="1762">
        <f t="shared" si="6"/>
        <v>0</v>
      </c>
      <c r="AE23" s="1757">
        <f t="shared" si="7"/>
        <v>0.2</v>
      </c>
      <c r="AF23" s="1757">
        <f t="shared" si="8"/>
        <v>0.2</v>
      </c>
      <c r="AG23" s="1757">
        <f t="shared" si="9"/>
        <v>0.2</v>
      </c>
      <c r="AH23" s="1757">
        <f t="shared" si="10"/>
        <v>0</v>
      </c>
      <c r="AI23" s="1757">
        <f t="shared" si="11"/>
        <v>0</v>
      </c>
      <c r="AJ23" s="1757">
        <f t="shared" si="12"/>
        <v>0</v>
      </c>
      <c r="AK23" s="1761">
        <f t="shared" si="13"/>
        <v>0.3</v>
      </c>
      <c r="AL23" s="1762">
        <f t="shared" si="14"/>
        <v>0</v>
      </c>
      <c r="AM23" s="1762">
        <f t="shared" si="14"/>
        <v>0.2</v>
      </c>
      <c r="AN23" s="1758">
        <f t="shared" si="15"/>
        <v>0</v>
      </c>
      <c r="AO23" s="1757">
        <f t="shared" si="16"/>
        <v>0</v>
      </c>
      <c r="AP23" s="1757">
        <f t="shared" si="17"/>
        <v>0</v>
      </c>
      <c r="AQ23" s="1630"/>
      <c r="AR23" s="1645" t="s">
        <v>279</v>
      </c>
      <c r="AS23" s="1691" t="s">
        <v>278</v>
      </c>
      <c r="AT23" s="2061" t="s">
        <v>280</v>
      </c>
      <c r="AU23" s="1713"/>
      <c r="AV23" s="1621">
        <v>0.2</v>
      </c>
      <c r="AW23" s="1621">
        <v>0.2</v>
      </c>
      <c r="AX23" s="1621">
        <v>0.2</v>
      </c>
      <c r="AY23" s="1621"/>
      <c r="AZ23" s="1621"/>
      <c r="BA23" s="1621"/>
      <c r="BB23" s="1712">
        <v>0.3</v>
      </c>
      <c r="BC23" s="1713"/>
      <c r="BD23" s="1621">
        <v>0.2</v>
      </c>
      <c r="BE23" s="1623"/>
      <c r="BF23" s="1621"/>
      <c r="BG23" s="1621"/>
      <c r="BI23" s="1645" t="s">
        <v>279</v>
      </c>
      <c r="BJ23" s="1691" t="s">
        <v>278</v>
      </c>
      <c r="BK23" s="2061" t="s">
        <v>280</v>
      </c>
      <c r="BL23" s="1713"/>
      <c r="BM23" s="1621">
        <v>0.2</v>
      </c>
      <c r="BN23" s="1621">
        <v>0.2</v>
      </c>
      <c r="BO23" s="1621">
        <v>0.2</v>
      </c>
      <c r="BP23" s="1621"/>
      <c r="BQ23" s="1621"/>
      <c r="BR23" s="1621"/>
      <c r="BS23" s="1712">
        <v>0.3</v>
      </c>
      <c r="BT23" s="1713"/>
      <c r="BU23" s="1621">
        <v>0.2</v>
      </c>
      <c r="BV23" s="1623"/>
      <c r="BW23" s="1621"/>
      <c r="BX23" s="1621"/>
    </row>
    <row r="24" spans="1:77" ht="13.5" customHeight="1">
      <c r="B24" s="1619" t="str">
        <f t="shared" si="0"/>
        <v>2.1.3</v>
      </c>
      <c r="C24" s="1612" t="str">
        <f t="shared" si="1"/>
        <v>外皮性能</v>
      </c>
      <c r="D24" s="1719" t="e">
        <f t="shared" si="25"/>
        <v>#DIV/0!</v>
      </c>
      <c r="E24" s="1689" t="e">
        <f t="shared" si="25"/>
        <v>#DIV/0!</v>
      </c>
      <c r="G24" s="1689" t="e">
        <f t="shared" si="2"/>
        <v>#DIV/0!</v>
      </c>
      <c r="H24" s="1689" t="e">
        <f t="shared" si="2"/>
        <v>#DIV/0!</v>
      </c>
      <c r="I24" s="1689"/>
      <c r="J24" s="1689"/>
      <c r="K24" s="1614">
        <f>IF(スコア表示!X24=0,0,1)</f>
        <v>1</v>
      </c>
      <c r="L24" s="1614">
        <f>IF(スコア表示!AB24=0,0,1)</f>
        <v>1</v>
      </c>
      <c r="N24" s="1706" t="e">
        <f t="shared" si="26"/>
        <v>#DIV/0!</v>
      </c>
      <c r="O24" s="1706" t="e">
        <f t="shared" si="26"/>
        <v>#DIV/0!</v>
      </c>
      <c r="P24" s="1614"/>
      <c r="Q24" s="1614"/>
      <c r="R24" s="1614" t="e">
        <f>IF(スコア入力!R24="EB",重み_対象外!D24,U24)</f>
        <v>#DIV/0!</v>
      </c>
      <c r="S24" s="1614" t="e">
        <f>IF(スコア入力!Y24="EB",重み_対象外!E24,V24)</f>
        <v>#DIV/0!</v>
      </c>
      <c r="T24" s="1558"/>
      <c r="U24" s="1612" t="e">
        <f t="shared" si="27"/>
        <v>#DIV/0!</v>
      </c>
      <c r="V24" s="1612" t="e">
        <f t="shared" si="27"/>
        <v>#DIV/0!</v>
      </c>
      <c r="W24" s="1558"/>
      <c r="X24" s="1614" t="e">
        <f t="shared" si="18"/>
        <v>#DIV/0!</v>
      </c>
      <c r="Y24" s="1614" t="e">
        <f t="shared" si="21"/>
        <v>#DIV/0!</v>
      </c>
      <c r="Z24" s="1569"/>
      <c r="AA24" s="1611" t="str">
        <f t="shared" si="3"/>
        <v>2.1.3</v>
      </c>
      <c r="AB24" s="1611" t="str">
        <f t="shared" si="4"/>
        <v xml:space="preserve"> Q1 2.1</v>
      </c>
      <c r="AC24" s="1611" t="str">
        <f t="shared" si="5"/>
        <v>外皮性能</v>
      </c>
      <c r="AD24" s="1757">
        <f t="shared" si="6"/>
        <v>0.2</v>
      </c>
      <c r="AE24" s="1757">
        <f t="shared" si="7"/>
        <v>0.2</v>
      </c>
      <c r="AF24" s="1757">
        <f t="shared" si="8"/>
        <v>0.1</v>
      </c>
      <c r="AG24" s="1757">
        <f t="shared" si="9"/>
        <v>0.1</v>
      </c>
      <c r="AH24" s="1757">
        <f t="shared" si="10"/>
        <v>0.2</v>
      </c>
      <c r="AI24" s="1757">
        <f t="shared" si="11"/>
        <v>0.2</v>
      </c>
      <c r="AJ24" s="1757">
        <f t="shared" si="12"/>
        <v>0.3</v>
      </c>
      <c r="AK24" s="1761">
        <f t="shared" si="13"/>
        <v>0.1</v>
      </c>
      <c r="AL24" s="1757">
        <f t="shared" si="14"/>
        <v>0.2</v>
      </c>
      <c r="AM24" s="1757">
        <f t="shared" si="14"/>
        <v>0.2</v>
      </c>
      <c r="AN24" s="1758">
        <f t="shared" si="15"/>
        <v>0.3</v>
      </c>
      <c r="AO24" s="1757">
        <f t="shared" si="16"/>
        <v>0.3</v>
      </c>
      <c r="AP24" s="1757">
        <f t="shared" si="17"/>
        <v>0.3</v>
      </c>
      <c r="AQ24" s="1630"/>
      <c r="AR24" s="1645" t="s">
        <v>281</v>
      </c>
      <c r="AS24" s="1691" t="s">
        <v>278</v>
      </c>
      <c r="AT24" s="2061" t="s">
        <v>282</v>
      </c>
      <c r="AU24" s="1621">
        <v>0.2</v>
      </c>
      <c r="AV24" s="1621">
        <v>0.2</v>
      </c>
      <c r="AW24" s="1621">
        <v>0.1</v>
      </c>
      <c r="AX24" s="1621">
        <v>0.1</v>
      </c>
      <c r="AY24" s="1621">
        <v>0.2</v>
      </c>
      <c r="AZ24" s="1621">
        <v>0.2</v>
      </c>
      <c r="BA24" s="1621">
        <v>0.3</v>
      </c>
      <c r="BB24" s="1712">
        <v>0.1</v>
      </c>
      <c r="BC24" s="1621">
        <v>0.2</v>
      </c>
      <c r="BD24" s="1621">
        <v>0.2</v>
      </c>
      <c r="BE24" s="1623">
        <v>0.3</v>
      </c>
      <c r="BF24" s="1621">
        <v>0.3</v>
      </c>
      <c r="BG24" s="1621">
        <v>0.3</v>
      </c>
      <c r="BI24" s="1645" t="s">
        <v>281</v>
      </c>
      <c r="BJ24" s="1691" t="s">
        <v>278</v>
      </c>
      <c r="BK24" s="2061" t="s">
        <v>282</v>
      </c>
      <c r="BL24" s="1621">
        <v>0.2</v>
      </c>
      <c r="BM24" s="1621">
        <v>0.2</v>
      </c>
      <c r="BN24" s="1621">
        <v>0.1</v>
      </c>
      <c r="BO24" s="1621">
        <v>0.1</v>
      </c>
      <c r="BP24" s="1621">
        <v>0.2</v>
      </c>
      <c r="BQ24" s="1621">
        <v>0.2</v>
      </c>
      <c r="BR24" s="1621">
        <v>0.3</v>
      </c>
      <c r="BS24" s="1712">
        <v>0.1</v>
      </c>
      <c r="BT24" s="1621">
        <v>0.2</v>
      </c>
      <c r="BU24" s="1621">
        <v>0.2</v>
      </c>
      <c r="BV24" s="1623">
        <v>0.3</v>
      </c>
      <c r="BW24" s="1621">
        <v>0.3</v>
      </c>
      <c r="BX24" s="1621">
        <v>0.3</v>
      </c>
    </row>
    <row r="25" spans="1:77" ht="13.5" customHeight="1">
      <c r="B25" s="1619" t="str">
        <f t="shared" si="0"/>
        <v>2.1.4</v>
      </c>
      <c r="C25" s="1612" t="str">
        <f t="shared" si="1"/>
        <v>ゾーン別制御性</v>
      </c>
      <c r="D25" s="1719" t="e">
        <f t="shared" si="25"/>
        <v>#DIV/0!</v>
      </c>
      <c r="E25" s="1689" t="e">
        <f t="shared" si="25"/>
        <v>#DIV/0!</v>
      </c>
      <c r="G25" s="1689" t="e">
        <f t="shared" si="2"/>
        <v>#DIV/0!</v>
      </c>
      <c r="H25" s="1689" t="e">
        <f t="shared" si="2"/>
        <v>#DIV/0!</v>
      </c>
      <c r="I25" s="1689"/>
      <c r="J25" s="1689"/>
      <c r="K25" s="1614">
        <f>IF(スコア表示!X25=0,0,1)</f>
        <v>1</v>
      </c>
      <c r="L25" s="1614">
        <f>IF(スコア表示!AB25=0,0,1)</f>
        <v>0</v>
      </c>
      <c r="N25" s="1706" t="e">
        <f t="shared" si="26"/>
        <v>#DIV/0!</v>
      </c>
      <c r="O25" s="1706" t="e">
        <f t="shared" si="26"/>
        <v>#DIV/0!</v>
      </c>
      <c r="P25" s="1614"/>
      <c r="Q25" s="1614"/>
      <c r="R25" s="1614" t="e">
        <f>IF(スコア入力!R25="EB",重み_対象外!D25,U25)</f>
        <v>#DIV/0!</v>
      </c>
      <c r="S25" s="1614" t="e">
        <f>IF(スコア入力!Y25="EB",重み_対象外!E25,V25)</f>
        <v>#DIV/0!</v>
      </c>
      <c r="T25" s="1558"/>
      <c r="U25" s="1612" t="e">
        <f t="shared" si="27"/>
        <v>#DIV/0!</v>
      </c>
      <c r="V25" s="1612" t="e">
        <f t="shared" si="27"/>
        <v>#DIV/0!</v>
      </c>
      <c r="W25" s="1558"/>
      <c r="X25" s="1614" t="e">
        <f t="shared" si="18"/>
        <v>#DIV/0!</v>
      </c>
      <c r="Y25" s="1614" t="e">
        <f t="shared" si="21"/>
        <v>#DIV/0!</v>
      </c>
      <c r="Z25" s="1569"/>
      <c r="AA25" s="1611" t="str">
        <f t="shared" si="3"/>
        <v>2.1.4</v>
      </c>
      <c r="AB25" s="1611" t="str">
        <f t="shared" si="4"/>
        <v xml:space="preserve"> Q1 2.1</v>
      </c>
      <c r="AC25" s="1611" t="str">
        <f t="shared" si="5"/>
        <v>ゾーン別制御性</v>
      </c>
      <c r="AD25" s="1757">
        <f t="shared" si="6"/>
        <v>0.3</v>
      </c>
      <c r="AE25" s="1757">
        <f t="shared" si="7"/>
        <v>0</v>
      </c>
      <c r="AF25" s="1757">
        <f t="shared" si="8"/>
        <v>0.2</v>
      </c>
      <c r="AG25" s="1757">
        <f t="shared" si="9"/>
        <v>0.2</v>
      </c>
      <c r="AH25" s="1757">
        <f t="shared" si="10"/>
        <v>0.3</v>
      </c>
      <c r="AI25" s="1757">
        <f t="shared" si="11"/>
        <v>0.3</v>
      </c>
      <c r="AJ25" s="1757">
        <f t="shared" si="12"/>
        <v>0</v>
      </c>
      <c r="AK25" s="1761">
        <f t="shared" si="13"/>
        <v>0.2</v>
      </c>
      <c r="AL25" s="1757">
        <f t="shared" si="14"/>
        <v>0.3</v>
      </c>
      <c r="AM25" s="1757">
        <f t="shared" si="14"/>
        <v>0</v>
      </c>
      <c r="AN25" s="1758">
        <f t="shared" si="15"/>
        <v>0</v>
      </c>
      <c r="AO25" s="1757">
        <f t="shared" si="16"/>
        <v>0</v>
      </c>
      <c r="AP25" s="1757">
        <f t="shared" si="17"/>
        <v>0</v>
      </c>
      <c r="AQ25" s="1630"/>
      <c r="AR25" s="1645" t="s">
        <v>283</v>
      </c>
      <c r="AS25" s="1691" t="s">
        <v>278</v>
      </c>
      <c r="AT25" s="2061" t="s">
        <v>284</v>
      </c>
      <c r="AU25" s="1621">
        <v>0.3</v>
      </c>
      <c r="AV25" s="1621"/>
      <c r="AW25" s="1621">
        <v>0.2</v>
      </c>
      <c r="AX25" s="1621">
        <v>0.2</v>
      </c>
      <c r="AY25" s="1621">
        <v>0.3</v>
      </c>
      <c r="AZ25" s="1621">
        <v>0.3</v>
      </c>
      <c r="BA25" s="1621"/>
      <c r="BB25" s="1712">
        <v>0.2</v>
      </c>
      <c r="BC25" s="1621">
        <v>0.3</v>
      </c>
      <c r="BD25" s="1621"/>
      <c r="BE25" s="1623"/>
      <c r="BF25" s="1621"/>
      <c r="BG25" s="1621"/>
      <c r="BI25" s="1645" t="s">
        <v>283</v>
      </c>
      <c r="BJ25" s="1691" t="s">
        <v>278</v>
      </c>
      <c r="BK25" s="2061" t="s">
        <v>284</v>
      </c>
      <c r="BL25" s="1621">
        <v>0.3</v>
      </c>
      <c r="BM25" s="1621"/>
      <c r="BN25" s="1621">
        <v>0.2</v>
      </c>
      <c r="BO25" s="1621">
        <v>0.2</v>
      </c>
      <c r="BP25" s="1621">
        <v>0.3</v>
      </c>
      <c r="BQ25" s="1621">
        <v>0.3</v>
      </c>
      <c r="BR25" s="1621"/>
      <c r="BS25" s="1712">
        <v>0.2</v>
      </c>
      <c r="BT25" s="1621">
        <v>0.3</v>
      </c>
      <c r="BU25" s="1621"/>
      <c r="BV25" s="1623"/>
      <c r="BW25" s="1621"/>
      <c r="BX25" s="1621"/>
    </row>
    <row r="26" spans="1:77" ht="13.5" hidden="1" customHeight="1">
      <c r="B26" s="1647" t="str">
        <f t="shared" si="0"/>
        <v>2.1.5</v>
      </c>
      <c r="C26" s="1648" t="str">
        <f t="shared" si="1"/>
        <v>温度・湿度制御</v>
      </c>
      <c r="D26" s="1719" t="e">
        <f t="shared" si="25"/>
        <v>#DIV/0!</v>
      </c>
      <c r="E26" s="1689" t="e">
        <f t="shared" si="25"/>
        <v>#DIV/0!</v>
      </c>
      <c r="G26" s="1689" t="e">
        <f t="shared" si="2"/>
        <v>#DIV/0!</v>
      </c>
      <c r="H26" s="1689" t="e">
        <f t="shared" si="2"/>
        <v>#DIV/0!</v>
      </c>
      <c r="I26" s="1689"/>
      <c r="J26" s="1689"/>
      <c r="K26" s="1614">
        <f>IF(スコア表示!X26=0,0,1)</f>
        <v>0</v>
      </c>
      <c r="L26" s="1614">
        <f>IF(スコア表示!AB26=0,0,1)</f>
        <v>0</v>
      </c>
      <c r="N26" s="1706" t="e">
        <f t="shared" si="26"/>
        <v>#DIV/0!</v>
      </c>
      <c r="O26" s="1706" t="e">
        <f t="shared" si="26"/>
        <v>#DIV/0!</v>
      </c>
      <c r="P26" s="1614"/>
      <c r="Q26" s="1614"/>
      <c r="R26" s="1614" t="e">
        <f>IF(スコア入力!R26="EB",重み_対象外!D26,U26)</f>
        <v>#DIV/0!</v>
      </c>
      <c r="S26" s="1614" t="e">
        <f>IF(スコア入力!Y26="EB",重み_対象外!E26,V26)</f>
        <v>#DIV/0!</v>
      </c>
      <c r="T26" s="1558"/>
      <c r="U26" s="1612" t="e">
        <f t="shared" si="27"/>
        <v>#DIV/0!</v>
      </c>
      <c r="V26" s="1612" t="e">
        <f t="shared" si="27"/>
        <v>#DIV/0!</v>
      </c>
      <c r="W26" s="1558"/>
      <c r="X26" s="1614" t="e">
        <f t="shared" si="18"/>
        <v>#DIV/0!</v>
      </c>
      <c r="Y26" s="1614" t="e">
        <f t="shared" si="21"/>
        <v>#DIV/0!</v>
      </c>
      <c r="Z26" s="1569"/>
      <c r="AA26" s="1611" t="str">
        <f t="shared" si="3"/>
        <v>2.1.5</v>
      </c>
      <c r="AB26" s="1611" t="str">
        <f t="shared" si="4"/>
        <v xml:space="preserve"> Q1 2.1</v>
      </c>
      <c r="AC26" s="1611" t="str">
        <f t="shared" si="5"/>
        <v>温度・湿度制御</v>
      </c>
      <c r="AD26" s="1757">
        <f t="shared" si="6"/>
        <v>0.1</v>
      </c>
      <c r="AE26" s="1757">
        <f t="shared" si="7"/>
        <v>0.1</v>
      </c>
      <c r="AF26" s="1757">
        <f t="shared" si="8"/>
        <v>0.1</v>
      </c>
      <c r="AG26" s="1757">
        <f t="shared" si="9"/>
        <v>0.1</v>
      </c>
      <c r="AH26" s="1757">
        <f t="shared" si="10"/>
        <v>0.1</v>
      </c>
      <c r="AI26" s="1757">
        <f t="shared" si="11"/>
        <v>0.1</v>
      </c>
      <c r="AJ26" s="1757">
        <f t="shared" si="12"/>
        <v>0.2</v>
      </c>
      <c r="AK26" s="1761">
        <f t="shared" si="13"/>
        <v>0.1</v>
      </c>
      <c r="AL26" s="1757">
        <f t="shared" si="14"/>
        <v>0.1</v>
      </c>
      <c r="AM26" s="1757">
        <f t="shared" si="14"/>
        <v>0.1</v>
      </c>
      <c r="AN26" s="1758">
        <f t="shared" si="15"/>
        <v>0.2</v>
      </c>
      <c r="AO26" s="1757">
        <f t="shared" si="16"/>
        <v>0.2</v>
      </c>
      <c r="AP26" s="1757">
        <f t="shared" si="17"/>
        <v>0</v>
      </c>
      <c r="AQ26" s="1630"/>
      <c r="AR26" s="1645" t="s">
        <v>285</v>
      </c>
      <c r="AS26" s="1691" t="s">
        <v>278</v>
      </c>
      <c r="AT26" s="2061" t="s">
        <v>286</v>
      </c>
      <c r="AU26" s="1621">
        <v>0.1</v>
      </c>
      <c r="AV26" s="1621">
        <v>0.1</v>
      </c>
      <c r="AW26" s="1621">
        <v>0.1</v>
      </c>
      <c r="AX26" s="1621">
        <v>0.1</v>
      </c>
      <c r="AY26" s="1621">
        <v>0.1</v>
      </c>
      <c r="AZ26" s="1621">
        <v>0.1</v>
      </c>
      <c r="BA26" s="1621">
        <v>0.2</v>
      </c>
      <c r="BB26" s="1712">
        <v>0.1</v>
      </c>
      <c r="BC26" s="1621">
        <v>0.1</v>
      </c>
      <c r="BD26" s="1621">
        <v>0.1</v>
      </c>
      <c r="BE26" s="1623">
        <v>0.2</v>
      </c>
      <c r="BF26" s="1621">
        <v>0.2</v>
      </c>
      <c r="BG26" s="1621"/>
      <c r="BI26" s="1645" t="s">
        <v>285</v>
      </c>
      <c r="BJ26" s="1691" t="s">
        <v>278</v>
      </c>
      <c r="BK26" s="2061" t="s">
        <v>286</v>
      </c>
      <c r="BL26" s="1621">
        <v>0.1</v>
      </c>
      <c r="BM26" s="1621">
        <v>0.1</v>
      </c>
      <c r="BN26" s="1621">
        <v>0.1</v>
      </c>
      <c r="BO26" s="1621">
        <v>0.1</v>
      </c>
      <c r="BP26" s="1621">
        <v>0.1</v>
      </c>
      <c r="BQ26" s="1621">
        <v>0.1</v>
      </c>
      <c r="BR26" s="1621">
        <v>0.2</v>
      </c>
      <c r="BS26" s="1712">
        <v>0.1</v>
      </c>
      <c r="BT26" s="1621">
        <v>0.1</v>
      </c>
      <c r="BU26" s="1621">
        <v>0.1</v>
      </c>
      <c r="BV26" s="1623">
        <v>0.2</v>
      </c>
      <c r="BW26" s="1621">
        <v>0.2</v>
      </c>
      <c r="BX26" s="1621"/>
    </row>
    <row r="27" spans="1:77" ht="13.5" hidden="1" customHeight="1">
      <c r="B27" s="1647" t="str">
        <f t="shared" si="0"/>
        <v>2.1.6</v>
      </c>
      <c r="C27" s="1648" t="str">
        <f t="shared" si="1"/>
        <v>個別制御</v>
      </c>
      <c r="D27" s="1719" t="e">
        <f t="shared" si="25"/>
        <v>#DIV/0!</v>
      </c>
      <c r="E27" s="1689" t="e">
        <f t="shared" si="25"/>
        <v>#DIV/0!</v>
      </c>
      <c r="G27" s="1689" t="e">
        <f t="shared" si="2"/>
        <v>#DIV/0!</v>
      </c>
      <c r="H27" s="1689" t="e">
        <f t="shared" si="2"/>
        <v>#DIV/0!</v>
      </c>
      <c r="I27" s="1689"/>
      <c r="J27" s="1689"/>
      <c r="K27" s="1614">
        <f>IF(スコア表示!X27=0,0,1)</f>
        <v>0</v>
      </c>
      <c r="L27" s="1614">
        <f>IF(スコア表示!AB27=0,0,1)</f>
        <v>0</v>
      </c>
      <c r="N27" s="1706" t="e">
        <f t="shared" si="26"/>
        <v>#DIV/0!</v>
      </c>
      <c r="O27" s="1706" t="e">
        <f t="shared" si="26"/>
        <v>#DIV/0!</v>
      </c>
      <c r="P27" s="1614"/>
      <c r="Q27" s="1614"/>
      <c r="R27" s="1614" t="e">
        <f>IF(スコア入力!R27="EB",重み_対象外!D27,U27)</f>
        <v>#DIV/0!</v>
      </c>
      <c r="S27" s="1614" t="e">
        <f>IF(スコア入力!Y27="EB",重み_対象外!E27,V27)</f>
        <v>#DIV/0!</v>
      </c>
      <c r="T27" s="1558"/>
      <c r="U27" s="1612" t="e">
        <f t="shared" si="27"/>
        <v>#DIV/0!</v>
      </c>
      <c r="V27" s="1612" t="e">
        <f t="shared" si="27"/>
        <v>#DIV/0!</v>
      </c>
      <c r="W27" s="1558"/>
      <c r="X27" s="1614" t="e">
        <f t="shared" si="18"/>
        <v>#DIV/0!</v>
      </c>
      <c r="Y27" s="1614" t="e">
        <f t="shared" si="21"/>
        <v>#DIV/0!</v>
      </c>
      <c r="Z27" s="1569"/>
      <c r="AA27" s="1611" t="str">
        <f t="shared" si="3"/>
        <v>2.1.6</v>
      </c>
      <c r="AB27" s="1611" t="str">
        <f t="shared" si="4"/>
        <v xml:space="preserve"> Q1 2.1</v>
      </c>
      <c r="AC27" s="1611" t="str">
        <f t="shared" si="5"/>
        <v>個別制御</v>
      </c>
      <c r="AD27" s="1757">
        <f t="shared" si="6"/>
        <v>0</v>
      </c>
      <c r="AE27" s="1757">
        <f t="shared" si="7"/>
        <v>0</v>
      </c>
      <c r="AF27" s="1757">
        <f t="shared" si="8"/>
        <v>0</v>
      </c>
      <c r="AG27" s="1757">
        <f t="shared" si="9"/>
        <v>0</v>
      </c>
      <c r="AH27" s="1757">
        <f t="shared" si="10"/>
        <v>0</v>
      </c>
      <c r="AI27" s="1757">
        <f t="shared" si="11"/>
        <v>0</v>
      </c>
      <c r="AJ27" s="1757">
        <f t="shared" si="12"/>
        <v>0</v>
      </c>
      <c r="AK27" s="1761">
        <f t="shared" si="13"/>
        <v>0</v>
      </c>
      <c r="AL27" s="1757">
        <f t="shared" si="14"/>
        <v>0</v>
      </c>
      <c r="AM27" s="1757">
        <f t="shared" si="14"/>
        <v>0</v>
      </c>
      <c r="AN27" s="1758">
        <f t="shared" si="15"/>
        <v>0.1</v>
      </c>
      <c r="AO27" s="1757">
        <f t="shared" si="16"/>
        <v>0.1</v>
      </c>
      <c r="AP27" s="1757">
        <f t="shared" si="17"/>
        <v>0.2</v>
      </c>
      <c r="AQ27" s="1630"/>
      <c r="AR27" s="1645" t="s">
        <v>287</v>
      </c>
      <c r="AS27" s="1691" t="s">
        <v>278</v>
      </c>
      <c r="AT27" s="2061" t="s">
        <v>288</v>
      </c>
      <c r="AU27" s="1621"/>
      <c r="AV27" s="1621"/>
      <c r="AW27" s="1621"/>
      <c r="AX27" s="1621"/>
      <c r="AY27" s="1621"/>
      <c r="AZ27" s="1621"/>
      <c r="BA27" s="1621"/>
      <c r="BB27" s="1712"/>
      <c r="BC27" s="1621"/>
      <c r="BD27" s="1621"/>
      <c r="BE27" s="1623">
        <v>0.1</v>
      </c>
      <c r="BF27" s="1621">
        <v>0.1</v>
      </c>
      <c r="BG27" s="1621">
        <v>0.2</v>
      </c>
      <c r="BI27" s="1645" t="s">
        <v>287</v>
      </c>
      <c r="BJ27" s="1691" t="s">
        <v>278</v>
      </c>
      <c r="BK27" s="2061" t="s">
        <v>288</v>
      </c>
      <c r="BL27" s="1621"/>
      <c r="BM27" s="1621"/>
      <c r="BN27" s="1621"/>
      <c r="BO27" s="1621"/>
      <c r="BP27" s="1621"/>
      <c r="BQ27" s="1621"/>
      <c r="BR27" s="1621"/>
      <c r="BS27" s="1712"/>
      <c r="BT27" s="1621"/>
      <c r="BU27" s="1621"/>
      <c r="BV27" s="1623">
        <v>0.1</v>
      </c>
      <c r="BW27" s="1621">
        <v>0.1</v>
      </c>
      <c r="BX27" s="1621">
        <v>0.2</v>
      </c>
    </row>
    <row r="28" spans="1:77" ht="13.5" hidden="1" customHeight="1">
      <c r="B28" s="1647" t="str">
        <f t="shared" si="0"/>
        <v>2.1.7</v>
      </c>
      <c r="C28" s="1648" t="str">
        <f t="shared" si="1"/>
        <v>時間外空調に対する配慮</v>
      </c>
      <c r="D28" s="1719" t="e">
        <f t="shared" si="25"/>
        <v>#DIV/0!</v>
      </c>
      <c r="E28" s="1689" t="e">
        <f t="shared" si="25"/>
        <v>#DIV/0!</v>
      </c>
      <c r="G28" s="1689" t="e">
        <f t="shared" si="2"/>
        <v>#DIV/0!</v>
      </c>
      <c r="H28" s="1689" t="e">
        <f t="shared" si="2"/>
        <v>#DIV/0!</v>
      </c>
      <c r="I28" s="1689"/>
      <c r="J28" s="1689"/>
      <c r="K28" s="1614">
        <f>IF(スコア表示!X28=0,0,1)</f>
        <v>0</v>
      </c>
      <c r="L28" s="1614">
        <f>IF(スコア表示!AB28=0,0,1)</f>
        <v>0</v>
      </c>
      <c r="N28" s="1706" t="e">
        <f t="shared" si="26"/>
        <v>#DIV/0!</v>
      </c>
      <c r="O28" s="1706" t="e">
        <f t="shared" si="26"/>
        <v>#DIV/0!</v>
      </c>
      <c r="P28" s="1614"/>
      <c r="Q28" s="1614"/>
      <c r="R28" s="1614" t="e">
        <f>IF(スコア入力!R28="EB",重み_対象外!D28,U28)</f>
        <v>#DIV/0!</v>
      </c>
      <c r="S28" s="1614" t="e">
        <f>IF(スコア入力!Y28="EB",重み_対象外!E28,V28)</f>
        <v>#DIV/0!</v>
      </c>
      <c r="T28" s="1558"/>
      <c r="U28" s="1612" t="e">
        <f t="shared" si="27"/>
        <v>#DIV/0!</v>
      </c>
      <c r="V28" s="1612" t="e">
        <f t="shared" si="27"/>
        <v>#DIV/0!</v>
      </c>
      <c r="W28" s="1558"/>
      <c r="X28" s="1614" t="e">
        <f t="shared" si="18"/>
        <v>#DIV/0!</v>
      </c>
      <c r="Y28" s="1614" t="e">
        <f t="shared" si="21"/>
        <v>#DIV/0!</v>
      </c>
      <c r="Z28" s="1569"/>
      <c r="AA28" s="1611" t="str">
        <f t="shared" si="3"/>
        <v>2.1.7</v>
      </c>
      <c r="AB28" s="1611" t="str">
        <f t="shared" si="4"/>
        <v xml:space="preserve"> Q1 2.1</v>
      </c>
      <c r="AC28" s="1611" t="str">
        <f t="shared" si="5"/>
        <v>時間外空調に対する配慮</v>
      </c>
      <c r="AD28" s="1757">
        <f t="shared" si="6"/>
        <v>0.1</v>
      </c>
      <c r="AE28" s="1757">
        <f t="shared" si="7"/>
        <v>0.2</v>
      </c>
      <c r="AF28" s="1757">
        <f t="shared" si="8"/>
        <v>0</v>
      </c>
      <c r="AG28" s="1757">
        <f t="shared" si="9"/>
        <v>0</v>
      </c>
      <c r="AH28" s="1757">
        <f t="shared" si="10"/>
        <v>0.1</v>
      </c>
      <c r="AI28" s="1757">
        <f t="shared" si="11"/>
        <v>0.1</v>
      </c>
      <c r="AJ28" s="1757">
        <f t="shared" si="12"/>
        <v>0</v>
      </c>
      <c r="AK28" s="1761">
        <f t="shared" si="13"/>
        <v>0</v>
      </c>
      <c r="AL28" s="1757">
        <f t="shared" si="14"/>
        <v>0.1</v>
      </c>
      <c r="AM28" s="1757">
        <f t="shared" si="14"/>
        <v>0.2</v>
      </c>
      <c r="AN28" s="1758">
        <f t="shared" si="15"/>
        <v>0</v>
      </c>
      <c r="AO28" s="1757">
        <f t="shared" si="16"/>
        <v>0</v>
      </c>
      <c r="AP28" s="1757">
        <f t="shared" si="17"/>
        <v>0</v>
      </c>
      <c r="AQ28" s="1630"/>
      <c r="AR28" s="1645" t="s">
        <v>289</v>
      </c>
      <c r="AS28" s="1691" t="s">
        <v>278</v>
      </c>
      <c r="AT28" s="2061" t="s">
        <v>898</v>
      </c>
      <c r="AU28" s="1621">
        <v>0.1</v>
      </c>
      <c r="AV28" s="1621">
        <v>0.2</v>
      </c>
      <c r="AW28" s="1621"/>
      <c r="AX28" s="1621"/>
      <c r="AY28" s="1621">
        <v>0.1</v>
      </c>
      <c r="AZ28" s="1621">
        <v>0.1</v>
      </c>
      <c r="BA28" s="1621"/>
      <c r="BB28" s="1712"/>
      <c r="BC28" s="1621">
        <v>0.1</v>
      </c>
      <c r="BD28" s="1621">
        <v>0.2</v>
      </c>
      <c r="BE28" s="1623"/>
      <c r="BF28" s="1621"/>
      <c r="BG28" s="1621"/>
      <c r="BI28" s="1645" t="s">
        <v>289</v>
      </c>
      <c r="BJ28" s="1691" t="s">
        <v>278</v>
      </c>
      <c r="BK28" s="2061" t="s">
        <v>898</v>
      </c>
      <c r="BL28" s="1621">
        <v>0.1</v>
      </c>
      <c r="BM28" s="1621">
        <v>0.2</v>
      </c>
      <c r="BN28" s="1621"/>
      <c r="BO28" s="1621"/>
      <c r="BP28" s="1621">
        <v>0.1</v>
      </c>
      <c r="BQ28" s="1621">
        <v>0.1</v>
      </c>
      <c r="BR28" s="1621"/>
      <c r="BS28" s="1712"/>
      <c r="BT28" s="1621">
        <v>0.1</v>
      </c>
      <c r="BU28" s="1621">
        <v>0.2</v>
      </c>
      <c r="BV28" s="1623"/>
      <c r="BW28" s="1621"/>
      <c r="BX28" s="1621"/>
    </row>
    <row r="29" spans="1:77" ht="13.5" hidden="1" customHeight="1">
      <c r="B29" s="1647" t="str">
        <f t="shared" si="0"/>
        <v>2.1.8</v>
      </c>
      <c r="C29" s="1648" t="str">
        <f t="shared" si="1"/>
        <v>監視システム</v>
      </c>
      <c r="D29" s="1719" t="e">
        <f t="shared" si="25"/>
        <v>#DIV/0!</v>
      </c>
      <c r="E29" s="1689" t="e">
        <f t="shared" si="25"/>
        <v>#DIV/0!</v>
      </c>
      <c r="G29" s="1689" t="e">
        <f t="shared" si="2"/>
        <v>#DIV/0!</v>
      </c>
      <c r="H29" s="1689" t="e">
        <f t="shared" si="2"/>
        <v>#DIV/0!</v>
      </c>
      <c r="I29" s="1689"/>
      <c r="J29" s="1689"/>
      <c r="K29" s="1614">
        <f>IF(スコア表示!X29=0,0,1)</f>
        <v>0</v>
      </c>
      <c r="L29" s="1614">
        <f>IF(スコア表示!AB29=0,0,1)</f>
        <v>0</v>
      </c>
      <c r="N29" s="1706" t="e">
        <f t="shared" si="26"/>
        <v>#DIV/0!</v>
      </c>
      <c r="O29" s="1706" t="e">
        <f t="shared" si="26"/>
        <v>#DIV/0!</v>
      </c>
      <c r="P29" s="1614"/>
      <c r="Q29" s="1614"/>
      <c r="R29" s="1614" t="e">
        <f>IF(スコア入力!R29="EB",重み_対象外!D29,U29)</f>
        <v>#DIV/0!</v>
      </c>
      <c r="S29" s="1614" t="e">
        <f>IF(スコア入力!Y29="EB",重み_対象外!E29,V29)</f>
        <v>#DIV/0!</v>
      </c>
      <c r="T29" s="1558"/>
      <c r="U29" s="1612" t="e">
        <f t="shared" si="27"/>
        <v>#DIV/0!</v>
      </c>
      <c r="V29" s="1612" t="e">
        <f t="shared" si="27"/>
        <v>#DIV/0!</v>
      </c>
      <c r="W29" s="1558"/>
      <c r="X29" s="1614" t="e">
        <f t="shared" si="18"/>
        <v>#DIV/0!</v>
      </c>
      <c r="Y29" s="1614" t="e">
        <f t="shared" si="21"/>
        <v>#DIV/0!</v>
      </c>
      <c r="Z29" s="1569"/>
      <c r="AA29" s="1611" t="str">
        <f t="shared" si="3"/>
        <v>2.1.8</v>
      </c>
      <c r="AB29" s="1611" t="str">
        <f t="shared" si="4"/>
        <v xml:space="preserve"> Q1 2.1</v>
      </c>
      <c r="AC29" s="1611" t="str">
        <f t="shared" si="5"/>
        <v>監視システム</v>
      </c>
      <c r="AD29" s="1757">
        <f t="shared" si="6"/>
        <v>0</v>
      </c>
      <c r="AE29" s="1757">
        <f t="shared" si="7"/>
        <v>0</v>
      </c>
      <c r="AF29" s="1757">
        <f t="shared" si="8"/>
        <v>0.1</v>
      </c>
      <c r="AG29" s="1757">
        <f t="shared" si="9"/>
        <v>0.1</v>
      </c>
      <c r="AH29" s="1757">
        <f t="shared" si="10"/>
        <v>0</v>
      </c>
      <c r="AI29" s="1757">
        <f t="shared" si="11"/>
        <v>0</v>
      </c>
      <c r="AJ29" s="1757">
        <f t="shared" si="12"/>
        <v>0</v>
      </c>
      <c r="AK29" s="1761">
        <f t="shared" si="13"/>
        <v>0</v>
      </c>
      <c r="AL29" s="1757">
        <f t="shared" si="14"/>
        <v>0</v>
      </c>
      <c r="AM29" s="1757">
        <f t="shared" si="14"/>
        <v>0</v>
      </c>
      <c r="AN29" s="1758">
        <f t="shared" si="15"/>
        <v>0</v>
      </c>
      <c r="AO29" s="1757">
        <f t="shared" si="16"/>
        <v>0</v>
      </c>
      <c r="AP29" s="1757">
        <f t="shared" si="17"/>
        <v>0</v>
      </c>
      <c r="AQ29" s="1630"/>
      <c r="AR29" s="1645" t="s">
        <v>290</v>
      </c>
      <c r="AS29" s="1691" t="s">
        <v>278</v>
      </c>
      <c r="AT29" s="2061" t="s">
        <v>291</v>
      </c>
      <c r="AU29" s="1621"/>
      <c r="AV29" s="1621"/>
      <c r="AW29" s="1621">
        <v>0.1</v>
      </c>
      <c r="AX29" s="1621">
        <v>0.1</v>
      </c>
      <c r="AY29" s="1621"/>
      <c r="AZ29" s="1621"/>
      <c r="BA29" s="1621"/>
      <c r="BB29" s="1712"/>
      <c r="BC29" s="1621"/>
      <c r="BD29" s="1621"/>
      <c r="BE29" s="1623"/>
      <c r="BF29" s="1621"/>
      <c r="BG29" s="1621"/>
      <c r="BI29" s="1645" t="s">
        <v>290</v>
      </c>
      <c r="BJ29" s="1691" t="s">
        <v>278</v>
      </c>
      <c r="BK29" s="2061" t="s">
        <v>291</v>
      </c>
      <c r="BL29" s="1621"/>
      <c r="BM29" s="1621"/>
      <c r="BN29" s="1621">
        <v>0.1</v>
      </c>
      <c r="BO29" s="1621">
        <v>0.1</v>
      </c>
      <c r="BP29" s="1621"/>
      <c r="BQ29" s="1621"/>
      <c r="BR29" s="1621"/>
      <c r="BS29" s="1712"/>
      <c r="BT29" s="1621"/>
      <c r="BU29" s="1621"/>
      <c r="BV29" s="1623"/>
      <c r="BW29" s="1621"/>
      <c r="BX29" s="1621"/>
    </row>
    <row r="30" spans="1:77" ht="13.5" customHeight="1">
      <c r="B30" s="1619">
        <f t="shared" si="0"/>
        <v>2.2000000000000002</v>
      </c>
      <c r="C30" s="1628" t="str">
        <f t="shared" si="1"/>
        <v>湿度制御</v>
      </c>
      <c r="D30" s="1714" t="e">
        <f>IF(I$20=0,0,G30/I$20)</f>
        <v>#DIV/0!</v>
      </c>
      <c r="E30" s="1689" t="e">
        <f>IF(J$20=0,0,H30/J$20)</f>
        <v>#DIV/0!</v>
      </c>
      <c r="G30" s="1689" t="e">
        <f t="shared" si="2"/>
        <v>#DIV/0!</v>
      </c>
      <c r="H30" s="1689" t="e">
        <f t="shared" si="2"/>
        <v>#DIV/0!</v>
      </c>
      <c r="I30" s="1689"/>
      <c r="J30" s="1689"/>
      <c r="K30" s="1614">
        <f>IF(スコア表示!X30=0,0,1)</f>
        <v>1</v>
      </c>
      <c r="L30" s="1614">
        <f>IF(スコア表示!AB30=0,0,1)</f>
        <v>0</v>
      </c>
      <c r="N30" s="1706" t="e">
        <f>IF(P$20=0,0,R30/P$20)</f>
        <v>#DIV/0!</v>
      </c>
      <c r="O30" s="1706" t="e">
        <f>IF(Q$20=0,0,S30/Q$20)</f>
        <v>#DIV/0!</v>
      </c>
      <c r="P30" s="1614"/>
      <c r="Q30" s="1614"/>
      <c r="R30" s="1614" t="e">
        <f>IF(スコア入力!R30="EB",重み_対象外!D30,U30)</f>
        <v>#DIV/0!</v>
      </c>
      <c r="S30" s="1614" t="e">
        <f>IF(スコア入力!Y30="EB",重み_対象外!E30,V30)</f>
        <v>#DIV/0!</v>
      </c>
      <c r="T30" s="1558"/>
      <c r="U30" s="1303" t="e">
        <f>X20*X30</f>
        <v>#DIV/0!</v>
      </c>
      <c r="V30" s="1303" t="e">
        <f>Y20*Y30</f>
        <v>#DIV/0!</v>
      </c>
      <c r="W30" s="1558"/>
      <c r="X30" s="1614" t="e">
        <f t="shared" si="18"/>
        <v>#DIV/0!</v>
      </c>
      <c r="Y30" s="1614" t="e">
        <f t="shared" si="21"/>
        <v>#DIV/0!</v>
      </c>
      <c r="Z30" s="1569"/>
      <c r="AA30" s="1611">
        <f t="shared" si="3"/>
        <v>2.2000000000000002</v>
      </c>
      <c r="AB30" s="1611" t="str">
        <f t="shared" si="4"/>
        <v xml:space="preserve"> Q1 2</v>
      </c>
      <c r="AC30" s="1611" t="str">
        <f t="shared" si="5"/>
        <v>湿度制御</v>
      </c>
      <c r="AD30" s="1757">
        <f t="shared" si="6"/>
        <v>0.2</v>
      </c>
      <c r="AE30" s="1757">
        <f t="shared" si="7"/>
        <v>0.2</v>
      </c>
      <c r="AF30" s="1757">
        <f t="shared" si="8"/>
        <v>0.2</v>
      </c>
      <c r="AG30" s="1757">
        <f t="shared" si="9"/>
        <v>0.2</v>
      </c>
      <c r="AH30" s="1757">
        <f t="shared" si="10"/>
        <v>0.2</v>
      </c>
      <c r="AI30" s="1757">
        <f t="shared" si="11"/>
        <v>0.2</v>
      </c>
      <c r="AJ30" s="1757">
        <f t="shared" si="12"/>
        <v>0.2</v>
      </c>
      <c r="AK30" s="1761">
        <f t="shared" si="13"/>
        <v>0.2</v>
      </c>
      <c r="AL30" s="1757">
        <f t="shared" si="14"/>
        <v>0.2</v>
      </c>
      <c r="AM30" s="1757">
        <f t="shared" si="14"/>
        <v>0.2</v>
      </c>
      <c r="AN30" s="1758">
        <f t="shared" si="15"/>
        <v>0.2</v>
      </c>
      <c r="AO30" s="1757">
        <f t="shared" si="16"/>
        <v>0.2</v>
      </c>
      <c r="AP30" s="1757">
        <f t="shared" si="17"/>
        <v>0.2</v>
      </c>
      <c r="AQ30" s="1618"/>
      <c r="AR30" s="1645">
        <v>2.2000000000000002</v>
      </c>
      <c r="AS30" s="1691" t="s">
        <v>277</v>
      </c>
      <c r="AT30" s="1735" t="s">
        <v>931</v>
      </c>
      <c r="AU30" s="1621">
        <v>0.2</v>
      </c>
      <c r="AV30" s="1621">
        <v>0.2</v>
      </c>
      <c r="AW30" s="1621">
        <v>0.2</v>
      </c>
      <c r="AX30" s="1621">
        <v>0.2</v>
      </c>
      <c r="AY30" s="1621">
        <v>0.2</v>
      </c>
      <c r="AZ30" s="1621">
        <v>0.2</v>
      </c>
      <c r="BA30" s="1621">
        <v>0.2</v>
      </c>
      <c r="BB30" s="1712">
        <v>0.2</v>
      </c>
      <c r="BC30" s="1621">
        <v>0.2</v>
      </c>
      <c r="BD30" s="1621">
        <v>0.2</v>
      </c>
      <c r="BE30" s="1623">
        <v>0.2</v>
      </c>
      <c r="BF30" s="1621">
        <v>0.2</v>
      </c>
      <c r="BG30" s="1621">
        <v>0.2</v>
      </c>
      <c r="BI30" s="1645">
        <v>2.2000000000000002</v>
      </c>
      <c r="BJ30" s="1691" t="s">
        <v>277</v>
      </c>
      <c r="BK30" s="1735" t="s">
        <v>931</v>
      </c>
      <c r="BL30" s="1621">
        <v>0.2</v>
      </c>
      <c r="BM30" s="1621">
        <v>0.2</v>
      </c>
      <c r="BN30" s="1621">
        <v>0.2</v>
      </c>
      <c r="BO30" s="1621">
        <v>0.2</v>
      </c>
      <c r="BP30" s="1621">
        <v>0.2</v>
      </c>
      <c r="BQ30" s="1621">
        <v>0.2</v>
      </c>
      <c r="BR30" s="1621">
        <v>0.2</v>
      </c>
      <c r="BS30" s="1712">
        <v>0.2</v>
      </c>
      <c r="BT30" s="1621">
        <v>0.2</v>
      </c>
      <c r="BU30" s="1621">
        <v>0.2</v>
      </c>
      <c r="BV30" s="1623">
        <v>0.2</v>
      </c>
      <c r="BW30" s="1621">
        <v>0.2</v>
      </c>
      <c r="BX30" s="1621">
        <v>0.2</v>
      </c>
    </row>
    <row r="31" spans="1:77" ht="13.5" customHeight="1">
      <c r="B31" s="1619">
        <f t="shared" si="0"/>
        <v>2.2999999999999998</v>
      </c>
      <c r="C31" s="1628" t="str">
        <f t="shared" si="1"/>
        <v>空調方式</v>
      </c>
      <c r="D31" s="1714" t="e">
        <f>IF(I$20=0,0,G31/I$20)</f>
        <v>#DIV/0!</v>
      </c>
      <c r="E31" s="1689" t="e">
        <f>IF(J$20=0,0,H31/J$20)</f>
        <v>#DIV/0!</v>
      </c>
      <c r="G31" s="1689" t="e">
        <f t="shared" si="2"/>
        <v>#DIV/0!</v>
      </c>
      <c r="H31" s="1689" t="e">
        <f t="shared" si="2"/>
        <v>#DIV/0!</v>
      </c>
      <c r="I31" s="1689" t="e">
        <f>SUM(G32:G33)</f>
        <v>#DIV/0!</v>
      </c>
      <c r="J31" s="1689" t="e">
        <f>SUM(H32:H33)</f>
        <v>#DIV/0!</v>
      </c>
      <c r="K31" s="1614" t="e">
        <f>IF(スコア表示!X31=0,0,1)</f>
        <v>#DIV/0!</v>
      </c>
      <c r="L31" s="1614" t="e">
        <f>IF(スコア表示!AB31=0,0,1)</f>
        <v>#DIV/0!</v>
      </c>
      <c r="N31" s="1711" t="e">
        <f>IF(P$20=0,0,P31/P$20)</f>
        <v>#DIV/0!</v>
      </c>
      <c r="O31" s="1711" t="e">
        <f>IF(Q$20=0,0,Q31/Q$20)</f>
        <v>#DIV/0!</v>
      </c>
      <c r="P31" s="1614" t="e">
        <f>SUM(R32:R33)</f>
        <v>#DIV/0!</v>
      </c>
      <c r="Q31" s="1614" t="e">
        <f>SUM(S32:S33)</f>
        <v>#DIV/0!</v>
      </c>
      <c r="R31" s="1614">
        <f>IF(スコア入力!R31="EB",重み_対象外!D31,U31)</f>
        <v>0</v>
      </c>
      <c r="S31" s="1614">
        <f>IF(スコア入力!Y31="EB",重み_対象外!E31,V31)</f>
        <v>0</v>
      </c>
      <c r="T31" s="1558"/>
      <c r="U31" s="1628"/>
      <c r="V31" s="1628"/>
      <c r="W31" s="1558"/>
      <c r="X31" s="1614" t="e">
        <f t="shared" si="18"/>
        <v>#DIV/0!</v>
      </c>
      <c r="Y31" s="1614" t="e">
        <f t="shared" si="21"/>
        <v>#DIV/0!</v>
      </c>
      <c r="Z31" s="1569"/>
      <c r="AA31" s="1611">
        <f t="shared" si="3"/>
        <v>2.2999999999999998</v>
      </c>
      <c r="AB31" s="1611" t="str">
        <f t="shared" si="4"/>
        <v xml:space="preserve"> Q1 2</v>
      </c>
      <c r="AC31" s="1611" t="str">
        <f t="shared" si="5"/>
        <v>空調方式</v>
      </c>
      <c r="AD31" s="1757">
        <f t="shared" si="6"/>
        <v>0.3</v>
      </c>
      <c r="AE31" s="1757">
        <f t="shared" si="7"/>
        <v>0.3</v>
      </c>
      <c r="AF31" s="1757">
        <f t="shared" si="8"/>
        <v>0.3</v>
      </c>
      <c r="AG31" s="1757">
        <f t="shared" si="9"/>
        <v>0.3</v>
      </c>
      <c r="AH31" s="1757">
        <f t="shared" si="10"/>
        <v>0.3</v>
      </c>
      <c r="AI31" s="1757">
        <f t="shared" si="11"/>
        <v>0.3</v>
      </c>
      <c r="AJ31" s="1757">
        <f t="shared" si="12"/>
        <v>0.3</v>
      </c>
      <c r="AK31" s="1761">
        <f t="shared" si="13"/>
        <v>0.3</v>
      </c>
      <c r="AL31" s="1757">
        <f t="shared" si="14"/>
        <v>0.3</v>
      </c>
      <c r="AM31" s="1757">
        <f t="shared" si="14"/>
        <v>0.3</v>
      </c>
      <c r="AN31" s="1758">
        <f t="shared" si="15"/>
        <v>0.3</v>
      </c>
      <c r="AO31" s="1757">
        <f t="shared" si="16"/>
        <v>0.3</v>
      </c>
      <c r="AP31" s="1757">
        <f t="shared" si="17"/>
        <v>0.3</v>
      </c>
      <c r="AQ31" s="1618"/>
      <c r="AR31" s="1645">
        <v>2.2999999999999998</v>
      </c>
      <c r="AS31" s="1691" t="s">
        <v>277</v>
      </c>
      <c r="AT31" s="1735" t="s">
        <v>622</v>
      </c>
      <c r="AU31" s="1621">
        <v>0.3</v>
      </c>
      <c r="AV31" s="1621">
        <v>0.3</v>
      </c>
      <c r="AW31" s="1621">
        <v>0.3</v>
      </c>
      <c r="AX31" s="1621">
        <v>0.3</v>
      </c>
      <c r="AY31" s="1621">
        <v>0.3</v>
      </c>
      <c r="AZ31" s="1621">
        <v>0.3</v>
      </c>
      <c r="BA31" s="1621">
        <v>0.3</v>
      </c>
      <c r="BB31" s="1712">
        <v>0.3</v>
      </c>
      <c r="BC31" s="1621">
        <v>0.3</v>
      </c>
      <c r="BD31" s="1621">
        <v>0.3</v>
      </c>
      <c r="BE31" s="1623">
        <v>0.3</v>
      </c>
      <c r="BF31" s="1621">
        <v>0.3</v>
      </c>
      <c r="BG31" s="1621">
        <v>0.3</v>
      </c>
      <c r="BI31" s="1645">
        <v>2.2999999999999998</v>
      </c>
      <c r="BJ31" s="1691" t="s">
        <v>277</v>
      </c>
      <c r="BK31" s="1735" t="s">
        <v>622</v>
      </c>
      <c r="BL31" s="1621">
        <v>0.3</v>
      </c>
      <c r="BM31" s="1621">
        <v>0.3</v>
      </c>
      <c r="BN31" s="1621">
        <v>0.3</v>
      </c>
      <c r="BO31" s="1621">
        <v>0.3</v>
      </c>
      <c r="BP31" s="1621">
        <v>0.3</v>
      </c>
      <c r="BQ31" s="1621">
        <v>0.3</v>
      </c>
      <c r="BR31" s="1621">
        <v>0.3</v>
      </c>
      <c r="BS31" s="1712">
        <v>0.3</v>
      </c>
      <c r="BT31" s="1621">
        <v>0.3</v>
      </c>
      <c r="BU31" s="1621">
        <v>0.3</v>
      </c>
      <c r="BV31" s="1623">
        <v>0.3</v>
      </c>
      <c r="BW31" s="1621">
        <v>0.3</v>
      </c>
      <c r="BX31" s="1621">
        <v>0.3</v>
      </c>
    </row>
    <row r="32" spans="1:77" ht="13.5" customHeight="1">
      <c r="B32" s="1619" t="str">
        <f t="shared" si="0"/>
        <v>2.3.1</v>
      </c>
      <c r="C32" s="1658" t="str">
        <f t="shared" si="1"/>
        <v>上下温度差</v>
      </c>
      <c r="D32" s="1719" t="e">
        <f>IF(I$31&gt;0,G32/I$31,0)</f>
        <v>#DIV/0!</v>
      </c>
      <c r="E32" s="1689" t="e">
        <f>IF(J$31&gt;0,H32/J$31,0)</f>
        <v>#DIV/0!</v>
      </c>
      <c r="F32" s="2420"/>
      <c r="G32" s="1689" t="e">
        <f t="shared" si="2"/>
        <v>#DIV/0!</v>
      </c>
      <c r="H32" s="1689" t="e">
        <f t="shared" si="2"/>
        <v>#DIV/0!</v>
      </c>
      <c r="I32" s="1689"/>
      <c r="J32" s="1689"/>
      <c r="K32" s="1614">
        <f>IF(スコア表示!X32=0,0,1)</f>
        <v>1</v>
      </c>
      <c r="L32" s="1614">
        <f>IF(スコア表示!AB32=0,0,1)</f>
        <v>0</v>
      </c>
      <c r="N32" s="1706" t="e">
        <f>IF(P$31&gt;0,R32/P$31,0)</f>
        <v>#DIV/0!</v>
      </c>
      <c r="O32" s="1706" t="e">
        <f>IF(Q$31&gt;0,S32/Q$31,0)</f>
        <v>#DIV/0!</v>
      </c>
      <c r="P32" s="1614"/>
      <c r="Q32" s="1614"/>
      <c r="R32" s="1614" t="e">
        <f>IF(スコア入力!R32="EB",重み_対象外!D32,U32)</f>
        <v>#DIV/0!</v>
      </c>
      <c r="S32" s="1614" t="e">
        <f>IF(スコア入力!Y32="EB",重み_対象外!E32,V32)</f>
        <v>#DIV/0!</v>
      </c>
      <c r="T32" s="1558"/>
      <c r="U32" s="1612" t="e">
        <f>X$20*X$31*X32</f>
        <v>#DIV/0!</v>
      </c>
      <c r="V32" s="1612" t="e">
        <f>Y$20*Y$31*Y32</f>
        <v>#DIV/0!</v>
      </c>
      <c r="W32" s="1558"/>
      <c r="X32" s="1614" t="e">
        <f t="shared" si="18"/>
        <v>#DIV/0!</v>
      </c>
      <c r="Y32" s="1614" t="e">
        <f t="shared" si="21"/>
        <v>#DIV/0!</v>
      </c>
      <c r="Z32" s="1569"/>
      <c r="AA32" s="1615" t="str">
        <f t="shared" si="3"/>
        <v>2.3.1</v>
      </c>
      <c r="AB32" s="1615" t="str">
        <f t="shared" si="4"/>
        <v xml:space="preserve"> Q1 2.3</v>
      </c>
      <c r="AC32" s="1658" t="str">
        <f t="shared" si="5"/>
        <v>上下温度差</v>
      </c>
      <c r="AD32" s="1757">
        <f t="shared" si="6"/>
        <v>0.5</v>
      </c>
      <c r="AE32" s="1757">
        <f t="shared" si="7"/>
        <v>0.5</v>
      </c>
      <c r="AF32" s="1757">
        <f t="shared" si="8"/>
        <v>0.5</v>
      </c>
      <c r="AG32" s="1757">
        <f t="shared" si="9"/>
        <v>0.5</v>
      </c>
      <c r="AH32" s="1757">
        <f t="shared" si="10"/>
        <v>0.5</v>
      </c>
      <c r="AI32" s="1757">
        <f t="shared" si="11"/>
        <v>0.5</v>
      </c>
      <c r="AJ32" s="1757">
        <f t="shared" si="12"/>
        <v>0.5</v>
      </c>
      <c r="AK32" s="1757">
        <f t="shared" si="13"/>
        <v>0.5</v>
      </c>
      <c r="AL32" s="1757">
        <f t="shared" si="14"/>
        <v>0.5</v>
      </c>
      <c r="AM32" s="1757">
        <f t="shared" si="14"/>
        <v>0.5</v>
      </c>
      <c r="AN32" s="1758">
        <f t="shared" si="15"/>
        <v>0</v>
      </c>
      <c r="AO32" s="1758">
        <f t="shared" si="16"/>
        <v>0</v>
      </c>
      <c r="AP32" s="1758">
        <f t="shared" si="17"/>
        <v>0</v>
      </c>
      <c r="AQ32" s="1618"/>
      <c r="AR32" s="2064" t="s">
        <v>1418</v>
      </c>
      <c r="AS32" s="2066" t="s">
        <v>292</v>
      </c>
      <c r="AT32" s="2067" t="s">
        <v>624</v>
      </c>
      <c r="AU32" s="1616">
        <v>0.5</v>
      </c>
      <c r="AV32" s="1616">
        <v>0.5</v>
      </c>
      <c r="AW32" s="1616">
        <v>0.5</v>
      </c>
      <c r="AX32" s="1616">
        <v>0.5</v>
      </c>
      <c r="AY32" s="1616">
        <v>0.5</v>
      </c>
      <c r="AZ32" s="1616">
        <v>0.5</v>
      </c>
      <c r="BA32" s="1616">
        <v>0.5</v>
      </c>
      <c r="BB32" s="1629">
        <v>0.5</v>
      </c>
      <c r="BC32" s="1616">
        <v>0.5</v>
      </c>
      <c r="BD32" s="2347">
        <v>0.5</v>
      </c>
      <c r="BE32" s="2073"/>
      <c r="BF32" s="2071"/>
      <c r="BG32" s="2071"/>
      <c r="BI32" s="2064" t="s">
        <v>1418</v>
      </c>
      <c r="BJ32" s="2066" t="s">
        <v>292</v>
      </c>
      <c r="BK32" s="2067" t="s">
        <v>624</v>
      </c>
      <c r="BL32" s="1616">
        <v>0.5</v>
      </c>
      <c r="BM32" s="1616">
        <v>0.5</v>
      </c>
      <c r="BN32" s="1616">
        <v>0.5</v>
      </c>
      <c r="BO32" s="1616">
        <v>0.5</v>
      </c>
      <c r="BP32" s="1616">
        <v>0.5</v>
      </c>
      <c r="BQ32" s="1616">
        <v>0.5</v>
      </c>
      <c r="BR32" s="1616">
        <v>0.5</v>
      </c>
      <c r="BS32" s="1629">
        <v>0.5</v>
      </c>
      <c r="BT32" s="1616">
        <v>0.5</v>
      </c>
      <c r="BU32" s="2347">
        <v>0.5</v>
      </c>
      <c r="BV32" s="2073"/>
      <c r="BW32" s="2071"/>
      <c r="BX32" s="2071"/>
    </row>
    <row r="33" spans="1:77" ht="13.5" customHeight="1">
      <c r="B33" s="1619" t="str">
        <f t="shared" si="0"/>
        <v>2.3.2</v>
      </c>
      <c r="C33" s="1658" t="str">
        <f t="shared" si="1"/>
        <v>平均気流速度</v>
      </c>
      <c r="D33" s="1719" t="e">
        <f>IF(I$31&gt;0,G33/I$31,0)</f>
        <v>#DIV/0!</v>
      </c>
      <c r="E33" s="1689" t="e">
        <f>IF(J$31&gt;0,H33/J$31,0)</f>
        <v>#DIV/0!</v>
      </c>
      <c r="F33" s="2420"/>
      <c r="G33" s="1689" t="e">
        <f t="shared" si="2"/>
        <v>#DIV/0!</v>
      </c>
      <c r="H33" s="1689" t="e">
        <f t="shared" si="2"/>
        <v>#DIV/0!</v>
      </c>
      <c r="I33" s="1689"/>
      <c r="J33" s="1689"/>
      <c r="K33" s="1614">
        <f>IF(スコア表示!X33=0,0,1)</f>
        <v>1</v>
      </c>
      <c r="L33" s="1614">
        <f>IF(スコア表示!AB33=0,0,1)</f>
        <v>0</v>
      </c>
      <c r="N33" s="1706" t="e">
        <f>IF(P$31&gt;0,R33/P$31,0)</f>
        <v>#DIV/0!</v>
      </c>
      <c r="O33" s="1706" t="e">
        <f>IF(Q$31&gt;0,S33/Q$31,0)</f>
        <v>#DIV/0!</v>
      </c>
      <c r="P33" s="1614"/>
      <c r="Q33" s="1614"/>
      <c r="R33" s="1614" t="e">
        <f>IF(スコア入力!R33="EB",重み_対象外!D33,U33)</f>
        <v>#DIV/0!</v>
      </c>
      <c r="S33" s="1614" t="e">
        <f>IF(スコア入力!Y33="EB",重み_対象外!E33,V33)</f>
        <v>#DIV/0!</v>
      </c>
      <c r="T33" s="1558"/>
      <c r="U33" s="1612" t="e">
        <f>X$20*X$31*X33</f>
        <v>#DIV/0!</v>
      </c>
      <c r="V33" s="1612" t="e">
        <f>Y$20*Y$31*Y33</f>
        <v>#DIV/0!</v>
      </c>
      <c r="W33" s="1558"/>
      <c r="X33" s="1614" t="e">
        <f t="shared" si="18"/>
        <v>#DIV/0!</v>
      </c>
      <c r="Y33" s="1614" t="e">
        <f t="shared" si="21"/>
        <v>#DIV/0!</v>
      </c>
      <c r="Z33" s="1569"/>
      <c r="AA33" s="1615" t="str">
        <f t="shared" si="3"/>
        <v>2.3.2</v>
      </c>
      <c r="AB33" s="1615" t="str">
        <f t="shared" si="4"/>
        <v xml:space="preserve"> Q1 2.3</v>
      </c>
      <c r="AC33" s="1658" t="str">
        <f t="shared" si="5"/>
        <v>平均気流速度</v>
      </c>
      <c r="AD33" s="1757">
        <f t="shared" si="6"/>
        <v>0.5</v>
      </c>
      <c r="AE33" s="1757">
        <f t="shared" si="7"/>
        <v>0.5</v>
      </c>
      <c r="AF33" s="1757">
        <f t="shared" si="8"/>
        <v>0.5</v>
      </c>
      <c r="AG33" s="1757">
        <f t="shared" si="9"/>
        <v>0.5</v>
      </c>
      <c r="AH33" s="1757">
        <f t="shared" si="10"/>
        <v>0.5</v>
      </c>
      <c r="AI33" s="1757">
        <f t="shared" si="11"/>
        <v>0.5</v>
      </c>
      <c r="AJ33" s="1757">
        <f t="shared" si="12"/>
        <v>0.5</v>
      </c>
      <c r="AK33" s="1757">
        <f t="shared" si="13"/>
        <v>0.5</v>
      </c>
      <c r="AL33" s="1757">
        <f t="shared" si="14"/>
        <v>0.5</v>
      </c>
      <c r="AM33" s="1757">
        <f t="shared" si="14"/>
        <v>0.5</v>
      </c>
      <c r="AN33" s="1758">
        <f t="shared" si="15"/>
        <v>0</v>
      </c>
      <c r="AO33" s="1758">
        <f t="shared" si="16"/>
        <v>0</v>
      </c>
      <c r="AP33" s="1758">
        <f t="shared" si="17"/>
        <v>0</v>
      </c>
      <c r="AQ33" s="1618"/>
      <c r="AR33" s="2064" t="s">
        <v>1420</v>
      </c>
      <c r="AS33" s="2066" t="s">
        <v>292</v>
      </c>
      <c r="AT33" s="2067" t="s">
        <v>627</v>
      </c>
      <c r="AU33" s="1616">
        <v>0.5</v>
      </c>
      <c r="AV33" s="1616">
        <v>0.5</v>
      </c>
      <c r="AW33" s="1616">
        <v>0.5</v>
      </c>
      <c r="AX33" s="1616">
        <v>0.5</v>
      </c>
      <c r="AY33" s="1616">
        <v>0.5</v>
      </c>
      <c r="AZ33" s="1616">
        <v>0.5</v>
      </c>
      <c r="BA33" s="1616">
        <v>0.5</v>
      </c>
      <c r="BB33" s="1616">
        <v>0.5</v>
      </c>
      <c r="BC33" s="1616">
        <v>0.5</v>
      </c>
      <c r="BD33" s="2347">
        <v>0.5</v>
      </c>
      <c r="BE33" s="2073"/>
      <c r="BF33" s="2071"/>
      <c r="BG33" s="2071"/>
      <c r="BI33" s="2064" t="s">
        <v>1420</v>
      </c>
      <c r="BJ33" s="2066" t="s">
        <v>292</v>
      </c>
      <c r="BK33" s="2067" t="s">
        <v>627</v>
      </c>
      <c r="BL33" s="1616">
        <v>0.5</v>
      </c>
      <c r="BM33" s="1616">
        <v>0.5</v>
      </c>
      <c r="BN33" s="1616">
        <v>0.5</v>
      </c>
      <c r="BO33" s="1616">
        <v>0.5</v>
      </c>
      <c r="BP33" s="1616">
        <v>0.5</v>
      </c>
      <c r="BQ33" s="1616">
        <v>0.5</v>
      </c>
      <c r="BR33" s="1616">
        <v>0.5</v>
      </c>
      <c r="BS33" s="1616">
        <v>0.5</v>
      </c>
      <c r="BT33" s="1616">
        <v>0.5</v>
      </c>
      <c r="BU33" s="2347">
        <v>0.5</v>
      </c>
      <c r="BV33" s="2073"/>
      <c r="BW33" s="2071"/>
      <c r="BX33" s="2071"/>
    </row>
    <row r="34" spans="1:77" s="1603" customFormat="1" ht="13.5" customHeight="1">
      <c r="A34"/>
      <c r="B34" s="1625">
        <f t="shared" si="0"/>
        <v>3</v>
      </c>
      <c r="C34" s="1605" t="str">
        <f t="shared" si="1"/>
        <v>光・視環境</v>
      </c>
      <c r="D34" s="2059" t="e">
        <f>IF(I$9=0,0,G34/I$9)</f>
        <v>#DIV/0!</v>
      </c>
      <c r="E34" s="1741" t="e">
        <f>IF(J$9=0,0,H34/J$9)</f>
        <v>#DIV/0!</v>
      </c>
      <c r="F34"/>
      <c r="G34" s="1741" t="e">
        <f t="shared" si="2"/>
        <v>#DIV/0!</v>
      </c>
      <c r="H34" s="1741" t="e">
        <f t="shared" si="2"/>
        <v>#DIV/0!</v>
      </c>
      <c r="I34" s="1741" t="e">
        <f>G35+G39+G43+G46</f>
        <v>#DIV/0!</v>
      </c>
      <c r="J34" s="1741" t="e">
        <f>H35+H39+H43+H46</f>
        <v>#DIV/0!</v>
      </c>
      <c r="K34" s="1607" t="e">
        <f>IF(スコア表示!X34=0,0,1)</f>
        <v>#DIV/0!</v>
      </c>
      <c r="L34" s="1607" t="e">
        <f>IF(スコア表示!AB34=0,0,1)</f>
        <v>#DIV/0!</v>
      </c>
      <c r="M34"/>
      <c r="N34" s="1705" t="e">
        <f>IF(P$9=0,0,R34/P$9)</f>
        <v>#DIV/0!</v>
      </c>
      <c r="O34" s="1705" t="e">
        <f>IF(Q$9=0,0,S34/Q$9)</f>
        <v>#DIV/0!</v>
      </c>
      <c r="P34" s="1708" t="e">
        <f>SUM(R35:R46)</f>
        <v>#DIV/0!</v>
      </c>
      <c r="Q34" s="1708" t="e">
        <f>SUM(S35:S46)</f>
        <v>#DIV/0!</v>
      </c>
      <c r="R34" s="1607" t="e">
        <f>IF(スコア入力!R34="EB",重み_対象外!D34,U34)</f>
        <v>#DIV/0!</v>
      </c>
      <c r="S34" s="1607" t="e">
        <f>IF(スコア入力!Y34="EB",重み_対象外!E34,V34)</f>
        <v>#DIV/0!</v>
      </c>
      <c r="T34" s="1558"/>
      <c r="U34" s="1605" t="e">
        <f>SUM(U35:U46)</f>
        <v>#DIV/0!</v>
      </c>
      <c r="V34" s="1605" t="e">
        <f>SUM(V35:V46)</f>
        <v>#DIV/0!</v>
      </c>
      <c r="W34" s="1558"/>
      <c r="X34" s="1607" t="e">
        <f t="shared" si="18"/>
        <v>#DIV/0!</v>
      </c>
      <c r="Y34" s="1607">
        <v>1</v>
      </c>
      <c r="Z34" s="1599"/>
      <c r="AA34" s="1604">
        <f t="shared" si="3"/>
        <v>3</v>
      </c>
      <c r="AB34" s="1604" t="str">
        <f t="shared" si="4"/>
        <v xml:space="preserve"> Q1</v>
      </c>
      <c r="AC34" s="1604" t="str">
        <f t="shared" si="5"/>
        <v>光・視環境</v>
      </c>
      <c r="AD34" s="1754">
        <f t="shared" si="6"/>
        <v>0.25</v>
      </c>
      <c r="AE34" s="1754">
        <f t="shared" si="7"/>
        <v>0.25</v>
      </c>
      <c r="AF34" s="1754">
        <f t="shared" si="8"/>
        <v>0.25</v>
      </c>
      <c r="AG34" s="1754">
        <f t="shared" si="9"/>
        <v>0.25</v>
      </c>
      <c r="AH34" s="1754">
        <f t="shared" si="10"/>
        <v>0.25</v>
      </c>
      <c r="AI34" s="1754">
        <f t="shared" si="11"/>
        <v>0.25</v>
      </c>
      <c r="AJ34" s="1754">
        <f t="shared" si="12"/>
        <v>0.25</v>
      </c>
      <c r="AK34" s="1760">
        <f t="shared" si="13"/>
        <v>0</v>
      </c>
      <c r="AL34" s="1754">
        <f t="shared" si="14"/>
        <v>0.25</v>
      </c>
      <c r="AM34" s="1754">
        <f t="shared" si="14"/>
        <v>0.25</v>
      </c>
      <c r="AN34" s="1756">
        <f t="shared" si="15"/>
        <v>0</v>
      </c>
      <c r="AO34" s="1754">
        <f t="shared" si="16"/>
        <v>0</v>
      </c>
      <c r="AP34" s="1754">
        <f t="shared" si="17"/>
        <v>0</v>
      </c>
      <c r="AQ34" s="1610"/>
      <c r="AR34" s="1639">
        <v>3</v>
      </c>
      <c r="AS34" s="1742" t="s">
        <v>271</v>
      </c>
      <c r="AT34" s="1778" t="s">
        <v>1139</v>
      </c>
      <c r="AU34" s="1709">
        <v>0.25</v>
      </c>
      <c r="AV34" s="1709">
        <v>0.25</v>
      </c>
      <c r="AW34" s="1709">
        <v>0.25</v>
      </c>
      <c r="AX34" s="1709">
        <v>0.25</v>
      </c>
      <c r="AY34" s="1709">
        <v>0.25</v>
      </c>
      <c r="AZ34" s="1709">
        <v>0.25</v>
      </c>
      <c r="BA34" s="1709">
        <v>0.25</v>
      </c>
      <c r="BB34" s="1633">
        <v>0</v>
      </c>
      <c r="BC34" s="1709">
        <v>0.25</v>
      </c>
      <c r="BD34" s="1709">
        <v>0.25</v>
      </c>
      <c r="BE34" s="2060"/>
      <c r="BF34" s="1709"/>
      <c r="BG34" s="1709"/>
      <c r="BH34"/>
      <c r="BI34" s="1639">
        <v>3</v>
      </c>
      <c r="BJ34" s="1742" t="s">
        <v>271</v>
      </c>
      <c r="BK34" s="1778" t="s">
        <v>1139</v>
      </c>
      <c r="BL34" s="1709">
        <v>0.25</v>
      </c>
      <c r="BM34" s="1709">
        <v>0.25</v>
      </c>
      <c r="BN34" s="1709">
        <v>0.25</v>
      </c>
      <c r="BO34" s="1709">
        <v>0.25</v>
      </c>
      <c r="BP34" s="1709">
        <v>0.25</v>
      </c>
      <c r="BQ34" s="1709">
        <v>0.25</v>
      </c>
      <c r="BR34" s="1709">
        <v>0.25</v>
      </c>
      <c r="BS34" s="1633">
        <v>0</v>
      </c>
      <c r="BT34" s="1709">
        <v>0.25</v>
      </c>
      <c r="BU34" s="1709">
        <v>0.25</v>
      </c>
      <c r="BV34" s="2060"/>
      <c r="BW34" s="1709"/>
      <c r="BX34" s="1709"/>
      <c r="BY34"/>
    </row>
    <row r="35" spans="1:77" ht="13.5" customHeight="1">
      <c r="B35" s="1611">
        <f t="shared" si="0"/>
        <v>3.1</v>
      </c>
      <c r="C35" s="1628" t="str">
        <f t="shared" si="1"/>
        <v>昼光利用</v>
      </c>
      <c r="D35" s="1714" t="e">
        <f>IF(I$34=0,0,G35/I$34)</f>
        <v>#DIV/0!</v>
      </c>
      <c r="E35" s="1689" t="e">
        <f>IF(J$34=0,0,H35/J$34)</f>
        <v>#DIV/0!</v>
      </c>
      <c r="G35" s="1689" t="e">
        <f t="shared" si="2"/>
        <v>#DIV/0!</v>
      </c>
      <c r="H35" s="1689" t="e">
        <f t="shared" si="2"/>
        <v>#DIV/0!</v>
      </c>
      <c r="I35" s="1689" t="e">
        <f>SUM(G36:G38)</f>
        <v>#DIV/0!</v>
      </c>
      <c r="J35" s="1689" t="e">
        <f>SUM(H36:H38)</f>
        <v>#DIV/0!</v>
      </c>
      <c r="K35" s="1614" t="e">
        <f>IF(スコア表示!X35=0,0,1)</f>
        <v>#DIV/0!</v>
      </c>
      <c r="L35" s="1614" t="e">
        <f>IF(スコア表示!AB35=0,0,1)</f>
        <v>#DIV/0!</v>
      </c>
      <c r="N35" s="1711" t="e">
        <f>IF(P$34=0,0,P35/P$34)</f>
        <v>#DIV/0!</v>
      </c>
      <c r="O35" s="1711" t="e">
        <f>IF(Q$34=0,0,Q35/Q$34)</f>
        <v>#DIV/0!</v>
      </c>
      <c r="P35" s="1614" t="e">
        <f>SUM(R36:R38)</f>
        <v>#DIV/0!</v>
      </c>
      <c r="Q35" s="1614" t="e">
        <f>SUM(S36:S38)</f>
        <v>#DIV/0!</v>
      </c>
      <c r="R35" s="1614">
        <f>IF(スコア入力!R35="EB",重み_対象外!D35,U35)</f>
        <v>0</v>
      </c>
      <c r="S35" s="1614">
        <f>IF(スコア入力!Y35="EB",重み_対象外!E35,V35)</f>
        <v>0</v>
      </c>
      <c r="T35" s="1558"/>
      <c r="U35" s="1628"/>
      <c r="V35" s="1628"/>
      <c r="W35" s="1558"/>
      <c r="X35" s="1614" t="e">
        <f t="shared" si="18"/>
        <v>#DIV/0!</v>
      </c>
      <c r="Y35" s="1614" t="e">
        <f t="shared" si="21"/>
        <v>#DIV/0!</v>
      </c>
      <c r="Z35" s="1569"/>
      <c r="AA35" s="1611">
        <f t="shared" si="3"/>
        <v>3.1</v>
      </c>
      <c r="AB35" s="1611" t="str">
        <f t="shared" si="4"/>
        <v xml:space="preserve"> Q1 3</v>
      </c>
      <c r="AC35" s="1611" t="str">
        <f t="shared" si="5"/>
        <v>昼光利用</v>
      </c>
      <c r="AD35" s="1757">
        <f t="shared" si="6"/>
        <v>0.3</v>
      </c>
      <c r="AE35" s="1757">
        <f t="shared" si="7"/>
        <v>0.3</v>
      </c>
      <c r="AF35" s="1757">
        <f t="shared" si="8"/>
        <v>0.5</v>
      </c>
      <c r="AG35" s="1757">
        <f t="shared" si="9"/>
        <v>1</v>
      </c>
      <c r="AH35" s="1757">
        <f t="shared" si="10"/>
        <v>0.3</v>
      </c>
      <c r="AI35" s="1757">
        <f t="shared" si="11"/>
        <v>0.3</v>
      </c>
      <c r="AJ35" s="1757">
        <f t="shared" si="12"/>
        <v>0.3</v>
      </c>
      <c r="AK35" s="1761">
        <f t="shared" si="13"/>
        <v>0</v>
      </c>
      <c r="AL35" s="1757">
        <f t="shared" si="14"/>
        <v>0.3</v>
      </c>
      <c r="AM35" s="1757">
        <f t="shared" si="14"/>
        <v>0.3</v>
      </c>
      <c r="AN35" s="1758">
        <f t="shared" si="15"/>
        <v>0.3</v>
      </c>
      <c r="AO35" s="1757">
        <f t="shared" si="16"/>
        <v>0.3</v>
      </c>
      <c r="AP35" s="1757">
        <f t="shared" si="17"/>
        <v>0.3</v>
      </c>
      <c r="AQ35" s="1618"/>
      <c r="AR35" s="1645">
        <v>3.1</v>
      </c>
      <c r="AS35" s="1691" t="s">
        <v>293</v>
      </c>
      <c r="AT35" s="1735" t="s">
        <v>631</v>
      </c>
      <c r="AU35" s="1621">
        <v>0.3</v>
      </c>
      <c r="AV35" s="1621">
        <v>0.3</v>
      </c>
      <c r="AW35" s="1621">
        <v>0.5</v>
      </c>
      <c r="AX35" s="1621">
        <v>1</v>
      </c>
      <c r="AY35" s="1621">
        <v>0.3</v>
      </c>
      <c r="AZ35" s="1621">
        <v>0.3</v>
      </c>
      <c r="BA35" s="1621">
        <v>0.3</v>
      </c>
      <c r="BB35" s="1712"/>
      <c r="BC35" s="1621">
        <v>0.3</v>
      </c>
      <c r="BD35" s="1621">
        <v>0.3</v>
      </c>
      <c r="BE35" s="1623">
        <v>0.3</v>
      </c>
      <c r="BF35" s="1621">
        <v>0.3</v>
      </c>
      <c r="BG35" s="1621">
        <v>0.3</v>
      </c>
      <c r="BI35" s="1645">
        <v>3.1</v>
      </c>
      <c r="BJ35" s="1691" t="s">
        <v>293</v>
      </c>
      <c r="BK35" s="1735" t="s">
        <v>631</v>
      </c>
      <c r="BL35" s="1621">
        <v>0.3</v>
      </c>
      <c r="BM35" s="1621">
        <v>0.3</v>
      </c>
      <c r="BN35" s="1621">
        <v>0.5</v>
      </c>
      <c r="BO35" s="1621">
        <v>1</v>
      </c>
      <c r="BP35" s="1621">
        <v>0.3</v>
      </c>
      <c r="BQ35" s="1621">
        <v>0.3</v>
      </c>
      <c r="BR35" s="1621">
        <v>0.3</v>
      </c>
      <c r="BS35" s="1712"/>
      <c r="BT35" s="1621">
        <v>0.3</v>
      </c>
      <c r="BU35" s="1621">
        <v>0.3</v>
      </c>
      <c r="BV35" s="1623">
        <v>0.3</v>
      </c>
      <c r="BW35" s="1621">
        <v>0.3</v>
      </c>
      <c r="BX35" s="1621">
        <v>0.3</v>
      </c>
    </row>
    <row r="36" spans="1:77" ht="13.5" customHeight="1">
      <c r="B36" s="1619" t="str">
        <f t="shared" si="0"/>
        <v>3.1.1</v>
      </c>
      <c r="C36" s="1612" t="str">
        <f t="shared" si="1"/>
        <v>昼光率</v>
      </c>
      <c r="D36" s="1719" t="e">
        <f t="shared" ref="D36:E38" si="28">IF(I$35&gt;0,G36/I$35,0)</f>
        <v>#DIV/0!</v>
      </c>
      <c r="E36" s="1689" t="e">
        <f t="shared" si="28"/>
        <v>#DIV/0!</v>
      </c>
      <c r="G36" s="1689" t="e">
        <f t="shared" si="2"/>
        <v>#DIV/0!</v>
      </c>
      <c r="H36" s="1689" t="e">
        <f t="shared" si="2"/>
        <v>#DIV/0!</v>
      </c>
      <c r="I36" s="1689"/>
      <c r="J36" s="1689"/>
      <c r="K36" s="1614">
        <f>IF(スコア表示!X36=0,0,1)</f>
        <v>1</v>
      </c>
      <c r="L36" s="1614">
        <f>IF(スコア表示!AB36=0,0,1)</f>
        <v>1</v>
      </c>
      <c r="N36" s="1706" t="e">
        <f t="shared" ref="N36:O38" si="29">IF(P$35&gt;0,R36/P$35,0)</f>
        <v>#DIV/0!</v>
      </c>
      <c r="O36" s="1706" t="e">
        <f t="shared" si="29"/>
        <v>#DIV/0!</v>
      </c>
      <c r="P36" s="1614"/>
      <c r="Q36" s="1614"/>
      <c r="R36" s="1614" t="e">
        <f>IF(スコア入力!R36="EB",重み_対象外!D36,U36)</f>
        <v>#DIV/0!</v>
      </c>
      <c r="S36" s="1614" t="e">
        <f>IF(スコア入力!Y36="EB",重み_対象外!E36,V36)</f>
        <v>#DIV/0!</v>
      </c>
      <c r="T36" s="1558"/>
      <c r="U36" s="1612" t="e">
        <f t="shared" ref="U36:V38" si="30">X$34*X$35*X36</f>
        <v>#DIV/0!</v>
      </c>
      <c r="V36" s="1612" t="e">
        <f t="shared" si="30"/>
        <v>#DIV/0!</v>
      </c>
      <c r="W36" s="1558"/>
      <c r="X36" s="1614" t="e">
        <f t="shared" si="18"/>
        <v>#DIV/0!</v>
      </c>
      <c r="Y36" s="1614" t="e">
        <f t="shared" si="21"/>
        <v>#DIV/0!</v>
      </c>
      <c r="Z36" s="1569"/>
      <c r="AA36" s="1611" t="str">
        <f t="shared" si="3"/>
        <v>3.1.1</v>
      </c>
      <c r="AB36" s="1611" t="str">
        <f t="shared" si="4"/>
        <v xml:space="preserve"> Q1 3.1</v>
      </c>
      <c r="AC36" s="1611" t="str">
        <f t="shared" si="5"/>
        <v>昼光率</v>
      </c>
      <c r="AD36" s="1757">
        <f t="shared" si="6"/>
        <v>0.6</v>
      </c>
      <c r="AE36" s="1757">
        <f t="shared" si="7"/>
        <v>0.6</v>
      </c>
      <c r="AF36" s="1757">
        <f t="shared" si="8"/>
        <v>0</v>
      </c>
      <c r="AG36" s="1757">
        <f t="shared" si="9"/>
        <v>0</v>
      </c>
      <c r="AH36" s="1757">
        <f t="shared" si="10"/>
        <v>0.6</v>
      </c>
      <c r="AI36" s="1757">
        <f t="shared" si="11"/>
        <v>0.6</v>
      </c>
      <c r="AJ36" s="1757">
        <f t="shared" si="12"/>
        <v>0.6</v>
      </c>
      <c r="AK36" s="1761">
        <f t="shared" si="13"/>
        <v>0</v>
      </c>
      <c r="AL36" s="1757">
        <f t="shared" si="14"/>
        <v>0.6</v>
      </c>
      <c r="AM36" s="1757">
        <f t="shared" si="14"/>
        <v>0.6</v>
      </c>
      <c r="AN36" s="1758">
        <f t="shared" si="15"/>
        <v>0.6</v>
      </c>
      <c r="AO36" s="1757">
        <f t="shared" si="16"/>
        <v>0.6</v>
      </c>
      <c r="AP36" s="1757">
        <f t="shared" si="17"/>
        <v>0.5</v>
      </c>
      <c r="AQ36" s="1618"/>
      <c r="AR36" s="1645" t="s">
        <v>1421</v>
      </c>
      <c r="AS36" s="1691" t="s">
        <v>294</v>
      </c>
      <c r="AT36" s="2061" t="s">
        <v>295</v>
      </c>
      <c r="AU36" s="1621">
        <v>0.6</v>
      </c>
      <c r="AV36" s="1621">
        <v>0.6</v>
      </c>
      <c r="AW36" s="1621"/>
      <c r="AX36" s="1621"/>
      <c r="AY36" s="1621">
        <v>0.6</v>
      </c>
      <c r="AZ36" s="1621">
        <v>0.6</v>
      </c>
      <c r="BA36" s="1621">
        <v>0.6</v>
      </c>
      <c r="BB36" s="1712"/>
      <c r="BC36" s="1621">
        <v>0.6</v>
      </c>
      <c r="BD36" s="1621">
        <v>0.6</v>
      </c>
      <c r="BE36" s="1623">
        <v>0.6</v>
      </c>
      <c r="BF36" s="1621">
        <v>0.6</v>
      </c>
      <c r="BG36" s="1621">
        <v>0.5</v>
      </c>
      <c r="BI36" s="1645" t="s">
        <v>1421</v>
      </c>
      <c r="BJ36" s="1691" t="s">
        <v>294</v>
      </c>
      <c r="BK36" s="2061" t="s">
        <v>295</v>
      </c>
      <c r="BL36" s="1621">
        <v>0.6</v>
      </c>
      <c r="BM36" s="1621">
        <v>0.6</v>
      </c>
      <c r="BN36" s="1621"/>
      <c r="BO36" s="1621"/>
      <c r="BP36" s="1621">
        <v>0.6</v>
      </c>
      <c r="BQ36" s="1621">
        <v>0.6</v>
      </c>
      <c r="BR36" s="1621">
        <v>0.6</v>
      </c>
      <c r="BS36" s="1712"/>
      <c r="BT36" s="1621">
        <v>0.6</v>
      </c>
      <c r="BU36" s="1621">
        <v>0.6</v>
      </c>
      <c r="BV36" s="1623">
        <v>0.6</v>
      </c>
      <c r="BW36" s="1621">
        <v>0.6</v>
      </c>
      <c r="BX36" s="1621">
        <v>0.5</v>
      </c>
    </row>
    <row r="37" spans="1:77" ht="13.5" customHeight="1">
      <c r="B37" s="1619" t="str">
        <f t="shared" si="0"/>
        <v>3.1.2</v>
      </c>
      <c r="C37" s="1612" t="str">
        <f t="shared" si="1"/>
        <v>方位別開口</v>
      </c>
      <c r="D37" s="1719" t="e">
        <f t="shared" si="28"/>
        <v>#DIV/0!</v>
      </c>
      <c r="E37" s="1689" t="e">
        <f t="shared" si="28"/>
        <v>#DIV/0!</v>
      </c>
      <c r="G37" s="1689" t="e">
        <f t="shared" si="2"/>
        <v>#DIV/0!</v>
      </c>
      <c r="H37" s="1689" t="e">
        <f t="shared" si="2"/>
        <v>#DIV/0!</v>
      </c>
      <c r="I37" s="1689"/>
      <c r="J37" s="1689"/>
      <c r="K37" s="1614">
        <f>IF(スコア表示!X37=0,0,1)</f>
        <v>1</v>
      </c>
      <c r="L37" s="1614">
        <f>IF(スコア表示!AB37=0,0,1)</f>
        <v>1</v>
      </c>
      <c r="N37" s="1706" t="e">
        <f t="shared" si="29"/>
        <v>#DIV/0!</v>
      </c>
      <c r="O37" s="1706" t="e">
        <f t="shared" si="29"/>
        <v>#DIV/0!</v>
      </c>
      <c r="P37" s="1614"/>
      <c r="Q37" s="1614"/>
      <c r="R37" s="1614" t="e">
        <f>IF(スコア入力!R37="EB",重み_対象外!D37,U37)</f>
        <v>#DIV/0!</v>
      </c>
      <c r="S37" s="1614" t="e">
        <f>IF(スコア入力!Y37="EB",重み_対象外!E37,V37)</f>
        <v>#DIV/0!</v>
      </c>
      <c r="T37" s="1558"/>
      <c r="U37" s="1612" t="e">
        <f t="shared" si="30"/>
        <v>#DIV/0!</v>
      </c>
      <c r="V37" s="1612" t="e">
        <f t="shared" si="30"/>
        <v>#DIV/0!</v>
      </c>
      <c r="W37" s="1558"/>
      <c r="X37" s="1614" t="e">
        <f t="shared" si="18"/>
        <v>#DIV/0!</v>
      </c>
      <c r="Y37" s="1614" t="e">
        <f t="shared" si="21"/>
        <v>#DIV/0!</v>
      </c>
      <c r="Z37" s="1569"/>
      <c r="AA37" s="1611" t="str">
        <f t="shared" si="3"/>
        <v>3.1.2</v>
      </c>
      <c r="AB37" s="1611" t="str">
        <f t="shared" si="4"/>
        <v xml:space="preserve"> Q1 3.1</v>
      </c>
      <c r="AC37" s="1611" t="str">
        <f t="shared" si="5"/>
        <v>方位別開口</v>
      </c>
      <c r="AD37" s="1757">
        <f t="shared" si="6"/>
        <v>0</v>
      </c>
      <c r="AE37" s="1757">
        <f t="shared" si="7"/>
        <v>0</v>
      </c>
      <c r="AF37" s="1757">
        <f t="shared" si="8"/>
        <v>0</v>
      </c>
      <c r="AG37" s="1757">
        <f t="shared" si="9"/>
        <v>0</v>
      </c>
      <c r="AH37" s="1757">
        <f t="shared" si="10"/>
        <v>0</v>
      </c>
      <c r="AI37" s="1757">
        <f t="shared" si="11"/>
        <v>0</v>
      </c>
      <c r="AJ37" s="1757">
        <f t="shared" si="12"/>
        <v>0</v>
      </c>
      <c r="AK37" s="1761">
        <f t="shared" si="13"/>
        <v>0</v>
      </c>
      <c r="AL37" s="1757">
        <f t="shared" si="14"/>
        <v>0</v>
      </c>
      <c r="AM37" s="1757">
        <f t="shared" si="14"/>
        <v>0</v>
      </c>
      <c r="AN37" s="1758">
        <f t="shared" si="15"/>
        <v>0</v>
      </c>
      <c r="AO37" s="1757">
        <f t="shared" si="16"/>
        <v>0</v>
      </c>
      <c r="AP37" s="1757">
        <f t="shared" si="17"/>
        <v>0.3</v>
      </c>
      <c r="AQ37" s="1618"/>
      <c r="AR37" s="1645" t="s">
        <v>1423</v>
      </c>
      <c r="AS37" s="1691" t="s">
        <v>294</v>
      </c>
      <c r="AT37" s="2061" t="s">
        <v>296</v>
      </c>
      <c r="AU37" s="1621"/>
      <c r="AV37" s="1621"/>
      <c r="AW37" s="1621"/>
      <c r="AX37" s="1621"/>
      <c r="AY37" s="1621"/>
      <c r="AZ37" s="1621"/>
      <c r="BA37" s="1621"/>
      <c r="BB37" s="1712"/>
      <c r="BC37" s="1621"/>
      <c r="BD37" s="1621"/>
      <c r="BE37" s="1623"/>
      <c r="BF37" s="1621"/>
      <c r="BG37" s="1621">
        <v>0.3</v>
      </c>
      <c r="BI37" s="1645" t="s">
        <v>1423</v>
      </c>
      <c r="BJ37" s="1691" t="s">
        <v>294</v>
      </c>
      <c r="BK37" s="2061" t="s">
        <v>296</v>
      </c>
      <c r="BL37" s="1621"/>
      <c r="BM37" s="1621"/>
      <c r="BN37" s="1621"/>
      <c r="BO37" s="1621"/>
      <c r="BP37" s="1621"/>
      <c r="BQ37" s="1621"/>
      <c r="BR37" s="1621"/>
      <c r="BS37" s="1712"/>
      <c r="BT37" s="1621"/>
      <c r="BU37" s="1621"/>
      <c r="BV37" s="1623"/>
      <c r="BW37" s="1621"/>
      <c r="BX37" s="1621">
        <v>0.3</v>
      </c>
    </row>
    <row r="38" spans="1:77" ht="13.5" customHeight="1">
      <c r="B38" s="1619" t="str">
        <f t="shared" si="0"/>
        <v>3.1.3</v>
      </c>
      <c r="C38" s="1612" t="str">
        <f t="shared" si="1"/>
        <v>昼光利用設備</v>
      </c>
      <c r="D38" s="1719" t="e">
        <f t="shared" si="28"/>
        <v>#DIV/0!</v>
      </c>
      <c r="E38" s="1689" t="e">
        <f t="shared" si="28"/>
        <v>#DIV/0!</v>
      </c>
      <c r="G38" s="1689" t="e">
        <f t="shared" si="2"/>
        <v>#DIV/0!</v>
      </c>
      <c r="H38" s="1689" t="e">
        <f t="shared" si="2"/>
        <v>#DIV/0!</v>
      </c>
      <c r="I38" s="1689"/>
      <c r="J38" s="1689"/>
      <c r="K38" s="1614">
        <f>IF(スコア表示!X38=0,0,1)</f>
        <v>1</v>
      </c>
      <c r="L38" s="1614">
        <f>IF(スコア表示!AB38=0,0,1)</f>
        <v>1</v>
      </c>
      <c r="N38" s="1706" t="e">
        <f t="shared" si="29"/>
        <v>#DIV/0!</v>
      </c>
      <c r="O38" s="1706" t="e">
        <f t="shared" si="29"/>
        <v>#DIV/0!</v>
      </c>
      <c r="P38" s="1614"/>
      <c r="Q38" s="1614"/>
      <c r="R38" s="1614" t="e">
        <f>IF(スコア入力!R38="EB",重み_対象外!D38,U38)</f>
        <v>#DIV/0!</v>
      </c>
      <c r="S38" s="1614" t="e">
        <f>IF(スコア入力!Y38="EB",重み_対象外!E38,V38)</f>
        <v>#DIV/0!</v>
      </c>
      <c r="T38" s="1558"/>
      <c r="U38" s="1612" t="e">
        <f t="shared" si="30"/>
        <v>#DIV/0!</v>
      </c>
      <c r="V38" s="1612" t="e">
        <f t="shared" si="30"/>
        <v>#DIV/0!</v>
      </c>
      <c r="W38" s="1558"/>
      <c r="X38" s="1614" t="e">
        <f t="shared" si="18"/>
        <v>#DIV/0!</v>
      </c>
      <c r="Y38" s="1614" t="e">
        <f t="shared" si="21"/>
        <v>#DIV/0!</v>
      </c>
      <c r="Z38" s="1569"/>
      <c r="AA38" s="1611" t="str">
        <f t="shared" si="3"/>
        <v>3.1.3</v>
      </c>
      <c r="AB38" s="1611" t="str">
        <f t="shared" si="4"/>
        <v xml:space="preserve"> Q1 3.1</v>
      </c>
      <c r="AC38" s="1611" t="str">
        <f t="shared" si="5"/>
        <v>昼光利用設備</v>
      </c>
      <c r="AD38" s="1757">
        <f t="shared" si="6"/>
        <v>0.4</v>
      </c>
      <c r="AE38" s="1757">
        <f t="shared" si="7"/>
        <v>0.4</v>
      </c>
      <c r="AF38" s="1757">
        <f t="shared" si="8"/>
        <v>1</v>
      </c>
      <c r="AG38" s="1757">
        <f t="shared" si="9"/>
        <v>1</v>
      </c>
      <c r="AH38" s="1757">
        <f t="shared" si="10"/>
        <v>0.4</v>
      </c>
      <c r="AI38" s="1757">
        <f t="shared" si="11"/>
        <v>0.4</v>
      </c>
      <c r="AJ38" s="1757">
        <f t="shared" si="12"/>
        <v>0.4</v>
      </c>
      <c r="AK38" s="1761">
        <f t="shared" si="13"/>
        <v>0</v>
      </c>
      <c r="AL38" s="1757">
        <f t="shared" si="14"/>
        <v>0.4</v>
      </c>
      <c r="AM38" s="1757">
        <f t="shared" si="14"/>
        <v>0.4</v>
      </c>
      <c r="AN38" s="1758">
        <f t="shared" si="15"/>
        <v>0.4</v>
      </c>
      <c r="AO38" s="1757">
        <f t="shared" si="16"/>
        <v>0.4</v>
      </c>
      <c r="AP38" s="1757">
        <f t="shared" si="17"/>
        <v>0.2</v>
      </c>
      <c r="AQ38" s="1618"/>
      <c r="AR38" s="1645" t="s">
        <v>1424</v>
      </c>
      <c r="AS38" s="1691" t="s">
        <v>294</v>
      </c>
      <c r="AT38" s="2061" t="s">
        <v>297</v>
      </c>
      <c r="AU38" s="1621">
        <v>0.4</v>
      </c>
      <c r="AV38" s="1621">
        <v>0.4</v>
      </c>
      <c r="AW38" s="1621">
        <v>1</v>
      </c>
      <c r="AX38" s="1621">
        <v>1</v>
      </c>
      <c r="AY38" s="1621">
        <v>0.4</v>
      </c>
      <c r="AZ38" s="1621">
        <v>0.4</v>
      </c>
      <c r="BA38" s="1621">
        <v>0.4</v>
      </c>
      <c r="BB38" s="1712"/>
      <c r="BC38" s="1621">
        <v>0.4</v>
      </c>
      <c r="BD38" s="1621">
        <v>0.4</v>
      </c>
      <c r="BE38" s="1623">
        <v>0.4</v>
      </c>
      <c r="BF38" s="1621">
        <v>0.4</v>
      </c>
      <c r="BG38" s="1621">
        <v>0.2</v>
      </c>
      <c r="BI38" s="1645" t="s">
        <v>1424</v>
      </c>
      <c r="BJ38" s="1691" t="s">
        <v>294</v>
      </c>
      <c r="BK38" s="2061" t="s">
        <v>297</v>
      </c>
      <c r="BL38" s="1621">
        <v>0.4</v>
      </c>
      <c r="BM38" s="1621">
        <v>0.4</v>
      </c>
      <c r="BN38" s="1621">
        <v>1</v>
      </c>
      <c r="BO38" s="1621">
        <v>1</v>
      </c>
      <c r="BP38" s="1621">
        <v>0.4</v>
      </c>
      <c r="BQ38" s="1621">
        <v>0.4</v>
      </c>
      <c r="BR38" s="1621">
        <v>0.4</v>
      </c>
      <c r="BS38" s="1712"/>
      <c r="BT38" s="1621">
        <v>0.4</v>
      </c>
      <c r="BU38" s="1621">
        <v>0.4</v>
      </c>
      <c r="BV38" s="1623">
        <v>0.4</v>
      </c>
      <c r="BW38" s="1621">
        <v>0.4</v>
      </c>
      <c r="BX38" s="1621">
        <v>0.2</v>
      </c>
    </row>
    <row r="39" spans="1:77" ht="13.5" customHeight="1">
      <c r="B39" s="1619">
        <f t="shared" si="0"/>
        <v>3.2</v>
      </c>
      <c r="C39" s="1612" t="str">
        <f t="shared" si="1"/>
        <v>グレア対策</v>
      </c>
      <c r="D39" s="1714" t="e">
        <f>IF(I$34=0,0,G39/I$34)</f>
        <v>#DIV/0!</v>
      </c>
      <c r="E39" s="1689" t="e">
        <f>IF(J$34=0,0,H39/J$34)</f>
        <v>#DIV/0!</v>
      </c>
      <c r="G39" s="1689" t="e">
        <f t="shared" si="2"/>
        <v>#DIV/0!</v>
      </c>
      <c r="H39" s="1689" t="e">
        <f t="shared" si="2"/>
        <v>#DIV/0!</v>
      </c>
      <c r="I39" s="1689" t="e">
        <f>SUM(G40:G42)</f>
        <v>#DIV/0!</v>
      </c>
      <c r="J39" s="1689" t="e">
        <f>SUM(H40:H42)</f>
        <v>#DIV/0!</v>
      </c>
      <c r="K39" s="1614" t="e">
        <f>IF(スコア表示!X39=0,0,1)</f>
        <v>#DIV/0!</v>
      </c>
      <c r="L39" s="1614" t="e">
        <f>IF(スコア表示!AB39=0,0,1)</f>
        <v>#DIV/0!</v>
      </c>
      <c r="N39" s="1711" t="e">
        <f>IF(P$34=0,0,P39/P$34)</f>
        <v>#DIV/0!</v>
      </c>
      <c r="O39" s="1711" t="e">
        <f>IF(Q$34=0,0,Q39/Q$34)</f>
        <v>#DIV/0!</v>
      </c>
      <c r="P39" s="1614" t="e">
        <f>SUM(R40:R42)</f>
        <v>#DIV/0!</v>
      </c>
      <c r="Q39" s="1614" t="e">
        <f>SUM(S40:S42)</f>
        <v>#DIV/0!</v>
      </c>
      <c r="R39" s="1614">
        <f>IF(スコア入力!R39="EB",重み_対象外!D39,U39)</f>
        <v>0</v>
      </c>
      <c r="S39" s="1614">
        <f>IF(スコア入力!Y39="EB",重み_対象外!E39,V39)</f>
        <v>0</v>
      </c>
      <c r="T39" s="1558"/>
      <c r="U39" s="1303"/>
      <c r="V39" s="1303"/>
      <c r="W39" s="1558"/>
      <c r="X39" s="1614" t="e">
        <f t="shared" si="18"/>
        <v>#DIV/0!</v>
      </c>
      <c r="Y39" s="1614" t="e">
        <f t="shared" si="21"/>
        <v>#DIV/0!</v>
      </c>
      <c r="Z39" s="1569"/>
      <c r="AA39" s="1611">
        <f t="shared" si="3"/>
        <v>3.2</v>
      </c>
      <c r="AB39" s="1611" t="str">
        <f t="shared" si="4"/>
        <v xml:space="preserve"> Q1 3</v>
      </c>
      <c r="AC39" s="1611" t="str">
        <f t="shared" si="5"/>
        <v>グレア対策</v>
      </c>
      <c r="AD39" s="1757">
        <f t="shared" si="6"/>
        <v>0.3</v>
      </c>
      <c r="AE39" s="1757">
        <f t="shared" si="7"/>
        <v>0.3</v>
      </c>
      <c r="AF39" s="1757">
        <f t="shared" si="8"/>
        <v>0</v>
      </c>
      <c r="AG39" s="1757">
        <f t="shared" si="9"/>
        <v>0</v>
      </c>
      <c r="AH39" s="1757">
        <f t="shared" si="10"/>
        <v>0.3</v>
      </c>
      <c r="AI39" s="1757">
        <f t="shared" si="11"/>
        <v>0.3</v>
      </c>
      <c r="AJ39" s="1757">
        <f t="shared" si="12"/>
        <v>0.3</v>
      </c>
      <c r="AK39" s="1761">
        <f t="shared" si="13"/>
        <v>0</v>
      </c>
      <c r="AL39" s="1757">
        <f t="shared" si="14"/>
        <v>0.3</v>
      </c>
      <c r="AM39" s="1757">
        <f t="shared" si="14"/>
        <v>0.3</v>
      </c>
      <c r="AN39" s="1758">
        <f t="shared" si="15"/>
        <v>0.3</v>
      </c>
      <c r="AO39" s="1757">
        <f t="shared" si="16"/>
        <v>0.3</v>
      </c>
      <c r="AP39" s="1757">
        <f t="shared" si="17"/>
        <v>0.3</v>
      </c>
      <c r="AQ39" s="1618"/>
      <c r="AR39" s="1645">
        <v>3.2</v>
      </c>
      <c r="AS39" s="1691" t="s">
        <v>293</v>
      </c>
      <c r="AT39" s="2061" t="s">
        <v>640</v>
      </c>
      <c r="AU39" s="1621">
        <v>0.3</v>
      </c>
      <c r="AV39" s="1621">
        <v>0.3</v>
      </c>
      <c r="AW39" s="1621"/>
      <c r="AX39" s="1621"/>
      <c r="AY39" s="1621">
        <v>0.3</v>
      </c>
      <c r="AZ39" s="1621">
        <v>0.3</v>
      </c>
      <c r="BA39" s="1621">
        <v>0.3</v>
      </c>
      <c r="BB39" s="1712"/>
      <c r="BC39" s="1621">
        <v>0.3</v>
      </c>
      <c r="BD39" s="1621">
        <v>0.3</v>
      </c>
      <c r="BE39" s="1623">
        <v>0.3</v>
      </c>
      <c r="BF39" s="1621">
        <v>0.3</v>
      </c>
      <c r="BG39" s="1621">
        <v>0.3</v>
      </c>
      <c r="BI39" s="1645">
        <v>3.2</v>
      </c>
      <c r="BJ39" s="1691" t="s">
        <v>293</v>
      </c>
      <c r="BK39" s="2061" t="s">
        <v>640</v>
      </c>
      <c r="BL39" s="1621">
        <v>0.3</v>
      </c>
      <c r="BM39" s="1621">
        <v>0.3</v>
      </c>
      <c r="BN39" s="1621"/>
      <c r="BO39" s="1621"/>
      <c r="BP39" s="1621">
        <v>0.3</v>
      </c>
      <c r="BQ39" s="1621">
        <v>0.3</v>
      </c>
      <c r="BR39" s="1621">
        <v>0.3</v>
      </c>
      <c r="BS39" s="1712"/>
      <c r="BT39" s="1621">
        <v>0.3</v>
      </c>
      <c r="BU39" s="1621">
        <v>0.3</v>
      </c>
      <c r="BV39" s="1623">
        <v>0.3</v>
      </c>
      <c r="BW39" s="1621">
        <v>0.3</v>
      </c>
      <c r="BX39" s="1621">
        <v>0.3</v>
      </c>
    </row>
    <row r="40" spans="1:77" ht="13.5" customHeight="1">
      <c r="B40" s="1619" t="str">
        <f t="shared" ref="B40:B72" si="31">AA40</f>
        <v>3.2.1</v>
      </c>
      <c r="C40" s="1612" t="str">
        <f t="shared" ref="C40:C72" si="32">AC40</f>
        <v>照明器具のグレア</v>
      </c>
      <c r="D40" s="1719" t="e">
        <f t="shared" ref="D40:E42" si="33">IF(I$39&gt;0,G40/I$39,0)</f>
        <v>#DIV/0!</v>
      </c>
      <c r="E40" s="1689" t="e">
        <f t="shared" si="33"/>
        <v>#DIV/0!</v>
      </c>
      <c r="G40" s="1689" t="e">
        <f t="shared" si="2"/>
        <v>#DIV/0!</v>
      </c>
      <c r="H40" s="1689" t="e">
        <f t="shared" si="2"/>
        <v>#DIV/0!</v>
      </c>
      <c r="I40" s="1689"/>
      <c r="J40" s="1689"/>
      <c r="K40" s="1614">
        <f>IF(スコア表示!X40=0,0,1)</f>
        <v>0</v>
      </c>
      <c r="L40" s="1614">
        <f>IF(スコア表示!AB40=0,0,1)</f>
        <v>0</v>
      </c>
      <c r="N40" s="1706" t="e">
        <f t="shared" ref="N40:O42" si="34">IF(P$39&gt;0,R40/P$39,0)</f>
        <v>#DIV/0!</v>
      </c>
      <c r="O40" s="1706" t="e">
        <f t="shared" si="34"/>
        <v>#DIV/0!</v>
      </c>
      <c r="P40" s="1614"/>
      <c r="Q40" s="1614"/>
      <c r="R40" s="1614" t="e">
        <f>IF(スコア入力!R40="EB",重み_対象外!D40,U40)</f>
        <v>#DIV/0!</v>
      </c>
      <c r="S40" s="1614" t="e">
        <f>IF(スコア入力!Y40="EB",重み_対象外!E40,V40)</f>
        <v>#DIV/0!</v>
      </c>
      <c r="T40" s="1558"/>
      <c r="U40" s="1612" t="e">
        <f t="shared" ref="U40:V42" si="35">X$34*X$39*X40</f>
        <v>#DIV/0!</v>
      </c>
      <c r="V40" s="1612" t="e">
        <f t="shared" si="35"/>
        <v>#DIV/0!</v>
      </c>
      <c r="W40" s="1558"/>
      <c r="X40" s="1614" t="e">
        <f t="shared" si="18"/>
        <v>#DIV/0!</v>
      </c>
      <c r="Y40" s="1614" t="e">
        <f t="shared" si="21"/>
        <v>#DIV/0!</v>
      </c>
      <c r="Z40" s="1569"/>
      <c r="AA40" s="1611" t="str">
        <f t="shared" si="3"/>
        <v>3.2.1</v>
      </c>
      <c r="AB40" s="1611" t="str">
        <f t="shared" si="4"/>
        <v xml:space="preserve"> Q1 3.2</v>
      </c>
      <c r="AC40" s="1611" t="str">
        <f t="shared" si="5"/>
        <v>照明器具のグレア</v>
      </c>
      <c r="AD40" s="1757">
        <f t="shared" si="6"/>
        <v>0.4</v>
      </c>
      <c r="AE40" s="1757">
        <f t="shared" si="7"/>
        <v>0.4</v>
      </c>
      <c r="AF40" s="1757">
        <f t="shared" si="8"/>
        <v>0</v>
      </c>
      <c r="AG40" s="1757">
        <f t="shared" si="9"/>
        <v>0</v>
      </c>
      <c r="AH40" s="1757">
        <f t="shared" si="10"/>
        <v>0.4</v>
      </c>
      <c r="AI40" s="1757">
        <f t="shared" si="11"/>
        <v>0.4</v>
      </c>
      <c r="AJ40" s="1757">
        <f t="shared" si="12"/>
        <v>0.4</v>
      </c>
      <c r="AK40" s="1761">
        <f t="shared" si="13"/>
        <v>0</v>
      </c>
      <c r="AL40" s="1757">
        <f t="shared" si="14"/>
        <v>0.4</v>
      </c>
      <c r="AM40" s="1757">
        <f t="shared" si="14"/>
        <v>0.4</v>
      </c>
      <c r="AN40" s="1758">
        <f t="shared" si="15"/>
        <v>0.4</v>
      </c>
      <c r="AO40" s="1757">
        <f t="shared" si="16"/>
        <v>0.4</v>
      </c>
      <c r="AP40" s="1757">
        <f t="shared" si="17"/>
        <v>0.4</v>
      </c>
      <c r="AQ40" s="1630"/>
      <c r="AR40" s="1645" t="s">
        <v>1426</v>
      </c>
      <c r="AS40" s="1691" t="s">
        <v>298</v>
      </c>
      <c r="AT40" s="2061" t="s">
        <v>299</v>
      </c>
      <c r="AU40" s="1621">
        <v>0.4</v>
      </c>
      <c r="AV40" s="1621">
        <v>0.4</v>
      </c>
      <c r="AW40" s="1621"/>
      <c r="AX40" s="1621"/>
      <c r="AY40" s="1621">
        <v>0.4</v>
      </c>
      <c r="AZ40" s="1621">
        <v>0.4</v>
      </c>
      <c r="BA40" s="1621">
        <v>0.4</v>
      </c>
      <c r="BB40" s="1712"/>
      <c r="BC40" s="1621">
        <v>0.4</v>
      </c>
      <c r="BD40" s="1621">
        <v>0.4</v>
      </c>
      <c r="BE40" s="1623">
        <v>0.4</v>
      </c>
      <c r="BF40" s="1621">
        <v>0.4</v>
      </c>
      <c r="BG40" s="1621">
        <v>0.4</v>
      </c>
      <c r="BI40" s="1645" t="s">
        <v>1426</v>
      </c>
      <c r="BJ40" s="1691" t="s">
        <v>298</v>
      </c>
      <c r="BK40" s="2061" t="s">
        <v>299</v>
      </c>
      <c r="BL40" s="1621">
        <v>0.4</v>
      </c>
      <c r="BM40" s="1621">
        <v>0.4</v>
      </c>
      <c r="BN40" s="1621"/>
      <c r="BO40" s="1621"/>
      <c r="BP40" s="1621">
        <v>0.4</v>
      </c>
      <c r="BQ40" s="1621">
        <v>0.4</v>
      </c>
      <c r="BR40" s="1621">
        <v>0.4</v>
      </c>
      <c r="BS40" s="1712"/>
      <c r="BT40" s="1621">
        <v>0.4</v>
      </c>
      <c r="BU40" s="1621">
        <v>0.4</v>
      </c>
      <c r="BV40" s="1623">
        <v>0.4</v>
      </c>
      <c r="BW40" s="1621">
        <v>0.4</v>
      </c>
      <c r="BX40" s="1621">
        <v>0.4</v>
      </c>
    </row>
    <row r="41" spans="1:77" ht="13.5" customHeight="1">
      <c r="B41" s="1619" t="str">
        <f>AA41</f>
        <v>3.2.2</v>
      </c>
      <c r="C41" s="1612" t="str">
        <f t="shared" si="32"/>
        <v>昼光制御</v>
      </c>
      <c r="D41" s="1719" t="e">
        <f t="shared" si="33"/>
        <v>#DIV/0!</v>
      </c>
      <c r="E41" s="1689" t="e">
        <f t="shared" si="33"/>
        <v>#DIV/0!</v>
      </c>
      <c r="G41" s="1689" t="e">
        <f t="shared" ref="G41:H72" si="36">K41*N41</f>
        <v>#DIV/0!</v>
      </c>
      <c r="H41" s="1689" t="e">
        <f t="shared" si="36"/>
        <v>#DIV/0!</v>
      </c>
      <c r="I41" s="1689"/>
      <c r="J41" s="1689"/>
      <c r="K41" s="1614">
        <f>IF(スコア表示!X41=0,0,1)</f>
        <v>1</v>
      </c>
      <c r="L41" s="1614">
        <f>IF(スコア表示!AB41=0,0,1)</f>
        <v>1</v>
      </c>
      <c r="N41" s="1706" t="e">
        <f t="shared" si="34"/>
        <v>#DIV/0!</v>
      </c>
      <c r="O41" s="1706" t="e">
        <f t="shared" si="34"/>
        <v>#DIV/0!</v>
      </c>
      <c r="P41" s="1614"/>
      <c r="Q41" s="1614"/>
      <c r="R41" s="1614" t="e">
        <f>IF(スコア入力!R41="EB",重み_対象外!D41,U41)</f>
        <v>#DIV/0!</v>
      </c>
      <c r="S41" s="1614" t="e">
        <f>IF(スコア入力!Y41="EB",重み_対象外!E41,V41)</f>
        <v>#DIV/0!</v>
      </c>
      <c r="T41" s="1558"/>
      <c r="U41" s="1612" t="e">
        <f>X$34*X$39*X41</f>
        <v>#DIV/0!</v>
      </c>
      <c r="V41" s="1612" t="e">
        <f>Y$34*Y$39*Y41</f>
        <v>#DIV/0!</v>
      </c>
      <c r="W41" s="1558"/>
      <c r="X41" s="1614" t="e">
        <f t="shared" si="18"/>
        <v>#DIV/0!</v>
      </c>
      <c r="Y41" s="1614" t="e">
        <f t="shared" si="21"/>
        <v>#DIV/0!</v>
      </c>
      <c r="Z41" s="1569"/>
      <c r="AA41" s="1611" t="str">
        <f t="shared" ref="AA41:AA73" si="37">IF($AA$3=1,AR41,BI41)</f>
        <v>3.2.2</v>
      </c>
      <c r="AB41" s="1611" t="str">
        <f t="shared" ref="AB41:AB73" si="38">IF($AA$3=1,AS41,BJ41)</f>
        <v xml:space="preserve"> Q1 3.2</v>
      </c>
      <c r="AC41" s="1611" t="str">
        <f t="shared" ref="AC41:AC73" si="39">IF($AA$3=1,AT41,BK41)</f>
        <v>昼光制御</v>
      </c>
      <c r="AD41" s="1757">
        <f t="shared" ref="AD41:AD73" si="40">IF($AA$3=1,AU41,BL41)</f>
        <v>0.6</v>
      </c>
      <c r="AE41" s="1757">
        <f t="shared" ref="AE41:AE73" si="41">IF($AA$3=1,AV41,BM41)</f>
        <v>0.6</v>
      </c>
      <c r="AF41" s="1757">
        <f t="shared" ref="AF41:AF73" si="42">IF($AA$3=1,AW41,BN41)</f>
        <v>0</v>
      </c>
      <c r="AG41" s="1757">
        <f t="shared" ref="AG41:AG73" si="43">IF($AA$3=1,AX41,BO41)</f>
        <v>0</v>
      </c>
      <c r="AH41" s="1757">
        <f t="shared" ref="AH41:AH73" si="44">IF($AA$3=1,AY41,BP41)</f>
        <v>0.6</v>
      </c>
      <c r="AI41" s="1757">
        <f t="shared" ref="AI41:AI73" si="45">IF($AA$3=1,AZ41,BQ41)</f>
        <v>0.6</v>
      </c>
      <c r="AJ41" s="1757">
        <f t="shared" ref="AJ41:AJ73" si="46">IF($AA$3=1,BA41,BR41)</f>
        <v>0.6</v>
      </c>
      <c r="AK41" s="1761">
        <f t="shared" ref="AK41:AK73" si="47">IF($AA$3=1,BB41,BS41)</f>
        <v>0</v>
      </c>
      <c r="AL41" s="1757">
        <f t="shared" ref="AL41:AM73" si="48">IF($AA$3=1,BC41,BT41)</f>
        <v>0.6</v>
      </c>
      <c r="AM41" s="1757">
        <f t="shared" si="48"/>
        <v>0.6</v>
      </c>
      <c r="AN41" s="1758">
        <f t="shared" ref="AN41:AN73" si="49">IF($AA$3=1,BE41,BV41)</f>
        <v>0.6</v>
      </c>
      <c r="AO41" s="1757">
        <f t="shared" ref="AO41:AO73" si="50">IF($AA$3=1,BF41,BW41)</f>
        <v>0.6</v>
      </c>
      <c r="AP41" s="1757">
        <f t="shared" ref="AP41:AP73" si="51">IF($AA$3=1,BG41,BX41)</f>
        <v>0.6</v>
      </c>
      <c r="AQ41" s="1630"/>
      <c r="AR41" s="1645" t="s">
        <v>1428</v>
      </c>
      <c r="AS41" s="1691" t="s">
        <v>298</v>
      </c>
      <c r="AT41" s="2061" t="s">
        <v>300</v>
      </c>
      <c r="AU41" s="1621">
        <v>0.6</v>
      </c>
      <c r="AV41" s="1621">
        <v>0.6</v>
      </c>
      <c r="AW41" s="1621"/>
      <c r="AX41" s="1621"/>
      <c r="AY41" s="1621">
        <v>0.6</v>
      </c>
      <c r="AZ41" s="1621">
        <v>0.6</v>
      </c>
      <c r="BA41" s="1621">
        <v>0.6</v>
      </c>
      <c r="BB41" s="1712"/>
      <c r="BC41" s="1621">
        <v>0.6</v>
      </c>
      <c r="BD41" s="1621">
        <v>0.6</v>
      </c>
      <c r="BE41" s="1623">
        <v>0.6</v>
      </c>
      <c r="BF41" s="1621">
        <v>0.6</v>
      </c>
      <c r="BG41" s="1621">
        <v>0.6</v>
      </c>
      <c r="BI41" s="1645" t="s">
        <v>1428</v>
      </c>
      <c r="BJ41" s="1691" t="s">
        <v>298</v>
      </c>
      <c r="BK41" s="2061" t="s">
        <v>300</v>
      </c>
      <c r="BL41" s="1621">
        <v>0.6</v>
      </c>
      <c r="BM41" s="1621">
        <v>0.6</v>
      </c>
      <c r="BN41" s="1621"/>
      <c r="BO41" s="1621"/>
      <c r="BP41" s="1621">
        <v>0.6</v>
      </c>
      <c r="BQ41" s="1621">
        <v>0.6</v>
      </c>
      <c r="BR41" s="1621">
        <v>0.6</v>
      </c>
      <c r="BS41" s="1712"/>
      <c r="BT41" s="1621">
        <v>0.6</v>
      </c>
      <c r="BU41" s="1621">
        <v>0.6</v>
      </c>
      <c r="BV41" s="1623">
        <v>0.6</v>
      </c>
      <c r="BW41" s="1621">
        <v>0.6</v>
      </c>
      <c r="BX41" s="1621">
        <v>0.6</v>
      </c>
    </row>
    <row r="42" spans="1:77" ht="13.5" customHeight="1">
      <c r="B42" s="1619" t="str">
        <f>AA42</f>
        <v>3.2.3</v>
      </c>
      <c r="C42" s="1612" t="str">
        <f>AC42</f>
        <v>映り込み対策</v>
      </c>
      <c r="D42" s="1719" t="e">
        <f>IF(I$39&gt;0,G42/I$39,0)</f>
        <v>#DIV/0!</v>
      </c>
      <c r="E42" s="1689" t="e">
        <f t="shared" si="33"/>
        <v>#DIV/0!</v>
      </c>
      <c r="G42" s="1689" t="e">
        <f t="shared" si="36"/>
        <v>#DIV/0!</v>
      </c>
      <c r="H42" s="1689" t="e">
        <f t="shared" si="36"/>
        <v>#DIV/0!</v>
      </c>
      <c r="I42" s="1689"/>
      <c r="J42" s="1689"/>
      <c r="K42" s="1614">
        <f>IF(スコア表示!X42=0,0,1)</f>
        <v>1</v>
      </c>
      <c r="L42" s="1614">
        <f>IF(スコア表示!AB42=0,0,1)</f>
        <v>1</v>
      </c>
      <c r="N42" s="1706" t="e">
        <f t="shared" si="34"/>
        <v>#DIV/0!</v>
      </c>
      <c r="O42" s="1706" t="e">
        <f t="shared" si="34"/>
        <v>#DIV/0!</v>
      </c>
      <c r="P42" s="1614"/>
      <c r="Q42" s="1614"/>
      <c r="R42" s="1614" t="e">
        <f>IF(スコア入力!R42="EB",重み_対象外!D42,U42)</f>
        <v>#DIV/0!</v>
      </c>
      <c r="S42" s="1614" t="e">
        <f>IF(スコア入力!Y42="EB",重み_対象外!E42,V42)</f>
        <v>#DIV/0!</v>
      </c>
      <c r="T42" s="1558"/>
      <c r="U42" s="1612" t="e">
        <f t="shared" si="35"/>
        <v>#DIV/0!</v>
      </c>
      <c r="V42" s="1612" t="e">
        <f t="shared" si="35"/>
        <v>#DIV/0!</v>
      </c>
      <c r="W42" s="1558"/>
      <c r="X42" s="1614" t="e">
        <f t="shared" si="18"/>
        <v>#DIV/0!</v>
      </c>
      <c r="Y42" s="1614" t="e">
        <f t="shared" si="21"/>
        <v>#DIV/0!</v>
      </c>
      <c r="Z42" s="1569"/>
      <c r="AA42" s="1611" t="str">
        <f>IF($AA$3=1,AR42,BI42)</f>
        <v>3.2.3</v>
      </c>
      <c r="AB42" s="1611" t="str">
        <f t="shared" ref="AB42:AP42" si="52">IF($AA$3=1,AS42,BJ42)</f>
        <v xml:space="preserve"> Q1 3.3</v>
      </c>
      <c r="AC42" s="1611" t="str">
        <f t="shared" si="52"/>
        <v>映り込み対策</v>
      </c>
      <c r="AD42" s="1757">
        <f t="shared" si="52"/>
        <v>0</v>
      </c>
      <c r="AE42" s="1757">
        <f t="shared" si="52"/>
        <v>0</v>
      </c>
      <c r="AF42" s="1757">
        <f t="shared" si="52"/>
        <v>0</v>
      </c>
      <c r="AG42" s="1757">
        <f t="shared" si="52"/>
        <v>0</v>
      </c>
      <c r="AH42" s="1757">
        <f t="shared" si="52"/>
        <v>0</v>
      </c>
      <c r="AI42" s="1757">
        <f t="shared" si="52"/>
        <v>0</v>
      </c>
      <c r="AJ42" s="1757">
        <f t="shared" si="52"/>
        <v>0</v>
      </c>
      <c r="AK42" s="1761">
        <f t="shared" si="52"/>
        <v>0</v>
      </c>
      <c r="AL42" s="1757">
        <f t="shared" si="52"/>
        <v>0</v>
      </c>
      <c r="AM42" s="1757">
        <f t="shared" si="52"/>
        <v>0</v>
      </c>
      <c r="AN42" s="1758">
        <f t="shared" si="52"/>
        <v>0</v>
      </c>
      <c r="AO42" s="1757">
        <f t="shared" si="52"/>
        <v>0</v>
      </c>
      <c r="AP42" s="1757">
        <f t="shared" si="52"/>
        <v>0</v>
      </c>
      <c r="AQ42" s="1630"/>
      <c r="AR42" s="2064" t="s">
        <v>1429</v>
      </c>
      <c r="AS42" s="2066" t="s">
        <v>301</v>
      </c>
      <c r="AT42" s="2067" t="s">
        <v>844</v>
      </c>
      <c r="AU42" s="2071"/>
      <c r="AV42" s="2071"/>
      <c r="AW42" s="2071"/>
      <c r="AX42" s="2071"/>
      <c r="AY42" s="2071"/>
      <c r="AZ42" s="2071"/>
      <c r="BA42" s="2071"/>
      <c r="BB42" s="2072"/>
      <c r="BC42" s="2071"/>
      <c r="BD42" s="2071"/>
      <c r="BE42" s="2073"/>
      <c r="BF42" s="2071"/>
      <c r="BG42" s="2071"/>
      <c r="BI42" s="2064" t="s">
        <v>1429</v>
      </c>
      <c r="BJ42" s="2066" t="s">
        <v>301</v>
      </c>
      <c r="BK42" s="2067" t="s">
        <v>844</v>
      </c>
      <c r="BL42" s="2071"/>
      <c r="BM42" s="2071"/>
      <c r="BN42" s="2071"/>
      <c r="BO42" s="2071"/>
      <c r="BP42" s="2071"/>
      <c r="BQ42" s="2071"/>
      <c r="BR42" s="2071"/>
      <c r="BS42" s="2072"/>
      <c r="BT42" s="2071"/>
      <c r="BU42" s="2071"/>
      <c r="BV42" s="2073"/>
      <c r="BW42" s="2071"/>
      <c r="BX42" s="2071"/>
    </row>
    <row r="43" spans="1:77" ht="13.5" customHeight="1">
      <c r="B43" s="1619">
        <f t="shared" si="31"/>
        <v>3.3</v>
      </c>
      <c r="C43" s="1628" t="str">
        <f t="shared" si="32"/>
        <v>照度</v>
      </c>
      <c r="D43" s="1714" t="e">
        <f>IF(I$34=0,0,G43/I$34)</f>
        <v>#DIV/0!</v>
      </c>
      <c r="E43" s="1689" t="e">
        <f>IF(J$34=0,0,H43/J$34)</f>
        <v>#DIV/0!</v>
      </c>
      <c r="G43" s="1689" t="e">
        <f t="shared" si="36"/>
        <v>#DIV/0!</v>
      </c>
      <c r="H43" s="1689" t="e">
        <f t="shared" si="36"/>
        <v>#DIV/0!</v>
      </c>
      <c r="I43" s="1689">
        <f>SUM(G44:G45)</f>
        <v>0</v>
      </c>
      <c r="J43" s="1689">
        <f>SUM(H44:H45)</f>
        <v>0</v>
      </c>
      <c r="K43" s="1614">
        <f>IF(スコア表示!X43=0,0,1)</f>
        <v>1</v>
      </c>
      <c r="L43" s="1614">
        <f>IF(スコア表示!AB43=0,0,1)</f>
        <v>1</v>
      </c>
      <c r="N43" s="1711" t="e">
        <f>IF(P$34=0,0,R43/P$34)</f>
        <v>#DIV/0!</v>
      </c>
      <c r="O43" s="1711" t="e">
        <f>IF(Q$34=0,0,S43/Q$34)</f>
        <v>#DIV/0!</v>
      </c>
      <c r="P43" s="1614"/>
      <c r="Q43" s="1614"/>
      <c r="R43" s="1614" t="e">
        <f>IF(スコア入力!R43="EB",重み_対象外!D43,U43)</f>
        <v>#DIV/0!</v>
      </c>
      <c r="S43" s="1614" t="e">
        <f>IF(スコア入力!Y43="EB",重み_対象外!E43,V43)</f>
        <v>#DIV/0!</v>
      </c>
      <c r="T43" s="1558"/>
      <c r="U43" s="1612" t="e">
        <f>X$34*X43</f>
        <v>#DIV/0!</v>
      </c>
      <c r="V43" s="1612" t="e">
        <f>Y$34*Y43</f>
        <v>#DIV/0!</v>
      </c>
      <c r="W43" s="1558"/>
      <c r="X43" s="1614" t="e">
        <f>SUMPRODUCT($AD$7:$AM$7,AD43:AM43)</f>
        <v>#DIV/0!</v>
      </c>
      <c r="Y43" s="1614" t="e">
        <f>(AN$7*AN43)+(AO$7*AO43)+(AP$7*AP43)</f>
        <v>#DIV/0!</v>
      </c>
      <c r="Z43" s="1569"/>
      <c r="AA43" s="1611">
        <f>IF($AA$3=1,AR43,BI43)</f>
        <v>3.3</v>
      </c>
      <c r="AB43" s="1611" t="str">
        <f t="shared" si="38"/>
        <v xml:space="preserve"> Q1 3</v>
      </c>
      <c r="AC43" s="1611" t="str">
        <f t="shared" ref="AC43:AL43" si="53">IF($AA$3=1,AT43,BK43)</f>
        <v>照度</v>
      </c>
      <c r="AD43" s="1757">
        <f t="shared" si="53"/>
        <v>0.15</v>
      </c>
      <c r="AE43" s="1757">
        <f t="shared" si="53"/>
        <v>0.15</v>
      </c>
      <c r="AF43" s="1757">
        <f t="shared" si="53"/>
        <v>0</v>
      </c>
      <c r="AG43" s="1757">
        <f t="shared" si="53"/>
        <v>0</v>
      </c>
      <c r="AH43" s="1757">
        <f t="shared" si="53"/>
        <v>0.15</v>
      </c>
      <c r="AI43" s="1757">
        <f t="shared" si="53"/>
        <v>0.15</v>
      </c>
      <c r="AJ43" s="1757">
        <f t="shared" si="53"/>
        <v>0.15</v>
      </c>
      <c r="AK43" s="1761">
        <f t="shared" si="53"/>
        <v>0</v>
      </c>
      <c r="AL43" s="1757">
        <f t="shared" si="53"/>
        <v>0.15</v>
      </c>
      <c r="AM43" s="1757">
        <f t="shared" si="48"/>
        <v>0.15</v>
      </c>
      <c r="AN43" s="1758">
        <f>IF($AA$3=1,BE43,BV43)</f>
        <v>0.15</v>
      </c>
      <c r="AO43" s="1757">
        <f>IF($AA$3=1,BF43,BW43)</f>
        <v>0.15</v>
      </c>
      <c r="AP43" s="1757">
        <f>IF($AA$3=1,BG43,BX43)</f>
        <v>0.15</v>
      </c>
      <c r="AQ43" s="1618"/>
      <c r="AR43" s="1645">
        <v>3.3</v>
      </c>
      <c r="AS43" s="1691" t="s">
        <v>293</v>
      </c>
      <c r="AT43" s="1735" t="s">
        <v>646</v>
      </c>
      <c r="AU43" s="1621">
        <v>0.15</v>
      </c>
      <c r="AV43" s="1621">
        <v>0.15</v>
      </c>
      <c r="AW43" s="1621"/>
      <c r="AX43" s="1621"/>
      <c r="AY43" s="1621">
        <v>0.15</v>
      </c>
      <c r="AZ43" s="1621">
        <v>0.15</v>
      </c>
      <c r="BA43" s="1621">
        <v>0.15</v>
      </c>
      <c r="BB43" s="1712"/>
      <c r="BC43" s="1621">
        <v>0.15</v>
      </c>
      <c r="BD43" s="1621">
        <v>0.15</v>
      </c>
      <c r="BE43" s="1623">
        <v>0.15</v>
      </c>
      <c r="BF43" s="1621">
        <v>0.15</v>
      </c>
      <c r="BG43" s="1621">
        <v>0.15</v>
      </c>
      <c r="BI43" s="1645">
        <v>3.3</v>
      </c>
      <c r="BJ43" s="1691" t="s">
        <v>293</v>
      </c>
      <c r="BK43" s="1735" t="s">
        <v>646</v>
      </c>
      <c r="BL43" s="1621">
        <v>0.15</v>
      </c>
      <c r="BM43" s="1621">
        <v>0.15</v>
      </c>
      <c r="BN43" s="1621"/>
      <c r="BO43" s="1621"/>
      <c r="BP43" s="1621">
        <v>0.15</v>
      </c>
      <c r="BQ43" s="1621">
        <v>0.15</v>
      </c>
      <c r="BR43" s="1621">
        <v>0.15</v>
      </c>
      <c r="BS43" s="1712"/>
      <c r="BT43" s="1621">
        <v>0.15</v>
      </c>
      <c r="BU43" s="1621">
        <v>0.15</v>
      </c>
      <c r="BV43" s="1623">
        <v>0.15</v>
      </c>
      <c r="BW43" s="1621">
        <v>0.15</v>
      </c>
      <c r="BX43" s="1621">
        <v>0.15</v>
      </c>
    </row>
    <row r="44" spans="1:77" ht="13.5" hidden="1" customHeight="1">
      <c r="B44" s="1647" t="str">
        <f t="shared" si="31"/>
        <v>3.3.1</v>
      </c>
      <c r="C44" s="1648" t="str">
        <f t="shared" si="32"/>
        <v>照度</v>
      </c>
      <c r="D44" s="2062">
        <f>IF(I$43&gt;0,G44/I$43,0)</f>
        <v>0</v>
      </c>
      <c r="E44" s="2063">
        <f>IF(J$43&gt;0,H44/J$43,0)</f>
        <v>0</v>
      </c>
      <c r="G44" s="2063">
        <f t="shared" si="36"/>
        <v>0</v>
      </c>
      <c r="H44" s="2063">
        <f t="shared" si="36"/>
        <v>0</v>
      </c>
      <c r="I44" s="2063"/>
      <c r="J44" s="2063"/>
      <c r="K44" s="1650">
        <f>IF(スコア表示!X44=0,0,1)</f>
        <v>0</v>
      </c>
      <c r="L44" s="1650">
        <f>IF(スコア表示!AB44=0,0,1)</f>
        <v>0</v>
      </c>
      <c r="N44" s="1721">
        <f>IF(P$43&gt;0,R44/P$43,0)</f>
        <v>0</v>
      </c>
      <c r="O44" s="1721">
        <f>IF(Q$43&gt;0,S44/Q$43,0)</f>
        <v>0</v>
      </c>
      <c r="P44" s="1650"/>
      <c r="Q44" s="1650"/>
      <c r="R44" s="1650" t="e">
        <f>IF(スコア入力!R44="EB",重み_対象外!D44,U44)</f>
        <v>#DIV/0!</v>
      </c>
      <c r="S44" s="1650" t="e">
        <f>IF(スコア入力!Y44="EB",重み_対象外!E44,V44)</f>
        <v>#DIV/0!</v>
      </c>
      <c r="T44" s="1558"/>
      <c r="U44" s="1648" t="e">
        <f>X$34*X$43*X44</f>
        <v>#DIV/0!</v>
      </c>
      <c r="V44" s="1648" t="e">
        <f>Y$34*Y$43*Y44</f>
        <v>#DIV/0!</v>
      </c>
      <c r="W44" s="1558"/>
      <c r="X44" s="1650" t="e">
        <f t="shared" si="18"/>
        <v>#DIV/0!</v>
      </c>
      <c r="Y44" s="1650" t="e">
        <f t="shared" si="21"/>
        <v>#DIV/0!</v>
      </c>
      <c r="Z44" s="1569"/>
      <c r="AA44" s="1651" t="str">
        <f t="shared" si="37"/>
        <v>3.3.1</v>
      </c>
      <c r="AB44" s="1651" t="str">
        <f t="shared" si="38"/>
        <v xml:space="preserve"> Q1 3.3</v>
      </c>
      <c r="AC44" s="1651" t="str">
        <f t="shared" si="39"/>
        <v>照度</v>
      </c>
      <c r="AD44" s="1767">
        <f t="shared" si="40"/>
        <v>0</v>
      </c>
      <c r="AE44" s="1767">
        <f t="shared" si="41"/>
        <v>0</v>
      </c>
      <c r="AF44" s="1767">
        <f t="shared" si="42"/>
        <v>0</v>
      </c>
      <c r="AG44" s="1767">
        <f t="shared" si="43"/>
        <v>0</v>
      </c>
      <c r="AH44" s="1767">
        <f t="shared" si="44"/>
        <v>0</v>
      </c>
      <c r="AI44" s="1767">
        <f t="shared" si="45"/>
        <v>0</v>
      </c>
      <c r="AJ44" s="1767">
        <f t="shared" si="46"/>
        <v>0</v>
      </c>
      <c r="AK44" s="2101">
        <f t="shared" si="47"/>
        <v>0</v>
      </c>
      <c r="AL44" s="1767">
        <f t="shared" si="48"/>
        <v>0</v>
      </c>
      <c r="AM44" s="1767">
        <f t="shared" si="48"/>
        <v>0</v>
      </c>
      <c r="AN44" s="1654">
        <f t="shared" si="49"/>
        <v>0</v>
      </c>
      <c r="AO44" s="1767">
        <f t="shared" si="50"/>
        <v>0</v>
      </c>
      <c r="AP44" s="1767">
        <f>IF($AA$3=1,BG44,BX44)</f>
        <v>0</v>
      </c>
      <c r="AQ44" s="1630"/>
      <c r="AR44" s="2064" t="s">
        <v>1431</v>
      </c>
      <c r="AS44" s="2066" t="s">
        <v>301</v>
      </c>
      <c r="AT44" s="2067" t="s">
        <v>1433</v>
      </c>
      <c r="AU44" s="2071"/>
      <c r="AV44" s="2071"/>
      <c r="AW44" s="2071"/>
      <c r="AX44" s="2071"/>
      <c r="AY44" s="2071"/>
      <c r="AZ44" s="2071"/>
      <c r="BA44" s="2071"/>
      <c r="BB44" s="2072"/>
      <c r="BC44" s="2071"/>
      <c r="BD44" s="2071"/>
      <c r="BE44" s="2073"/>
      <c r="BF44" s="2071"/>
      <c r="BG44" s="2071"/>
      <c r="BI44" s="2064" t="s">
        <v>1431</v>
      </c>
      <c r="BJ44" s="2066" t="s">
        <v>301</v>
      </c>
      <c r="BK44" s="2067" t="s">
        <v>1433</v>
      </c>
      <c r="BL44" s="2071"/>
      <c r="BM44" s="2071"/>
      <c r="BN44" s="2071"/>
      <c r="BO44" s="2071"/>
      <c r="BP44" s="2071"/>
      <c r="BQ44" s="2071"/>
      <c r="BR44" s="2071"/>
      <c r="BS44" s="2072"/>
      <c r="BT44" s="2071"/>
      <c r="BU44" s="2071"/>
      <c r="BV44" s="2073"/>
      <c r="BW44" s="2071"/>
      <c r="BX44" s="2071"/>
    </row>
    <row r="45" spans="1:77" ht="13.5" hidden="1" customHeight="1">
      <c r="B45" s="1647" t="str">
        <f t="shared" si="31"/>
        <v>3.3.2</v>
      </c>
      <c r="C45" s="1648" t="str">
        <f t="shared" si="32"/>
        <v>照度均斉度</v>
      </c>
      <c r="D45" s="2062">
        <f>IF(I$43&gt;0,G45/I$43,0)</f>
        <v>0</v>
      </c>
      <c r="E45" s="2063">
        <f>IF(J$43&gt;0,H45/J$43,0)</f>
        <v>0</v>
      </c>
      <c r="G45" s="2063">
        <f t="shared" si="36"/>
        <v>0</v>
      </c>
      <c r="H45" s="2063">
        <f t="shared" si="36"/>
        <v>0</v>
      </c>
      <c r="I45" s="2063"/>
      <c r="J45" s="2063"/>
      <c r="K45" s="1650">
        <f>IF(スコア表示!X45=0,0,1)</f>
        <v>0</v>
      </c>
      <c r="L45" s="1650">
        <f>IF(スコア表示!AB45=0,0,1)</f>
        <v>0</v>
      </c>
      <c r="N45" s="1721">
        <f>IF(P$43&gt;0,R45/P$43,0)</f>
        <v>0</v>
      </c>
      <c r="O45" s="1721">
        <f>IF(Q$43&gt;0,S45/Q$43,0)</f>
        <v>0</v>
      </c>
      <c r="P45" s="1650"/>
      <c r="Q45" s="1650"/>
      <c r="R45" s="1650" t="e">
        <f>IF(スコア入力!R45="EB",重み_対象外!D45,U45)</f>
        <v>#DIV/0!</v>
      </c>
      <c r="S45" s="1650" t="e">
        <f>IF(スコア入力!Y45="EB",重み_対象外!E45,V45)</f>
        <v>#DIV/0!</v>
      </c>
      <c r="T45" s="1558"/>
      <c r="U45" s="1648" t="e">
        <f>X$34*X$43*X45</f>
        <v>#DIV/0!</v>
      </c>
      <c r="V45" s="1648" t="e">
        <f>Y$34*Y$43*Y45</f>
        <v>#DIV/0!</v>
      </c>
      <c r="W45" s="1558"/>
      <c r="X45" s="1650" t="e">
        <f t="shared" si="18"/>
        <v>#DIV/0!</v>
      </c>
      <c r="Y45" s="1650" t="e">
        <f t="shared" si="21"/>
        <v>#DIV/0!</v>
      </c>
      <c r="Z45" s="1569"/>
      <c r="AA45" s="1651" t="str">
        <f t="shared" si="37"/>
        <v>3.3.2</v>
      </c>
      <c r="AB45" s="1651" t="str">
        <f t="shared" si="38"/>
        <v xml:space="preserve"> Q1 3.3</v>
      </c>
      <c r="AC45" s="1651" t="str">
        <f t="shared" si="39"/>
        <v>照度均斉度</v>
      </c>
      <c r="AD45" s="1767">
        <f t="shared" si="40"/>
        <v>0</v>
      </c>
      <c r="AE45" s="1767">
        <f t="shared" si="41"/>
        <v>0</v>
      </c>
      <c r="AF45" s="1767">
        <f t="shared" si="42"/>
        <v>0</v>
      </c>
      <c r="AG45" s="1767">
        <f t="shared" si="43"/>
        <v>0</v>
      </c>
      <c r="AH45" s="1767">
        <f t="shared" si="44"/>
        <v>0</v>
      </c>
      <c r="AI45" s="1767">
        <f t="shared" si="45"/>
        <v>0</v>
      </c>
      <c r="AJ45" s="1767">
        <f t="shared" si="46"/>
        <v>0</v>
      </c>
      <c r="AK45" s="2101">
        <f t="shared" si="47"/>
        <v>0</v>
      </c>
      <c r="AL45" s="1767">
        <f t="shared" si="48"/>
        <v>0</v>
      </c>
      <c r="AM45" s="1767">
        <f t="shared" si="48"/>
        <v>0</v>
      </c>
      <c r="AN45" s="1654">
        <f t="shared" si="49"/>
        <v>0</v>
      </c>
      <c r="AO45" s="1767">
        <f t="shared" si="50"/>
        <v>0</v>
      </c>
      <c r="AP45" s="1767">
        <f t="shared" si="51"/>
        <v>0</v>
      </c>
      <c r="AQ45" s="1630"/>
      <c r="AR45" s="2064" t="s">
        <v>1434</v>
      </c>
      <c r="AS45" s="2066" t="s">
        <v>301</v>
      </c>
      <c r="AT45" s="2067" t="s">
        <v>1435</v>
      </c>
      <c r="AU45" s="2071"/>
      <c r="AV45" s="2071"/>
      <c r="AW45" s="2071"/>
      <c r="AX45" s="2071"/>
      <c r="AY45" s="2071"/>
      <c r="AZ45" s="2071"/>
      <c r="BA45" s="2071"/>
      <c r="BB45" s="2072"/>
      <c r="BC45" s="2071"/>
      <c r="BD45" s="2071"/>
      <c r="BE45" s="2073"/>
      <c r="BF45" s="2071"/>
      <c r="BG45" s="2071"/>
      <c r="BI45" s="2064" t="s">
        <v>1434</v>
      </c>
      <c r="BJ45" s="2066" t="s">
        <v>301</v>
      </c>
      <c r="BK45" s="2067" t="s">
        <v>1435</v>
      </c>
      <c r="BL45" s="2071"/>
      <c r="BM45" s="2071"/>
      <c r="BN45" s="2071"/>
      <c r="BO45" s="2071"/>
      <c r="BP45" s="2071"/>
      <c r="BQ45" s="2071"/>
      <c r="BR45" s="2071"/>
      <c r="BS45" s="2072"/>
      <c r="BT45" s="2071"/>
      <c r="BU45" s="2071"/>
      <c r="BV45" s="2073"/>
      <c r="BW45" s="2071"/>
      <c r="BX45" s="2071"/>
    </row>
    <row r="46" spans="1:77" ht="13.5" customHeight="1">
      <c r="B46" s="1619">
        <f t="shared" si="31"/>
        <v>3.4</v>
      </c>
      <c r="C46" s="1628" t="str">
        <f t="shared" si="32"/>
        <v>照明制御</v>
      </c>
      <c r="D46" s="1714" t="e">
        <f>IF(I$34=0,0,G46/I$34)</f>
        <v>#DIV/0!</v>
      </c>
      <c r="E46" s="1689" t="e">
        <f>IF(J$34=0,0,H46/J$34)</f>
        <v>#DIV/0!</v>
      </c>
      <c r="G46" s="1689" t="e">
        <f t="shared" si="36"/>
        <v>#DIV/0!</v>
      </c>
      <c r="H46" s="1689" t="e">
        <f t="shared" si="36"/>
        <v>#DIV/0!</v>
      </c>
      <c r="I46" s="1689"/>
      <c r="J46" s="1689"/>
      <c r="K46" s="1614">
        <f>IF(スコア表示!X46=0,0,1)</f>
        <v>1</v>
      </c>
      <c r="L46" s="1614">
        <f>IF(スコア表示!AB46=0,0,1)</f>
        <v>1</v>
      </c>
      <c r="N46" s="1711" t="e">
        <f>IF(P$34=0,0,R46/P$34)</f>
        <v>#DIV/0!</v>
      </c>
      <c r="O46" s="1711" t="e">
        <f>IF(Q$34=0,0,S46/Q$34)</f>
        <v>#DIV/0!</v>
      </c>
      <c r="P46" s="1614"/>
      <c r="Q46" s="1614"/>
      <c r="R46" s="1614" t="e">
        <f>IF(スコア入力!R46="EB",重み_対象外!D46,U46)</f>
        <v>#DIV/0!</v>
      </c>
      <c r="S46" s="1614" t="e">
        <f>IF(スコア入力!Y46="EB",重み_対象外!E46,V46)</f>
        <v>#DIV/0!</v>
      </c>
      <c r="T46" s="1558"/>
      <c r="U46" s="1612" t="e">
        <f>X$34*X46</f>
        <v>#DIV/0!</v>
      </c>
      <c r="V46" s="1612" t="e">
        <f>Y$34*Y46</f>
        <v>#DIV/0!</v>
      </c>
      <c r="W46" s="1558"/>
      <c r="X46" s="1614" t="e">
        <f>SUMPRODUCT($AD$7:$AM$7,AD46:AM46)</f>
        <v>#DIV/0!</v>
      </c>
      <c r="Y46" s="1614" t="e">
        <f>(AN$7*AN46)+(AO$7*AO46)+(AP$7*AP46)</f>
        <v>#DIV/0!</v>
      </c>
      <c r="Z46" s="1569"/>
      <c r="AA46" s="1611">
        <f>IF($AA$3=1,AR46,BI46)</f>
        <v>3.4</v>
      </c>
      <c r="AB46" s="1611" t="str">
        <f t="shared" si="38"/>
        <v xml:space="preserve"> Q1 3</v>
      </c>
      <c r="AC46" s="1611" t="str">
        <f t="shared" ref="AC46:AL46" si="54">IF($AA$3=1,AT46,BK46)</f>
        <v>照明制御</v>
      </c>
      <c r="AD46" s="1757">
        <f t="shared" si="54"/>
        <v>0.25</v>
      </c>
      <c r="AE46" s="1757">
        <f t="shared" si="54"/>
        <v>0.25</v>
      </c>
      <c r="AF46" s="1757">
        <f t="shared" si="54"/>
        <v>0.5</v>
      </c>
      <c r="AG46" s="1757">
        <f t="shared" si="54"/>
        <v>0</v>
      </c>
      <c r="AH46" s="1757">
        <f t="shared" si="54"/>
        <v>0.25</v>
      </c>
      <c r="AI46" s="1757">
        <f t="shared" si="54"/>
        <v>0.25</v>
      </c>
      <c r="AJ46" s="1757">
        <f t="shared" si="54"/>
        <v>0.25</v>
      </c>
      <c r="AK46" s="1761">
        <f t="shared" si="54"/>
        <v>0</v>
      </c>
      <c r="AL46" s="1757">
        <f t="shared" si="54"/>
        <v>0.25</v>
      </c>
      <c r="AM46" s="1757">
        <f t="shared" si="48"/>
        <v>0.25</v>
      </c>
      <c r="AN46" s="1617">
        <f>IF($AA$3=1,BE46,BV46)</f>
        <v>0.25</v>
      </c>
      <c r="AO46" s="1757">
        <f>IF($AA$3=1,BF46,BW46)</f>
        <v>0.25</v>
      </c>
      <c r="AP46" s="1757">
        <f>IF($AA$3=1,BG46,BX46)</f>
        <v>0.25</v>
      </c>
      <c r="AQ46" s="1618"/>
      <c r="AR46" s="1645">
        <v>3.4</v>
      </c>
      <c r="AS46" s="1691" t="s">
        <v>293</v>
      </c>
      <c r="AT46" s="1735" t="s">
        <v>647</v>
      </c>
      <c r="AU46" s="1621">
        <v>0.25</v>
      </c>
      <c r="AV46" s="1621">
        <v>0.25</v>
      </c>
      <c r="AW46" s="1621">
        <v>0.5</v>
      </c>
      <c r="AX46" s="1621"/>
      <c r="AY46" s="1621">
        <v>0.25</v>
      </c>
      <c r="AZ46" s="1621">
        <v>0.25</v>
      </c>
      <c r="BA46" s="1621">
        <v>0.25</v>
      </c>
      <c r="BB46" s="1712"/>
      <c r="BC46" s="1621">
        <v>0.25</v>
      </c>
      <c r="BD46" s="1621">
        <v>0.25</v>
      </c>
      <c r="BE46" s="1623">
        <v>0.25</v>
      </c>
      <c r="BF46" s="1621">
        <v>0.25</v>
      </c>
      <c r="BG46" s="1621">
        <v>0.25</v>
      </c>
      <c r="BI46" s="1645">
        <v>3.4</v>
      </c>
      <c r="BJ46" s="1691" t="s">
        <v>293</v>
      </c>
      <c r="BK46" s="1735" t="s">
        <v>647</v>
      </c>
      <c r="BL46" s="1621">
        <v>0.25</v>
      </c>
      <c r="BM46" s="1621">
        <v>0.25</v>
      </c>
      <c r="BN46" s="1621">
        <v>0.5</v>
      </c>
      <c r="BO46" s="1621"/>
      <c r="BP46" s="1621">
        <v>0.25</v>
      </c>
      <c r="BQ46" s="1621">
        <v>0.25</v>
      </c>
      <c r="BR46" s="1621">
        <v>0.25</v>
      </c>
      <c r="BS46" s="1712"/>
      <c r="BT46" s="1621">
        <v>0.25</v>
      </c>
      <c r="BU46" s="1621">
        <v>0.25</v>
      </c>
      <c r="BV46" s="1623">
        <v>0.25</v>
      </c>
      <c r="BW46" s="1621">
        <v>0.25</v>
      </c>
      <c r="BX46" s="1621">
        <v>0.25</v>
      </c>
    </row>
    <row r="47" spans="1:77" s="1603" customFormat="1" ht="13.5" customHeight="1">
      <c r="A47"/>
      <c r="B47" s="1625">
        <f t="shared" si="31"/>
        <v>4</v>
      </c>
      <c r="C47" s="1626" t="str">
        <f t="shared" si="32"/>
        <v>空気質環境</v>
      </c>
      <c r="D47" s="2059" t="e">
        <f>IF(I$9=0,0,G47/I$9)</f>
        <v>#DIV/0!</v>
      </c>
      <c r="E47" s="1741" t="e">
        <f>IF(J$9=0,0,H47/J$9)</f>
        <v>#DIV/0!</v>
      </c>
      <c r="F47"/>
      <c r="G47" s="1741" t="e">
        <f t="shared" si="36"/>
        <v>#DIV/0!</v>
      </c>
      <c r="H47" s="1741" t="e">
        <f t="shared" si="36"/>
        <v>#DIV/0!</v>
      </c>
      <c r="I47" s="1741" t="e">
        <f>G48+G53+G58</f>
        <v>#DIV/0!</v>
      </c>
      <c r="J47" s="1741" t="e">
        <f>H48+H53+H58</f>
        <v>#DIV/0!</v>
      </c>
      <c r="K47" s="1607" t="e">
        <f>IF(スコア表示!X47=0,0,1)</f>
        <v>#DIV/0!</v>
      </c>
      <c r="L47" s="1607" t="e">
        <f>IF(スコア表示!AB47=0,0,1)</f>
        <v>#DIV/0!</v>
      </c>
      <c r="M47"/>
      <c r="N47" s="1705" t="e">
        <f>IF(P$9=0,0,R47/P$9)</f>
        <v>#DIV/0!</v>
      </c>
      <c r="O47" s="1705" t="e">
        <f>IF(Q$9=0,0,S47/Q$9)</f>
        <v>#DIV/0!</v>
      </c>
      <c r="P47" s="1708" t="e">
        <f>SUM(R48:R60)</f>
        <v>#DIV/0!</v>
      </c>
      <c r="Q47" s="1708" t="e">
        <f>SUM(S48:S60)</f>
        <v>#DIV/0!</v>
      </c>
      <c r="R47" s="1607" t="e">
        <f>IF(スコア入力!R47="EB",重み_対象外!D47,U47)</f>
        <v>#DIV/0!</v>
      </c>
      <c r="S47" s="1607" t="e">
        <f>IF(スコア入力!Y47="EB",重み_対象外!E47,V47)</f>
        <v>#DIV/0!</v>
      </c>
      <c r="T47" s="1558"/>
      <c r="U47" s="1605" t="e">
        <f>SUM(U48:U60)</f>
        <v>#DIV/0!</v>
      </c>
      <c r="V47" s="1605" t="e">
        <f>SUM(V48:V60)</f>
        <v>#DIV/0!</v>
      </c>
      <c r="W47" s="1558"/>
      <c r="X47" s="1607" t="e">
        <f t="shared" si="18"/>
        <v>#DIV/0!</v>
      </c>
      <c r="Y47" s="1607">
        <v>1</v>
      </c>
      <c r="Z47" s="1599"/>
      <c r="AA47" s="1604">
        <f t="shared" si="37"/>
        <v>4</v>
      </c>
      <c r="AB47" s="1604" t="str">
        <f t="shared" si="38"/>
        <v xml:space="preserve"> Q1</v>
      </c>
      <c r="AC47" s="1604" t="str">
        <f t="shared" si="39"/>
        <v>空気質環境</v>
      </c>
      <c r="AD47" s="1754">
        <f t="shared" si="40"/>
        <v>0.25</v>
      </c>
      <c r="AE47" s="1754">
        <f t="shared" si="41"/>
        <v>0.25</v>
      </c>
      <c r="AF47" s="1754">
        <f t="shared" si="42"/>
        <v>0.25</v>
      </c>
      <c r="AG47" s="1754">
        <f t="shared" si="43"/>
        <v>0.25</v>
      </c>
      <c r="AH47" s="1754">
        <f t="shared" si="44"/>
        <v>0.25</v>
      </c>
      <c r="AI47" s="1754">
        <f t="shared" si="45"/>
        <v>0.25</v>
      </c>
      <c r="AJ47" s="1754">
        <f t="shared" si="46"/>
        <v>0.25</v>
      </c>
      <c r="AK47" s="1760">
        <f t="shared" si="47"/>
        <v>0.33</v>
      </c>
      <c r="AL47" s="1754">
        <f t="shared" si="48"/>
        <v>0.25</v>
      </c>
      <c r="AM47" s="1754">
        <f t="shared" si="48"/>
        <v>0.25</v>
      </c>
      <c r="AN47" s="1756">
        <f t="shared" si="49"/>
        <v>0</v>
      </c>
      <c r="AO47" s="1754">
        <f t="shared" si="50"/>
        <v>0</v>
      </c>
      <c r="AP47" s="1754">
        <f t="shared" si="51"/>
        <v>0</v>
      </c>
      <c r="AQ47" s="1610"/>
      <c r="AR47" s="1639">
        <v>4</v>
      </c>
      <c r="AS47" s="1742" t="s">
        <v>271</v>
      </c>
      <c r="AT47" s="1785" t="s">
        <v>1142</v>
      </c>
      <c r="AU47" s="1632">
        <v>0.25</v>
      </c>
      <c r="AV47" s="1632">
        <v>0.25</v>
      </c>
      <c r="AW47" s="1632">
        <v>0.25</v>
      </c>
      <c r="AX47" s="1632">
        <v>0.25</v>
      </c>
      <c r="AY47" s="1632">
        <v>0.25</v>
      </c>
      <c r="AZ47" s="1632">
        <v>0.25</v>
      </c>
      <c r="BA47" s="1632">
        <v>0.25</v>
      </c>
      <c r="BB47" s="1633">
        <v>0.33</v>
      </c>
      <c r="BC47" s="1632">
        <v>0.25</v>
      </c>
      <c r="BD47" s="1632">
        <v>0.25</v>
      </c>
      <c r="BE47" s="2074"/>
      <c r="BF47" s="1632"/>
      <c r="BG47" s="1632"/>
      <c r="BH47"/>
      <c r="BI47" s="1639">
        <v>4</v>
      </c>
      <c r="BJ47" s="1742" t="s">
        <v>271</v>
      </c>
      <c r="BK47" s="1785" t="s">
        <v>1142</v>
      </c>
      <c r="BL47" s="1632">
        <v>0.25</v>
      </c>
      <c r="BM47" s="1632">
        <v>0.25</v>
      </c>
      <c r="BN47" s="1632">
        <v>0.25</v>
      </c>
      <c r="BO47" s="1632">
        <v>0.25</v>
      </c>
      <c r="BP47" s="1632">
        <v>0.25</v>
      </c>
      <c r="BQ47" s="1632">
        <v>0.25</v>
      </c>
      <c r="BR47" s="1632">
        <v>0.25</v>
      </c>
      <c r="BS47" s="1633">
        <v>0.33</v>
      </c>
      <c r="BT47" s="1632">
        <v>0.25</v>
      </c>
      <c r="BU47" s="1632">
        <v>0.25</v>
      </c>
      <c r="BV47" s="2074"/>
      <c r="BW47" s="1632"/>
      <c r="BX47" s="1632"/>
      <c r="BY47"/>
    </row>
    <row r="48" spans="1:77" ht="13.5" customHeight="1">
      <c r="B48" s="1611">
        <f t="shared" si="31"/>
        <v>4.0999999999999996</v>
      </c>
      <c r="C48" s="1628" t="str">
        <f t="shared" si="32"/>
        <v>発生源対策</v>
      </c>
      <c r="D48" s="1714" t="e">
        <f>IF(I$47=0,0,G48/I$47)</f>
        <v>#DIV/0!</v>
      </c>
      <c r="E48" s="1689" t="e">
        <f>IF(J$47=0,0,H48/J$47)</f>
        <v>#DIV/0!</v>
      </c>
      <c r="G48" s="1689" t="e">
        <f t="shared" si="36"/>
        <v>#DIV/0!</v>
      </c>
      <c r="H48" s="1689" t="e">
        <f t="shared" si="36"/>
        <v>#DIV/0!</v>
      </c>
      <c r="I48" s="1689" t="e">
        <f>SUM(G49:G52)</f>
        <v>#DIV/0!</v>
      </c>
      <c r="J48" s="1689" t="e">
        <f>SUM(H49:H52)</f>
        <v>#DIV/0!</v>
      </c>
      <c r="K48" s="1614" t="e">
        <f>IF(スコア表示!X48=0,0,1)</f>
        <v>#DIV/0!</v>
      </c>
      <c r="L48" s="1614" t="e">
        <f>IF(スコア表示!AB48=0,0,1)</f>
        <v>#DIV/0!</v>
      </c>
      <c r="N48" s="1711" t="e">
        <f>IF(P$47=0,0,P48/P$47)</f>
        <v>#DIV/0!</v>
      </c>
      <c r="O48" s="1711" t="e">
        <f>IF(Q$47=0,0,Q48/Q$47)</f>
        <v>#DIV/0!</v>
      </c>
      <c r="P48" s="1614" t="e">
        <f>SUM(R49:R52)</f>
        <v>#DIV/0!</v>
      </c>
      <c r="Q48" s="1614" t="e">
        <f>SUM(S49:S52)</f>
        <v>#DIV/0!</v>
      </c>
      <c r="R48" s="1614">
        <f>IF(スコア入力!R48="EB",重み_対象外!D48,U48)</f>
        <v>0</v>
      </c>
      <c r="S48" s="1614">
        <f>IF(スコア入力!Y48="EB",重み_対象外!E48,V48)</f>
        <v>0</v>
      </c>
      <c r="T48" s="1558"/>
      <c r="U48" s="1612"/>
      <c r="V48" s="1612"/>
      <c r="W48" s="1558"/>
      <c r="X48" s="1614" t="e">
        <f t="shared" si="18"/>
        <v>#DIV/0!</v>
      </c>
      <c r="Y48" s="1614" t="e">
        <f t="shared" si="21"/>
        <v>#DIV/0!</v>
      </c>
      <c r="Z48" s="1569"/>
      <c r="AA48" s="1611">
        <f t="shared" si="37"/>
        <v>4.0999999999999996</v>
      </c>
      <c r="AB48" s="1611" t="str">
        <f t="shared" si="38"/>
        <v xml:space="preserve"> Q1 4</v>
      </c>
      <c r="AC48" s="1611" t="str">
        <f t="shared" si="39"/>
        <v>発生源対策</v>
      </c>
      <c r="AD48" s="1757">
        <f t="shared" si="40"/>
        <v>0.5</v>
      </c>
      <c r="AE48" s="1757">
        <f t="shared" si="41"/>
        <v>0.5</v>
      </c>
      <c r="AF48" s="1757">
        <f t="shared" si="42"/>
        <v>0.5</v>
      </c>
      <c r="AG48" s="1757">
        <f t="shared" si="43"/>
        <v>0.5</v>
      </c>
      <c r="AH48" s="1757">
        <f t="shared" si="44"/>
        <v>0.5</v>
      </c>
      <c r="AI48" s="1757">
        <f t="shared" si="45"/>
        <v>0.5</v>
      </c>
      <c r="AJ48" s="1757">
        <f t="shared" si="46"/>
        <v>0.6</v>
      </c>
      <c r="AK48" s="1759">
        <f t="shared" si="47"/>
        <v>0.5</v>
      </c>
      <c r="AL48" s="1757">
        <f t="shared" si="48"/>
        <v>0.5</v>
      </c>
      <c r="AM48" s="1757">
        <f t="shared" si="48"/>
        <v>0.5</v>
      </c>
      <c r="AN48" s="1758">
        <f t="shared" si="49"/>
        <v>0.625</v>
      </c>
      <c r="AO48" s="1757">
        <f t="shared" si="50"/>
        <v>0.625</v>
      </c>
      <c r="AP48" s="1757">
        <f t="shared" si="51"/>
        <v>0.625</v>
      </c>
      <c r="AQ48" s="1618"/>
      <c r="AR48" s="1645">
        <v>4.0999999999999996</v>
      </c>
      <c r="AS48" s="1691" t="s">
        <v>302</v>
      </c>
      <c r="AT48" s="1735" t="s">
        <v>649</v>
      </c>
      <c r="AU48" s="1634">
        <v>0.5</v>
      </c>
      <c r="AV48" s="1634">
        <v>0.5</v>
      </c>
      <c r="AW48" s="1634">
        <v>0.5</v>
      </c>
      <c r="AX48" s="1634">
        <v>0.5</v>
      </c>
      <c r="AY48" s="1634">
        <v>0.5</v>
      </c>
      <c r="AZ48" s="1634">
        <v>0.5</v>
      </c>
      <c r="BA48" s="1634">
        <v>0.6</v>
      </c>
      <c r="BB48" s="1635">
        <v>0.5</v>
      </c>
      <c r="BC48" s="1634">
        <v>0.5</v>
      </c>
      <c r="BD48" s="1634">
        <v>0.5</v>
      </c>
      <c r="BE48" s="1636">
        <v>0.625</v>
      </c>
      <c r="BF48" s="1634">
        <v>0.625</v>
      </c>
      <c r="BG48" s="1634">
        <v>0.625</v>
      </c>
      <c r="BI48" s="1645">
        <v>4.0999999999999996</v>
      </c>
      <c r="BJ48" s="1691" t="s">
        <v>302</v>
      </c>
      <c r="BK48" s="1735" t="s">
        <v>649</v>
      </c>
      <c r="BL48" s="1634">
        <v>0.5</v>
      </c>
      <c r="BM48" s="1634">
        <v>0.5</v>
      </c>
      <c r="BN48" s="1634">
        <v>0.5</v>
      </c>
      <c r="BO48" s="1634">
        <v>0.5</v>
      </c>
      <c r="BP48" s="1634">
        <v>0.5</v>
      </c>
      <c r="BQ48" s="1634">
        <v>0.5</v>
      </c>
      <c r="BR48" s="1634">
        <v>0.6</v>
      </c>
      <c r="BS48" s="1635">
        <v>0.5</v>
      </c>
      <c r="BT48" s="1634">
        <v>0.5</v>
      </c>
      <c r="BU48" s="1634">
        <v>0.5</v>
      </c>
      <c r="BV48" s="1636">
        <v>0.625</v>
      </c>
      <c r="BW48" s="1634">
        <v>0.625</v>
      </c>
      <c r="BX48" s="1634">
        <v>0.625</v>
      </c>
    </row>
    <row r="49" spans="1:77" ht="13.5" customHeight="1">
      <c r="B49" s="1619" t="str">
        <f t="shared" si="31"/>
        <v>4.1.1</v>
      </c>
      <c r="C49" s="1612" t="str">
        <f t="shared" si="32"/>
        <v xml:space="preserve"> 化学汚染物質</v>
      </c>
      <c r="D49" s="1719" t="e">
        <f t="shared" ref="D49:E52" si="55">IF(I$48&gt;0,G49/I$48,0)</f>
        <v>#DIV/0!</v>
      </c>
      <c r="E49" s="1689" t="e">
        <f t="shared" si="55"/>
        <v>#DIV/0!</v>
      </c>
      <c r="G49" s="1689" t="e">
        <f t="shared" si="36"/>
        <v>#DIV/0!</v>
      </c>
      <c r="H49" s="1689" t="e">
        <f t="shared" si="36"/>
        <v>#DIV/0!</v>
      </c>
      <c r="I49" s="1689"/>
      <c r="J49" s="1689"/>
      <c r="K49" s="1614">
        <f>IF(スコア表示!X49=0,0,1)</f>
        <v>1</v>
      </c>
      <c r="L49" s="1614">
        <f>IF(スコア表示!AB49=0,0,1)</f>
        <v>1</v>
      </c>
      <c r="N49" s="1706" t="e">
        <f t="shared" ref="N49:O52" si="56">IF(P$48&gt;0,R49/P$48,0)</f>
        <v>#DIV/0!</v>
      </c>
      <c r="O49" s="1706" t="e">
        <f t="shared" si="56"/>
        <v>#DIV/0!</v>
      </c>
      <c r="P49" s="1614"/>
      <c r="Q49" s="1614"/>
      <c r="R49" s="1614" t="e">
        <f>IF(スコア入力!R49="EB",重み_対象外!D49,U49)</f>
        <v>#DIV/0!</v>
      </c>
      <c r="S49" s="1614" t="e">
        <f>IF(スコア入力!Y49="EB",重み_対象外!E49,V49)</f>
        <v>#DIV/0!</v>
      </c>
      <c r="T49" s="1558"/>
      <c r="U49" s="1612" t="e">
        <f t="shared" ref="U49:V52" si="57">X$47*X$48*X49</f>
        <v>#DIV/0!</v>
      </c>
      <c r="V49" s="1612" t="e">
        <f t="shared" si="57"/>
        <v>#DIV/0!</v>
      </c>
      <c r="W49" s="1558"/>
      <c r="X49" s="1614" t="e">
        <f t="shared" si="18"/>
        <v>#DIV/0!</v>
      </c>
      <c r="Y49" s="1614" t="e">
        <f t="shared" si="21"/>
        <v>#DIV/0!</v>
      </c>
      <c r="Z49" s="1569"/>
      <c r="AA49" s="1611" t="str">
        <f t="shared" si="37"/>
        <v>4.1.1</v>
      </c>
      <c r="AB49" s="1611" t="str">
        <f t="shared" si="38"/>
        <v xml:space="preserve"> Q1 4.1</v>
      </c>
      <c r="AC49" s="1611" t="str">
        <f t="shared" si="39"/>
        <v xml:space="preserve"> 化学汚染物質</v>
      </c>
      <c r="AD49" s="1757">
        <f t="shared" si="40"/>
        <v>0.33333333333333331</v>
      </c>
      <c r="AE49" s="1757">
        <f t="shared" si="41"/>
        <v>0.33333333333333331</v>
      </c>
      <c r="AF49" s="1757">
        <f t="shared" si="42"/>
        <v>0.33333333333333331</v>
      </c>
      <c r="AG49" s="1757">
        <f t="shared" si="43"/>
        <v>0.33333333333333331</v>
      </c>
      <c r="AH49" s="1757">
        <f t="shared" si="44"/>
        <v>0.33333333333333331</v>
      </c>
      <c r="AI49" s="1757">
        <f t="shared" si="45"/>
        <v>0.5</v>
      </c>
      <c r="AJ49" s="1757">
        <f t="shared" si="46"/>
        <v>0.5</v>
      </c>
      <c r="AK49" s="1759">
        <f t="shared" si="47"/>
        <v>0.33333333333333331</v>
      </c>
      <c r="AL49" s="1757">
        <f t="shared" si="48"/>
        <v>0.33333333333333331</v>
      </c>
      <c r="AM49" s="1757">
        <f t="shared" si="48"/>
        <v>0.33333333333333331</v>
      </c>
      <c r="AN49" s="1758">
        <f t="shared" si="49"/>
        <v>0.33333333333333331</v>
      </c>
      <c r="AO49" s="1757">
        <f t="shared" si="50"/>
        <v>0.33333333333333331</v>
      </c>
      <c r="AP49" s="1757">
        <f t="shared" si="51"/>
        <v>0.33333333333333331</v>
      </c>
      <c r="AQ49" s="1630"/>
      <c r="AR49" s="1645" t="s">
        <v>1436</v>
      </c>
      <c r="AS49" s="1691" t="s">
        <v>303</v>
      </c>
      <c r="AT49" s="2061" t="s">
        <v>304</v>
      </c>
      <c r="AU49" s="1634">
        <v>0.33333333333333331</v>
      </c>
      <c r="AV49" s="1634">
        <v>0.33333333333333331</v>
      </c>
      <c r="AW49" s="1634">
        <v>0.33333333333333331</v>
      </c>
      <c r="AX49" s="1634">
        <v>0.33333333333333331</v>
      </c>
      <c r="AY49" s="1634">
        <v>0.33333333333333331</v>
      </c>
      <c r="AZ49" s="1634">
        <v>0.5</v>
      </c>
      <c r="BA49" s="1634">
        <v>0.5</v>
      </c>
      <c r="BB49" s="1634">
        <v>0.33333333333333331</v>
      </c>
      <c r="BC49" s="1634">
        <v>0.33333333333333331</v>
      </c>
      <c r="BD49" s="1634">
        <v>0.33333333333333331</v>
      </c>
      <c r="BE49" s="1634">
        <v>0.33333333333333331</v>
      </c>
      <c r="BF49" s="1634">
        <v>0.33333333333333331</v>
      </c>
      <c r="BG49" s="1634">
        <v>0.33333333333333331</v>
      </c>
      <c r="BI49" s="1645" t="s">
        <v>1436</v>
      </c>
      <c r="BJ49" s="1691" t="s">
        <v>303</v>
      </c>
      <c r="BK49" s="2061" t="s">
        <v>304</v>
      </c>
      <c r="BL49" s="1634">
        <v>0.33333333333333331</v>
      </c>
      <c r="BM49" s="1634">
        <v>0.33333333333333331</v>
      </c>
      <c r="BN49" s="1634">
        <v>0.33333333333333331</v>
      </c>
      <c r="BO49" s="1634">
        <v>0.33333333333333331</v>
      </c>
      <c r="BP49" s="1634">
        <v>0.33333333333333331</v>
      </c>
      <c r="BQ49" s="1634">
        <v>0.5</v>
      </c>
      <c r="BR49" s="1634">
        <v>0.5</v>
      </c>
      <c r="BS49" s="1634">
        <v>0.33333333333333331</v>
      </c>
      <c r="BT49" s="1634">
        <v>0.33333333333333331</v>
      </c>
      <c r="BU49" s="1634">
        <v>0.33333333333333331</v>
      </c>
      <c r="BV49" s="1634">
        <v>0.33333333333333331</v>
      </c>
      <c r="BW49" s="1634">
        <v>0.33333333333333331</v>
      </c>
      <c r="BX49" s="1634">
        <v>0.33333333333333331</v>
      </c>
    </row>
    <row r="50" spans="1:77" ht="13.5" customHeight="1">
      <c r="B50" s="1619" t="str">
        <f t="shared" si="31"/>
        <v>4.1.2</v>
      </c>
      <c r="C50" s="1612" t="str">
        <f t="shared" si="32"/>
        <v xml:space="preserve"> アスベスト対策</v>
      </c>
      <c r="D50" s="1719" t="e">
        <f t="shared" si="55"/>
        <v>#DIV/0!</v>
      </c>
      <c r="E50" s="1689" t="e">
        <f t="shared" si="55"/>
        <v>#DIV/0!</v>
      </c>
      <c r="G50" s="1689" t="e">
        <f t="shared" si="36"/>
        <v>#DIV/0!</v>
      </c>
      <c r="H50" s="1689" t="e">
        <f t="shared" si="36"/>
        <v>#DIV/0!</v>
      </c>
      <c r="I50" s="1689"/>
      <c r="J50" s="1689"/>
      <c r="K50" s="1614">
        <f>IF(スコア表示!X50=0,0,1)</f>
        <v>1</v>
      </c>
      <c r="L50" s="1614">
        <f>IF(スコア表示!AB50=0,0,1)</f>
        <v>1</v>
      </c>
      <c r="N50" s="1706" t="e">
        <f t="shared" si="56"/>
        <v>#DIV/0!</v>
      </c>
      <c r="O50" s="1706" t="e">
        <f t="shared" si="56"/>
        <v>#DIV/0!</v>
      </c>
      <c r="P50" s="1614"/>
      <c r="Q50" s="1614"/>
      <c r="R50" s="1614" t="e">
        <f>IF(スコア入力!R50="EB",重み_対象外!D50,U50)</f>
        <v>#DIV/0!</v>
      </c>
      <c r="S50" s="1614" t="e">
        <f>IF(スコア入力!Y50="EB",重み_対象外!E50,V50)</f>
        <v>#DIV/0!</v>
      </c>
      <c r="T50" s="1558"/>
      <c r="U50" s="1612" t="e">
        <f t="shared" si="57"/>
        <v>#DIV/0!</v>
      </c>
      <c r="V50" s="1612" t="e">
        <f t="shared" si="57"/>
        <v>#DIV/0!</v>
      </c>
      <c r="W50" s="1558"/>
      <c r="X50" s="1614" t="e">
        <f t="shared" si="18"/>
        <v>#DIV/0!</v>
      </c>
      <c r="Y50" s="1614" t="e">
        <f t="shared" si="21"/>
        <v>#DIV/0!</v>
      </c>
      <c r="Z50" s="1569"/>
      <c r="AA50" s="1611" t="str">
        <f t="shared" si="37"/>
        <v>4.1.2</v>
      </c>
      <c r="AB50" s="1611" t="str">
        <f t="shared" si="38"/>
        <v xml:space="preserve"> Q1 4.1</v>
      </c>
      <c r="AC50" s="1611" t="str">
        <f t="shared" si="39"/>
        <v xml:space="preserve"> アスベスト対策</v>
      </c>
      <c r="AD50" s="1757">
        <f t="shared" si="40"/>
        <v>0</v>
      </c>
      <c r="AE50" s="1757">
        <f t="shared" si="41"/>
        <v>0</v>
      </c>
      <c r="AF50" s="1757">
        <f t="shared" si="42"/>
        <v>0</v>
      </c>
      <c r="AG50" s="1757">
        <f t="shared" si="43"/>
        <v>0</v>
      </c>
      <c r="AH50" s="1757">
        <f t="shared" si="44"/>
        <v>0</v>
      </c>
      <c r="AI50" s="1757">
        <f t="shared" si="45"/>
        <v>0</v>
      </c>
      <c r="AJ50" s="1757">
        <f t="shared" si="46"/>
        <v>0</v>
      </c>
      <c r="AK50" s="1759">
        <f t="shared" si="47"/>
        <v>0</v>
      </c>
      <c r="AL50" s="1757">
        <f t="shared" si="48"/>
        <v>0</v>
      </c>
      <c r="AM50" s="1757">
        <f t="shared" si="48"/>
        <v>0</v>
      </c>
      <c r="AN50" s="1758">
        <f t="shared" si="49"/>
        <v>0</v>
      </c>
      <c r="AO50" s="1757">
        <f t="shared" si="50"/>
        <v>0</v>
      </c>
      <c r="AP50" s="1757">
        <f t="shared" si="51"/>
        <v>0</v>
      </c>
      <c r="AQ50" s="1630"/>
      <c r="AR50" s="2064" t="s">
        <v>1437</v>
      </c>
      <c r="AS50" s="2066" t="s">
        <v>303</v>
      </c>
      <c r="AT50" s="2067" t="s">
        <v>1438</v>
      </c>
      <c r="AU50" s="2071"/>
      <c r="AV50" s="2071"/>
      <c r="AW50" s="2071"/>
      <c r="AX50" s="2071"/>
      <c r="AY50" s="2071"/>
      <c r="AZ50" s="2071"/>
      <c r="BA50" s="2071"/>
      <c r="BB50" s="2072"/>
      <c r="BC50" s="2071"/>
      <c r="BD50" s="2071"/>
      <c r="BE50" s="2073"/>
      <c r="BF50" s="2071"/>
      <c r="BG50" s="2071"/>
      <c r="BI50" s="2064" t="s">
        <v>1437</v>
      </c>
      <c r="BJ50" s="2066" t="s">
        <v>303</v>
      </c>
      <c r="BK50" s="2067" t="s">
        <v>1438</v>
      </c>
      <c r="BL50" s="2071"/>
      <c r="BM50" s="2071"/>
      <c r="BN50" s="2071"/>
      <c r="BO50" s="2071"/>
      <c r="BP50" s="2071"/>
      <c r="BQ50" s="2071"/>
      <c r="BR50" s="2071"/>
      <c r="BS50" s="2072"/>
      <c r="BT50" s="2071"/>
      <c r="BU50" s="2071"/>
      <c r="BV50" s="2073"/>
      <c r="BW50" s="2071"/>
      <c r="BX50" s="2071"/>
    </row>
    <row r="51" spans="1:77" ht="13.5" hidden="1" customHeight="1">
      <c r="B51" s="1647" t="str">
        <f t="shared" si="31"/>
        <v>4.1.3</v>
      </c>
      <c r="C51" s="1648" t="str">
        <f t="shared" si="32"/>
        <v xml:space="preserve"> ダニ・カビ等</v>
      </c>
      <c r="D51" s="1719" t="e">
        <f t="shared" si="55"/>
        <v>#DIV/0!</v>
      </c>
      <c r="E51" s="1689" t="e">
        <f t="shared" si="55"/>
        <v>#DIV/0!</v>
      </c>
      <c r="G51" s="1689" t="e">
        <f t="shared" si="36"/>
        <v>#DIV/0!</v>
      </c>
      <c r="H51" s="1689" t="e">
        <f t="shared" si="36"/>
        <v>#DIV/0!</v>
      </c>
      <c r="I51" s="1689"/>
      <c r="J51" s="1689"/>
      <c r="K51" s="1614">
        <f>IF(スコア表示!X51=0,0,1)</f>
        <v>0</v>
      </c>
      <c r="L51" s="1614">
        <f>IF(スコア表示!AB51=0,0,1)</f>
        <v>0</v>
      </c>
      <c r="N51" s="1706" t="e">
        <f t="shared" si="56"/>
        <v>#DIV/0!</v>
      </c>
      <c r="O51" s="1706" t="e">
        <f t="shared" si="56"/>
        <v>#DIV/0!</v>
      </c>
      <c r="P51" s="1614"/>
      <c r="Q51" s="1614"/>
      <c r="R51" s="1614" t="e">
        <f>IF(スコア入力!R51="EB",重み_対象外!D51,U51)</f>
        <v>#DIV/0!</v>
      </c>
      <c r="S51" s="1614" t="e">
        <f>IF(スコア入力!Y51="EB",重み_対象外!E51,V51)</f>
        <v>#DIV/0!</v>
      </c>
      <c r="T51" s="1558"/>
      <c r="U51" s="1612" t="e">
        <f t="shared" si="57"/>
        <v>#DIV/0!</v>
      </c>
      <c r="V51" s="1612" t="e">
        <f t="shared" si="57"/>
        <v>#DIV/0!</v>
      </c>
      <c r="W51" s="1558"/>
      <c r="X51" s="1614" t="e">
        <f t="shared" si="18"/>
        <v>#DIV/0!</v>
      </c>
      <c r="Y51" s="1614" t="e">
        <f t="shared" si="21"/>
        <v>#DIV/0!</v>
      </c>
      <c r="Z51" s="1569"/>
      <c r="AA51" s="1611" t="str">
        <f t="shared" si="37"/>
        <v>4.1.3</v>
      </c>
      <c r="AB51" s="1611" t="str">
        <f t="shared" si="38"/>
        <v xml:space="preserve"> Q1 4.1</v>
      </c>
      <c r="AC51" s="1611" t="str">
        <f t="shared" si="39"/>
        <v xml:space="preserve"> ダニ・カビ等</v>
      </c>
      <c r="AD51" s="1757">
        <f t="shared" si="40"/>
        <v>0.33333333333333331</v>
      </c>
      <c r="AE51" s="1757">
        <f t="shared" si="41"/>
        <v>0.33333333333333331</v>
      </c>
      <c r="AF51" s="1757">
        <f t="shared" si="42"/>
        <v>0.33333333333333331</v>
      </c>
      <c r="AG51" s="1757">
        <f t="shared" si="43"/>
        <v>0.33333333333333331</v>
      </c>
      <c r="AH51" s="1757">
        <f t="shared" si="44"/>
        <v>0.33333333333333331</v>
      </c>
      <c r="AI51" s="1757">
        <f t="shared" si="45"/>
        <v>0.5</v>
      </c>
      <c r="AJ51" s="1757">
        <f t="shared" si="46"/>
        <v>0.5</v>
      </c>
      <c r="AK51" s="1759">
        <f t="shared" si="47"/>
        <v>0.33333333333333331</v>
      </c>
      <c r="AL51" s="1757">
        <f t="shared" si="48"/>
        <v>0.33333333333333331</v>
      </c>
      <c r="AM51" s="1757">
        <f t="shared" si="48"/>
        <v>0.33333333333333331</v>
      </c>
      <c r="AN51" s="1758">
        <f t="shared" si="49"/>
        <v>0.33333333333333331</v>
      </c>
      <c r="AO51" s="1757">
        <f t="shared" si="50"/>
        <v>0.33333333333333331</v>
      </c>
      <c r="AP51" s="1757">
        <f t="shared" si="51"/>
        <v>0.33333333333333331</v>
      </c>
      <c r="AQ51" s="1630"/>
      <c r="AR51" s="1645" t="s">
        <v>1439</v>
      </c>
      <c r="AS51" s="1691" t="s">
        <v>303</v>
      </c>
      <c r="AT51" s="2061" t="s">
        <v>899</v>
      </c>
      <c r="AU51" s="1634">
        <v>0.33333333333333331</v>
      </c>
      <c r="AV51" s="1634">
        <v>0.33333333333333331</v>
      </c>
      <c r="AW51" s="1634">
        <v>0.33333333333333331</v>
      </c>
      <c r="AX51" s="1634">
        <v>0.33333333333333331</v>
      </c>
      <c r="AY51" s="1634">
        <v>0.33333333333333331</v>
      </c>
      <c r="AZ51" s="1634">
        <v>0.5</v>
      </c>
      <c r="BA51" s="1634">
        <v>0.5</v>
      </c>
      <c r="BB51" s="1634">
        <v>0.33333333333333331</v>
      </c>
      <c r="BC51" s="1634">
        <v>0.33333333333333331</v>
      </c>
      <c r="BD51" s="1634">
        <v>0.33333333333333331</v>
      </c>
      <c r="BE51" s="1634">
        <v>0.33333333333333331</v>
      </c>
      <c r="BF51" s="1634">
        <v>0.33333333333333331</v>
      </c>
      <c r="BG51" s="1634">
        <v>0.33333333333333331</v>
      </c>
      <c r="BI51" s="1645" t="s">
        <v>1439</v>
      </c>
      <c r="BJ51" s="1691" t="s">
        <v>303</v>
      </c>
      <c r="BK51" s="2061" t="s">
        <v>899</v>
      </c>
      <c r="BL51" s="1634">
        <v>0.33333333333333331</v>
      </c>
      <c r="BM51" s="1634">
        <v>0.33333333333333331</v>
      </c>
      <c r="BN51" s="1634">
        <v>0.33333333333333331</v>
      </c>
      <c r="BO51" s="1634">
        <v>0.33333333333333331</v>
      </c>
      <c r="BP51" s="1634">
        <v>0.33333333333333331</v>
      </c>
      <c r="BQ51" s="1634">
        <v>0.5</v>
      </c>
      <c r="BR51" s="1634">
        <v>0.5</v>
      </c>
      <c r="BS51" s="1634">
        <v>0.33333333333333331</v>
      </c>
      <c r="BT51" s="1634">
        <v>0.33333333333333331</v>
      </c>
      <c r="BU51" s="1634">
        <v>0.33333333333333331</v>
      </c>
      <c r="BV51" s="1634">
        <v>0.33333333333333331</v>
      </c>
      <c r="BW51" s="1634">
        <v>0.33333333333333331</v>
      </c>
      <c r="BX51" s="1634">
        <v>0.33333333333333331</v>
      </c>
    </row>
    <row r="52" spans="1:77" ht="13.5" hidden="1" customHeight="1">
      <c r="B52" s="1647" t="str">
        <f t="shared" si="31"/>
        <v>4.1.4</v>
      </c>
      <c r="C52" s="1648" t="str">
        <f t="shared" si="32"/>
        <v xml:space="preserve"> レジオネラ対策</v>
      </c>
      <c r="D52" s="1719" t="e">
        <f t="shared" si="55"/>
        <v>#DIV/0!</v>
      </c>
      <c r="E52" s="1689" t="e">
        <f t="shared" si="55"/>
        <v>#DIV/0!</v>
      </c>
      <c r="G52" s="1689" t="e">
        <f t="shared" si="36"/>
        <v>#DIV/0!</v>
      </c>
      <c r="H52" s="1689" t="e">
        <f t="shared" si="36"/>
        <v>#DIV/0!</v>
      </c>
      <c r="I52" s="1689"/>
      <c r="J52" s="1689"/>
      <c r="K52" s="1614">
        <f>IF(スコア表示!X52=0,0,1)</f>
        <v>0</v>
      </c>
      <c r="L52" s="1614">
        <f>IF(スコア表示!AB52=0,0,1)</f>
        <v>1</v>
      </c>
      <c r="N52" s="1706" t="e">
        <f t="shared" si="56"/>
        <v>#DIV/0!</v>
      </c>
      <c r="O52" s="1706" t="e">
        <f t="shared" si="56"/>
        <v>#DIV/0!</v>
      </c>
      <c r="P52" s="1614"/>
      <c r="Q52" s="1614"/>
      <c r="R52" s="1614" t="e">
        <f>IF(スコア入力!R52="EB",重み_対象外!D52,U52)</f>
        <v>#DIV/0!</v>
      </c>
      <c r="S52" s="1614" t="e">
        <f>IF(スコア入力!Y52="EB",重み_対象外!E52,V52)</f>
        <v>#DIV/0!</v>
      </c>
      <c r="T52" s="1558"/>
      <c r="U52" s="1612" t="e">
        <f t="shared" si="57"/>
        <v>#DIV/0!</v>
      </c>
      <c r="V52" s="1612" t="e">
        <f t="shared" si="57"/>
        <v>#DIV/0!</v>
      </c>
      <c r="W52" s="1558"/>
      <c r="X52" s="1614" t="e">
        <f t="shared" si="18"/>
        <v>#DIV/0!</v>
      </c>
      <c r="Y52" s="1614" t="e">
        <f t="shared" si="21"/>
        <v>#DIV/0!</v>
      </c>
      <c r="Z52" s="1569"/>
      <c r="AA52" s="1611" t="str">
        <f t="shared" si="37"/>
        <v>4.1.4</v>
      </c>
      <c r="AB52" s="1611" t="str">
        <f t="shared" si="38"/>
        <v xml:space="preserve"> Q1 4.1</v>
      </c>
      <c r="AC52" s="1611" t="str">
        <f t="shared" si="39"/>
        <v xml:space="preserve"> レジオネラ対策</v>
      </c>
      <c r="AD52" s="1757">
        <f t="shared" si="40"/>
        <v>0.33333333333333331</v>
      </c>
      <c r="AE52" s="1757">
        <f t="shared" si="41"/>
        <v>0.33333333333333331</v>
      </c>
      <c r="AF52" s="1757">
        <f t="shared" si="42"/>
        <v>0.33333333333333331</v>
      </c>
      <c r="AG52" s="1757">
        <f t="shared" si="43"/>
        <v>0.33333333333333331</v>
      </c>
      <c r="AH52" s="1757">
        <f t="shared" si="44"/>
        <v>0.33333333333333331</v>
      </c>
      <c r="AI52" s="1757">
        <f t="shared" si="45"/>
        <v>0</v>
      </c>
      <c r="AJ52" s="1757">
        <f t="shared" si="46"/>
        <v>0</v>
      </c>
      <c r="AK52" s="1759">
        <f t="shared" si="47"/>
        <v>0.33333333333333331</v>
      </c>
      <c r="AL52" s="1757">
        <f t="shared" si="48"/>
        <v>0.33333333333333331</v>
      </c>
      <c r="AM52" s="1757">
        <f t="shared" si="48"/>
        <v>0.33333333333333331</v>
      </c>
      <c r="AN52" s="1758">
        <f t="shared" si="49"/>
        <v>0.33333333333333331</v>
      </c>
      <c r="AO52" s="1757">
        <f t="shared" si="50"/>
        <v>0.33333333333333331</v>
      </c>
      <c r="AP52" s="1757">
        <f t="shared" si="51"/>
        <v>0.33333333333333331</v>
      </c>
      <c r="AQ52" s="1630"/>
      <c r="AR52" s="1645" t="s">
        <v>1440</v>
      </c>
      <c r="AS52" s="1691" t="s">
        <v>303</v>
      </c>
      <c r="AT52" s="2061" t="s">
        <v>306</v>
      </c>
      <c r="AU52" s="1634">
        <v>0.33333333333333331</v>
      </c>
      <c r="AV52" s="1634">
        <v>0.33333333333333331</v>
      </c>
      <c r="AW52" s="1634">
        <v>0.33333333333333331</v>
      </c>
      <c r="AX52" s="1634">
        <v>0.33333333333333331</v>
      </c>
      <c r="AY52" s="1634">
        <v>0.33333333333333331</v>
      </c>
      <c r="AZ52" s="1634"/>
      <c r="BA52" s="1634"/>
      <c r="BB52" s="1634">
        <v>0.33333333333333331</v>
      </c>
      <c r="BC52" s="1634">
        <v>0.33333333333333331</v>
      </c>
      <c r="BD52" s="1634">
        <v>0.33333333333333331</v>
      </c>
      <c r="BE52" s="1634">
        <v>0.33333333333333331</v>
      </c>
      <c r="BF52" s="1634">
        <v>0.33333333333333331</v>
      </c>
      <c r="BG52" s="1634">
        <v>0.33333333333333331</v>
      </c>
      <c r="BI52" s="1645" t="s">
        <v>1440</v>
      </c>
      <c r="BJ52" s="1691" t="s">
        <v>303</v>
      </c>
      <c r="BK52" s="2061" t="s">
        <v>306</v>
      </c>
      <c r="BL52" s="1634">
        <v>0.33333333333333331</v>
      </c>
      <c r="BM52" s="1634">
        <v>0.33333333333333331</v>
      </c>
      <c r="BN52" s="1634">
        <v>0.33333333333333331</v>
      </c>
      <c r="BO52" s="1634">
        <v>0.33333333333333331</v>
      </c>
      <c r="BP52" s="1634">
        <v>0.33333333333333331</v>
      </c>
      <c r="BQ52" s="1634"/>
      <c r="BR52" s="1634"/>
      <c r="BS52" s="1634">
        <v>0.33333333333333331</v>
      </c>
      <c r="BT52" s="1634">
        <v>0.33333333333333331</v>
      </c>
      <c r="BU52" s="1634">
        <v>0.33333333333333331</v>
      </c>
      <c r="BV52" s="1634">
        <v>0.33333333333333331</v>
      </c>
      <c r="BW52" s="1634">
        <v>0.33333333333333331</v>
      </c>
      <c r="BX52" s="1634">
        <v>0.33333333333333331</v>
      </c>
    </row>
    <row r="53" spans="1:77" ht="13.5" customHeight="1">
      <c r="B53" s="1619">
        <f t="shared" si="31"/>
        <v>4.2</v>
      </c>
      <c r="C53" s="1628" t="str">
        <f t="shared" si="32"/>
        <v>換気</v>
      </c>
      <c r="D53" s="1714" t="e">
        <f>IF(I$47=0,0,G53/I$47)</f>
        <v>#DIV/0!</v>
      </c>
      <c r="E53" s="1689" t="e">
        <f>IF(J$47=0,0,H53/J$47)</f>
        <v>#DIV/0!</v>
      </c>
      <c r="G53" s="1689" t="e">
        <f t="shared" si="36"/>
        <v>#DIV/0!</v>
      </c>
      <c r="H53" s="1689" t="e">
        <f t="shared" si="36"/>
        <v>#DIV/0!</v>
      </c>
      <c r="I53" s="1689" t="e">
        <f>SUM(G54:G57)</f>
        <v>#DIV/0!</v>
      </c>
      <c r="J53" s="1689" t="e">
        <f>SUM(H54:H57)</f>
        <v>#DIV/0!</v>
      </c>
      <c r="K53" s="1614" t="e">
        <f>IF(スコア表示!X53=0,0,1)</f>
        <v>#DIV/0!</v>
      </c>
      <c r="L53" s="1614" t="e">
        <f>IF(スコア表示!AB53=0,0,1)</f>
        <v>#DIV/0!</v>
      </c>
      <c r="N53" s="1711" t="e">
        <f>IF(P$47=0,0,P53/P$47)</f>
        <v>#DIV/0!</v>
      </c>
      <c r="O53" s="1711" t="e">
        <f>IF(Q$47=0,0,Q53/Q$47)</f>
        <v>#DIV/0!</v>
      </c>
      <c r="P53" s="1614" t="e">
        <f>SUM(R54:R57)</f>
        <v>#DIV/0!</v>
      </c>
      <c r="Q53" s="1614" t="e">
        <f>SUM(S54:S57)</f>
        <v>#DIV/0!</v>
      </c>
      <c r="R53" s="1614">
        <f>IF(スコア入力!R53="EB",重み_対象外!D53,U53)</f>
        <v>0</v>
      </c>
      <c r="S53" s="1614">
        <f>IF(スコア入力!Y53="EB",重み_対象外!E53,V53)</f>
        <v>0</v>
      </c>
      <c r="T53" s="1558"/>
      <c r="U53" s="1628"/>
      <c r="V53" s="1628"/>
      <c r="W53" s="1558"/>
      <c r="X53" s="1614" t="e">
        <f t="shared" si="18"/>
        <v>#DIV/0!</v>
      </c>
      <c r="Y53" s="1614" t="e">
        <f t="shared" si="21"/>
        <v>#DIV/0!</v>
      </c>
      <c r="Z53" s="1569"/>
      <c r="AA53" s="1611">
        <f t="shared" si="37"/>
        <v>4.2</v>
      </c>
      <c r="AB53" s="1611" t="str">
        <f t="shared" si="38"/>
        <v xml:space="preserve"> Q1 4</v>
      </c>
      <c r="AC53" s="1611" t="str">
        <f t="shared" si="39"/>
        <v>換気</v>
      </c>
      <c r="AD53" s="1757">
        <f t="shared" si="40"/>
        <v>0.3</v>
      </c>
      <c r="AE53" s="1757">
        <f t="shared" si="41"/>
        <v>0.3</v>
      </c>
      <c r="AF53" s="1757">
        <f t="shared" si="42"/>
        <v>0.3</v>
      </c>
      <c r="AG53" s="1757">
        <f t="shared" si="43"/>
        <v>0.3</v>
      </c>
      <c r="AH53" s="1757">
        <f t="shared" si="44"/>
        <v>0.3</v>
      </c>
      <c r="AI53" s="1757">
        <f t="shared" si="45"/>
        <v>0.3</v>
      </c>
      <c r="AJ53" s="1757">
        <f t="shared" si="46"/>
        <v>0.4</v>
      </c>
      <c r="AK53" s="1759">
        <f t="shared" si="47"/>
        <v>0.3</v>
      </c>
      <c r="AL53" s="1757">
        <f t="shared" si="48"/>
        <v>0.3</v>
      </c>
      <c r="AM53" s="1757">
        <f t="shared" si="48"/>
        <v>0.3</v>
      </c>
      <c r="AN53" s="1758">
        <f t="shared" si="49"/>
        <v>0.375</v>
      </c>
      <c r="AO53" s="1757">
        <f t="shared" si="50"/>
        <v>0.375</v>
      </c>
      <c r="AP53" s="1757">
        <f t="shared" si="51"/>
        <v>0.375</v>
      </c>
      <c r="AQ53" s="1618"/>
      <c r="AR53" s="1645">
        <v>4.2</v>
      </c>
      <c r="AS53" s="1691" t="s">
        <v>302</v>
      </c>
      <c r="AT53" s="1735" t="s">
        <v>656</v>
      </c>
      <c r="AU53" s="1634">
        <v>0.3</v>
      </c>
      <c r="AV53" s="1634">
        <v>0.3</v>
      </c>
      <c r="AW53" s="1634">
        <v>0.3</v>
      </c>
      <c r="AX53" s="1634">
        <v>0.3</v>
      </c>
      <c r="AY53" s="1634">
        <v>0.3</v>
      </c>
      <c r="AZ53" s="1634">
        <v>0.3</v>
      </c>
      <c r="BA53" s="1634">
        <v>0.4</v>
      </c>
      <c r="BB53" s="1635">
        <v>0.3</v>
      </c>
      <c r="BC53" s="1634">
        <v>0.3</v>
      </c>
      <c r="BD53" s="1634">
        <v>0.3</v>
      </c>
      <c r="BE53" s="1636">
        <v>0.375</v>
      </c>
      <c r="BF53" s="1634">
        <v>0.375</v>
      </c>
      <c r="BG53" s="1634">
        <v>0.375</v>
      </c>
      <c r="BI53" s="1645">
        <v>4.2</v>
      </c>
      <c r="BJ53" s="1691" t="s">
        <v>302</v>
      </c>
      <c r="BK53" s="1735" t="s">
        <v>656</v>
      </c>
      <c r="BL53" s="1634">
        <v>0.3</v>
      </c>
      <c r="BM53" s="1634">
        <v>0.3</v>
      </c>
      <c r="BN53" s="1634">
        <v>0.3</v>
      </c>
      <c r="BO53" s="1634">
        <v>0.3</v>
      </c>
      <c r="BP53" s="1634">
        <v>0.3</v>
      </c>
      <c r="BQ53" s="1634">
        <v>0.3</v>
      </c>
      <c r="BR53" s="1634">
        <v>0.4</v>
      </c>
      <c r="BS53" s="1635">
        <v>0.3</v>
      </c>
      <c r="BT53" s="1634">
        <v>0.3</v>
      </c>
      <c r="BU53" s="1634">
        <v>0.3</v>
      </c>
      <c r="BV53" s="1636">
        <v>0.375</v>
      </c>
      <c r="BW53" s="1634">
        <v>0.375</v>
      </c>
      <c r="BX53" s="1634">
        <v>0.375</v>
      </c>
    </row>
    <row r="54" spans="1:77" ht="13.5" customHeight="1">
      <c r="B54" s="1619" t="str">
        <f t="shared" si="31"/>
        <v>4.2.1</v>
      </c>
      <c r="C54" s="1612" t="str">
        <f t="shared" si="32"/>
        <v>換気量</v>
      </c>
      <c r="D54" s="1719" t="e">
        <f t="shared" ref="D54:E57" si="58">IF(I$53&gt;0,G54/I$53,0)</f>
        <v>#DIV/0!</v>
      </c>
      <c r="E54" s="1689" t="e">
        <f t="shared" si="58"/>
        <v>#DIV/0!</v>
      </c>
      <c r="G54" s="1689" t="e">
        <f t="shared" si="36"/>
        <v>#DIV/0!</v>
      </c>
      <c r="H54" s="1689" t="e">
        <f t="shared" si="36"/>
        <v>#DIV/0!</v>
      </c>
      <c r="I54" s="1689"/>
      <c r="J54" s="1689"/>
      <c r="K54" s="1614">
        <f>IF(スコア表示!X54=0,0,1)</f>
        <v>1</v>
      </c>
      <c r="L54" s="1614">
        <f>IF(スコア表示!AB54=0,0,1)</f>
        <v>1</v>
      </c>
      <c r="N54" s="1706" t="e">
        <f t="shared" ref="N54:O57" si="59">IF(P$53&gt;0,R54/P$53,0)</f>
        <v>#DIV/0!</v>
      </c>
      <c r="O54" s="1706" t="e">
        <f t="shared" si="59"/>
        <v>#DIV/0!</v>
      </c>
      <c r="P54" s="1614"/>
      <c r="Q54" s="1614"/>
      <c r="R54" s="1614" t="e">
        <f>IF(スコア入力!R54="EB",重み_対象外!D54,U54)</f>
        <v>#DIV/0!</v>
      </c>
      <c r="S54" s="1614" t="e">
        <f>IF(スコア入力!Y54="EB",重み_対象外!E54,V54)</f>
        <v>#DIV/0!</v>
      </c>
      <c r="T54" s="1558"/>
      <c r="U54" s="1612" t="e">
        <f t="shared" ref="U54:V57" si="60">X$47*X$53*X54</f>
        <v>#DIV/0!</v>
      </c>
      <c r="V54" s="1612" t="e">
        <f t="shared" si="60"/>
        <v>#DIV/0!</v>
      </c>
      <c r="W54" s="1558"/>
      <c r="X54" s="1614" t="e">
        <f t="shared" si="18"/>
        <v>#DIV/0!</v>
      </c>
      <c r="Y54" s="1614" t="e">
        <f t="shared" si="21"/>
        <v>#DIV/0!</v>
      </c>
      <c r="Z54" s="1569"/>
      <c r="AA54" s="1611" t="str">
        <f t="shared" si="37"/>
        <v>4.2.1</v>
      </c>
      <c r="AB54" s="1611" t="str">
        <f t="shared" si="38"/>
        <v xml:space="preserve"> Q1 4.2</v>
      </c>
      <c r="AC54" s="1611" t="str">
        <f t="shared" si="39"/>
        <v>換気量</v>
      </c>
      <c r="AD54" s="1757">
        <f t="shared" si="40"/>
        <v>0.25</v>
      </c>
      <c r="AE54" s="1757">
        <f t="shared" si="41"/>
        <v>0.25</v>
      </c>
      <c r="AF54" s="1757">
        <f t="shared" si="42"/>
        <v>0.33333333333333331</v>
      </c>
      <c r="AG54" s="1757">
        <f t="shared" si="43"/>
        <v>0.33333333333333331</v>
      </c>
      <c r="AH54" s="1757">
        <f t="shared" si="44"/>
        <v>0.33333333333333331</v>
      </c>
      <c r="AI54" s="1757">
        <f t="shared" si="45"/>
        <v>0.33333333333333331</v>
      </c>
      <c r="AJ54" s="1757">
        <f t="shared" si="46"/>
        <v>0.5</v>
      </c>
      <c r="AK54" s="1759">
        <f t="shared" si="47"/>
        <v>0.33333333333333331</v>
      </c>
      <c r="AL54" s="1757">
        <f t="shared" si="48"/>
        <v>0.25</v>
      </c>
      <c r="AM54" s="1757">
        <f t="shared" si="48"/>
        <v>0.25</v>
      </c>
      <c r="AN54" s="1758">
        <f t="shared" si="49"/>
        <v>0.25</v>
      </c>
      <c r="AO54" s="1757">
        <f t="shared" si="50"/>
        <v>0.25</v>
      </c>
      <c r="AP54" s="1757">
        <f t="shared" si="51"/>
        <v>0.25</v>
      </c>
      <c r="AQ54" s="1630"/>
      <c r="AR54" s="1645" t="s">
        <v>1441</v>
      </c>
      <c r="AS54" s="1691" t="s">
        <v>307</v>
      </c>
      <c r="AT54" s="2061" t="s">
        <v>308</v>
      </c>
      <c r="AU54" s="1634">
        <v>0.25</v>
      </c>
      <c r="AV54" s="1634">
        <v>0.25</v>
      </c>
      <c r="AW54" s="1634">
        <v>0.33333333333333331</v>
      </c>
      <c r="AX54" s="1634">
        <v>0.33333333333333331</v>
      </c>
      <c r="AY54" s="1634">
        <v>0.33333333333333331</v>
      </c>
      <c r="AZ54" s="1634">
        <v>0.33333333333333331</v>
      </c>
      <c r="BA54" s="1634">
        <v>0.5</v>
      </c>
      <c r="BB54" s="1634">
        <v>0.33333333333333331</v>
      </c>
      <c r="BC54" s="1634">
        <v>0.25</v>
      </c>
      <c r="BD54" s="1634">
        <v>0.25</v>
      </c>
      <c r="BE54" s="1636">
        <v>0.25</v>
      </c>
      <c r="BF54" s="1634">
        <v>0.25</v>
      </c>
      <c r="BG54" s="1634">
        <v>0.25</v>
      </c>
      <c r="BI54" s="1645" t="s">
        <v>1441</v>
      </c>
      <c r="BJ54" s="1691" t="s">
        <v>307</v>
      </c>
      <c r="BK54" s="2061" t="s">
        <v>308</v>
      </c>
      <c r="BL54" s="1634">
        <v>0.25</v>
      </c>
      <c r="BM54" s="1634">
        <v>0.25</v>
      </c>
      <c r="BN54" s="1634">
        <v>0.33333333333333331</v>
      </c>
      <c r="BO54" s="1634">
        <v>0.33333333333333331</v>
      </c>
      <c r="BP54" s="1634">
        <v>0.33333333333333331</v>
      </c>
      <c r="BQ54" s="1634">
        <v>0.33333333333333331</v>
      </c>
      <c r="BR54" s="1634">
        <v>0.5</v>
      </c>
      <c r="BS54" s="1634">
        <v>0.33333333333333331</v>
      </c>
      <c r="BT54" s="1634">
        <v>0.25</v>
      </c>
      <c r="BU54" s="1634">
        <v>0.25</v>
      </c>
      <c r="BV54" s="1636">
        <v>0.25</v>
      </c>
      <c r="BW54" s="1634">
        <v>0.25</v>
      </c>
      <c r="BX54" s="1634">
        <v>0.25</v>
      </c>
    </row>
    <row r="55" spans="1:77" ht="13.5" customHeight="1">
      <c r="B55" s="1619" t="str">
        <f t="shared" si="31"/>
        <v>4.2.2</v>
      </c>
      <c r="C55" s="1612" t="str">
        <f t="shared" si="32"/>
        <v>自然換気性能</v>
      </c>
      <c r="D55" s="1719" t="e">
        <f t="shared" si="58"/>
        <v>#DIV/0!</v>
      </c>
      <c r="E55" s="1689" t="e">
        <f t="shared" si="58"/>
        <v>#DIV/0!</v>
      </c>
      <c r="G55" s="1689" t="e">
        <f t="shared" si="36"/>
        <v>#DIV/0!</v>
      </c>
      <c r="H55" s="1689" t="e">
        <f t="shared" si="36"/>
        <v>#DIV/0!</v>
      </c>
      <c r="I55" s="1689"/>
      <c r="J55" s="1689"/>
      <c r="K55" s="1614">
        <f>IF(スコア表示!X55=0,0,1)</f>
        <v>1</v>
      </c>
      <c r="L55" s="1614">
        <f>IF(スコア表示!AB55=0,0,1)</f>
        <v>1</v>
      </c>
      <c r="N55" s="1706" t="e">
        <f t="shared" si="59"/>
        <v>#DIV/0!</v>
      </c>
      <c r="O55" s="1706" t="e">
        <f t="shared" si="59"/>
        <v>#DIV/0!</v>
      </c>
      <c r="P55" s="1614"/>
      <c r="Q55" s="1614"/>
      <c r="R55" s="1614" t="e">
        <f>IF(スコア入力!R55="EB",重み_対象外!D55,U55)</f>
        <v>#DIV/0!</v>
      </c>
      <c r="S55" s="1614" t="e">
        <f>IF(スコア入力!Y55="EB",重み_対象外!E55,V55)</f>
        <v>#DIV/0!</v>
      </c>
      <c r="T55" s="1558"/>
      <c r="U55" s="1612" t="e">
        <f t="shared" si="60"/>
        <v>#DIV/0!</v>
      </c>
      <c r="V55" s="1612" t="e">
        <f t="shared" si="60"/>
        <v>#DIV/0!</v>
      </c>
      <c r="W55" s="1558"/>
      <c r="X55" s="1614" t="e">
        <f t="shared" si="18"/>
        <v>#DIV/0!</v>
      </c>
      <c r="Y55" s="1614" t="e">
        <f t="shared" si="21"/>
        <v>#DIV/0!</v>
      </c>
      <c r="Z55" s="1569"/>
      <c r="AA55" s="1611" t="str">
        <f t="shared" si="37"/>
        <v>4.2.2</v>
      </c>
      <c r="AB55" s="1611" t="str">
        <f t="shared" si="38"/>
        <v xml:space="preserve"> Q1 4.2</v>
      </c>
      <c r="AC55" s="1611" t="str">
        <f t="shared" si="39"/>
        <v>自然換気性能</v>
      </c>
      <c r="AD55" s="1757">
        <f t="shared" si="40"/>
        <v>0.25</v>
      </c>
      <c r="AE55" s="1757">
        <f t="shared" si="41"/>
        <v>0.25</v>
      </c>
      <c r="AF55" s="1757">
        <f t="shared" si="42"/>
        <v>0</v>
      </c>
      <c r="AG55" s="1757">
        <f t="shared" si="43"/>
        <v>0</v>
      </c>
      <c r="AH55" s="1757">
        <f t="shared" si="44"/>
        <v>0</v>
      </c>
      <c r="AI55" s="1757">
        <f t="shared" si="45"/>
        <v>0</v>
      </c>
      <c r="AJ55" s="1757">
        <f t="shared" si="46"/>
        <v>0</v>
      </c>
      <c r="AK55" s="1759">
        <f t="shared" si="47"/>
        <v>0</v>
      </c>
      <c r="AL55" s="1757">
        <f t="shared" si="48"/>
        <v>0.25</v>
      </c>
      <c r="AM55" s="1757">
        <f t="shared" si="48"/>
        <v>0.25</v>
      </c>
      <c r="AN55" s="1758">
        <f t="shared" si="49"/>
        <v>0.25</v>
      </c>
      <c r="AO55" s="1757">
        <f t="shared" si="50"/>
        <v>0.25</v>
      </c>
      <c r="AP55" s="1757">
        <f t="shared" si="51"/>
        <v>0.25</v>
      </c>
      <c r="AQ55" s="1630"/>
      <c r="AR55" s="1645" t="s">
        <v>1443</v>
      </c>
      <c r="AS55" s="1691" t="s">
        <v>307</v>
      </c>
      <c r="AT55" s="2061" t="s">
        <v>309</v>
      </c>
      <c r="AU55" s="1634">
        <v>0.25</v>
      </c>
      <c r="AV55" s="1634">
        <v>0.25</v>
      </c>
      <c r="AW55" s="1634"/>
      <c r="AX55" s="1634"/>
      <c r="AY55" s="1634"/>
      <c r="AZ55" s="1634"/>
      <c r="BA55" s="1634"/>
      <c r="BB55" s="1635"/>
      <c r="BC55" s="1634">
        <v>0.25</v>
      </c>
      <c r="BD55" s="1634">
        <v>0.25</v>
      </c>
      <c r="BE55" s="1636">
        <v>0.25</v>
      </c>
      <c r="BF55" s="1634">
        <v>0.25</v>
      </c>
      <c r="BG55" s="1634">
        <v>0.25</v>
      </c>
      <c r="BI55" s="1645" t="s">
        <v>1443</v>
      </c>
      <c r="BJ55" s="1691" t="s">
        <v>307</v>
      </c>
      <c r="BK55" s="2061" t="s">
        <v>309</v>
      </c>
      <c r="BL55" s="1634">
        <v>0.25</v>
      </c>
      <c r="BM55" s="1634">
        <v>0.25</v>
      </c>
      <c r="BN55" s="1634"/>
      <c r="BO55" s="1634"/>
      <c r="BP55" s="1634"/>
      <c r="BQ55" s="1634"/>
      <c r="BR55" s="1634"/>
      <c r="BS55" s="1635"/>
      <c r="BT55" s="1634">
        <v>0.25</v>
      </c>
      <c r="BU55" s="1634">
        <v>0.25</v>
      </c>
      <c r="BV55" s="1636">
        <v>0.25</v>
      </c>
      <c r="BW55" s="1634">
        <v>0.25</v>
      </c>
      <c r="BX55" s="1634">
        <v>0.25</v>
      </c>
    </row>
    <row r="56" spans="1:77" ht="13.5" customHeight="1">
      <c r="B56" s="1619" t="str">
        <f t="shared" si="31"/>
        <v>4.2.3</v>
      </c>
      <c r="C56" s="1612" t="str">
        <f t="shared" si="32"/>
        <v>取り入れ外気への配慮</v>
      </c>
      <c r="D56" s="1719" t="e">
        <f t="shared" si="58"/>
        <v>#DIV/0!</v>
      </c>
      <c r="E56" s="1689" t="e">
        <f t="shared" si="58"/>
        <v>#DIV/0!</v>
      </c>
      <c r="G56" s="1689" t="e">
        <f t="shared" si="36"/>
        <v>#DIV/0!</v>
      </c>
      <c r="H56" s="1689" t="e">
        <f t="shared" si="36"/>
        <v>#DIV/0!</v>
      </c>
      <c r="I56" s="1689"/>
      <c r="J56" s="1689"/>
      <c r="K56" s="1614">
        <f>IF(スコア表示!X56=0,0,1)</f>
        <v>1</v>
      </c>
      <c r="L56" s="1614">
        <f>IF(スコア表示!AB56=0,0,1)</f>
        <v>1</v>
      </c>
      <c r="N56" s="1706" t="e">
        <f t="shared" si="59"/>
        <v>#DIV/0!</v>
      </c>
      <c r="O56" s="1706" t="e">
        <f t="shared" si="59"/>
        <v>#DIV/0!</v>
      </c>
      <c r="P56" s="1614"/>
      <c r="Q56" s="1614"/>
      <c r="R56" s="1614" t="e">
        <f>IF(スコア入力!R56="EB",重み_対象外!D56,U56)</f>
        <v>#DIV/0!</v>
      </c>
      <c r="S56" s="1614" t="e">
        <f>IF(スコア入力!Y56="EB",重み_対象外!E56,V56)</f>
        <v>#DIV/0!</v>
      </c>
      <c r="T56" s="1558"/>
      <c r="U56" s="1612" t="e">
        <f t="shared" si="60"/>
        <v>#DIV/0!</v>
      </c>
      <c r="V56" s="1612" t="e">
        <f t="shared" si="60"/>
        <v>#DIV/0!</v>
      </c>
      <c r="W56" s="1558"/>
      <c r="X56" s="1614" t="e">
        <f t="shared" si="18"/>
        <v>#DIV/0!</v>
      </c>
      <c r="Y56" s="1614" t="e">
        <f t="shared" si="21"/>
        <v>#DIV/0!</v>
      </c>
      <c r="Z56" s="1569"/>
      <c r="AA56" s="1611" t="str">
        <f t="shared" si="37"/>
        <v>4.2.3</v>
      </c>
      <c r="AB56" s="1611" t="str">
        <f t="shared" si="38"/>
        <v xml:space="preserve"> Q1 4.2</v>
      </c>
      <c r="AC56" s="1611" t="str">
        <f t="shared" si="39"/>
        <v>取り入れ外気への配慮</v>
      </c>
      <c r="AD56" s="1757">
        <f t="shared" si="40"/>
        <v>0.25</v>
      </c>
      <c r="AE56" s="1757">
        <f t="shared" si="41"/>
        <v>0.25</v>
      </c>
      <c r="AF56" s="1757">
        <f t="shared" si="42"/>
        <v>0.33333333333333331</v>
      </c>
      <c r="AG56" s="1757">
        <f t="shared" si="43"/>
        <v>0.33333333333333331</v>
      </c>
      <c r="AH56" s="1757">
        <f t="shared" si="44"/>
        <v>0.33333333333333331</v>
      </c>
      <c r="AI56" s="1757">
        <f t="shared" si="45"/>
        <v>0.33333333333333331</v>
      </c>
      <c r="AJ56" s="1757">
        <f t="shared" si="46"/>
        <v>0.5</v>
      </c>
      <c r="AK56" s="1759">
        <f t="shared" si="47"/>
        <v>0.33333333333333331</v>
      </c>
      <c r="AL56" s="1757">
        <f t="shared" si="48"/>
        <v>0.25</v>
      </c>
      <c r="AM56" s="1757">
        <f t="shared" si="48"/>
        <v>0.25</v>
      </c>
      <c r="AN56" s="1758">
        <f t="shared" si="49"/>
        <v>0.25</v>
      </c>
      <c r="AO56" s="1757">
        <f t="shared" si="50"/>
        <v>0.25</v>
      </c>
      <c r="AP56" s="1757">
        <f t="shared" si="51"/>
        <v>0.25</v>
      </c>
      <c r="AQ56" s="1630"/>
      <c r="AR56" s="1645" t="s">
        <v>1444</v>
      </c>
      <c r="AS56" s="1691" t="s">
        <v>307</v>
      </c>
      <c r="AT56" s="2061" t="s">
        <v>310</v>
      </c>
      <c r="AU56" s="1634">
        <v>0.25</v>
      </c>
      <c r="AV56" s="1634">
        <v>0.25</v>
      </c>
      <c r="AW56" s="1634">
        <v>0.33333333333333331</v>
      </c>
      <c r="AX56" s="1634">
        <v>0.33333333333333331</v>
      </c>
      <c r="AY56" s="1634">
        <v>0.33333333333333331</v>
      </c>
      <c r="AZ56" s="1634">
        <v>0.33333333333333331</v>
      </c>
      <c r="BA56" s="1634">
        <v>0.5</v>
      </c>
      <c r="BB56" s="1634">
        <v>0.33333333333333331</v>
      </c>
      <c r="BC56" s="1634">
        <v>0.25</v>
      </c>
      <c r="BD56" s="1634">
        <v>0.25</v>
      </c>
      <c r="BE56" s="1636">
        <v>0.25</v>
      </c>
      <c r="BF56" s="1634">
        <v>0.25</v>
      </c>
      <c r="BG56" s="1634">
        <v>0.25</v>
      </c>
      <c r="BI56" s="1645" t="s">
        <v>1444</v>
      </c>
      <c r="BJ56" s="1691" t="s">
        <v>307</v>
      </c>
      <c r="BK56" s="2061" t="s">
        <v>310</v>
      </c>
      <c r="BL56" s="1634">
        <v>0.25</v>
      </c>
      <c r="BM56" s="1634">
        <v>0.25</v>
      </c>
      <c r="BN56" s="1634">
        <v>0.33333333333333331</v>
      </c>
      <c r="BO56" s="1634">
        <v>0.33333333333333331</v>
      </c>
      <c r="BP56" s="1634">
        <v>0.33333333333333331</v>
      </c>
      <c r="BQ56" s="1634">
        <v>0.33333333333333331</v>
      </c>
      <c r="BR56" s="1634">
        <v>0.5</v>
      </c>
      <c r="BS56" s="1634">
        <v>0.33333333333333331</v>
      </c>
      <c r="BT56" s="1634">
        <v>0.25</v>
      </c>
      <c r="BU56" s="1634">
        <v>0.25</v>
      </c>
      <c r="BV56" s="1636">
        <v>0.25</v>
      </c>
      <c r="BW56" s="1634">
        <v>0.25</v>
      </c>
      <c r="BX56" s="1634">
        <v>0.25</v>
      </c>
    </row>
    <row r="57" spans="1:77" ht="13.5" hidden="1" customHeight="1">
      <c r="B57" s="1647" t="str">
        <f t="shared" si="31"/>
        <v>4.2.4</v>
      </c>
      <c r="C57" s="1648" t="str">
        <f t="shared" si="32"/>
        <v>給気計画</v>
      </c>
      <c r="D57" s="1719" t="e">
        <f t="shared" si="58"/>
        <v>#DIV/0!</v>
      </c>
      <c r="E57" s="1689" t="e">
        <f t="shared" si="58"/>
        <v>#DIV/0!</v>
      </c>
      <c r="G57" s="1689" t="e">
        <f t="shared" si="36"/>
        <v>#DIV/0!</v>
      </c>
      <c r="H57" s="1689" t="e">
        <f t="shared" si="36"/>
        <v>#DIV/0!</v>
      </c>
      <c r="I57" s="1689"/>
      <c r="J57" s="1689"/>
      <c r="K57" s="1614">
        <f>IF(スコア表示!X57=0,0,1)</f>
        <v>0</v>
      </c>
      <c r="L57" s="1614">
        <f>IF(スコア表示!AB57=0,0,1)</f>
        <v>0</v>
      </c>
      <c r="N57" s="1706" t="e">
        <f t="shared" si="59"/>
        <v>#DIV/0!</v>
      </c>
      <c r="O57" s="1706" t="e">
        <f t="shared" si="59"/>
        <v>#DIV/0!</v>
      </c>
      <c r="P57" s="1614"/>
      <c r="Q57" s="1614"/>
      <c r="R57" s="1614" t="e">
        <f>IF(スコア入力!R57="EB",重み_対象外!D57,U57)</f>
        <v>#DIV/0!</v>
      </c>
      <c r="S57" s="1614" t="e">
        <f>IF(スコア入力!Y57="EB",重み_対象外!E57,V57)</f>
        <v>#DIV/0!</v>
      </c>
      <c r="T57" s="1558"/>
      <c r="U57" s="1612" t="e">
        <f t="shared" si="60"/>
        <v>#DIV/0!</v>
      </c>
      <c r="V57" s="1612" t="e">
        <f t="shared" si="60"/>
        <v>#DIV/0!</v>
      </c>
      <c r="W57" s="1558"/>
      <c r="X57" s="1614" t="e">
        <f t="shared" si="18"/>
        <v>#DIV/0!</v>
      </c>
      <c r="Y57" s="1614" t="e">
        <f t="shared" si="21"/>
        <v>#DIV/0!</v>
      </c>
      <c r="Z57" s="1569"/>
      <c r="AA57" s="1611" t="str">
        <f t="shared" si="37"/>
        <v>4.2.4</v>
      </c>
      <c r="AB57" s="1611" t="str">
        <f t="shared" si="38"/>
        <v xml:space="preserve"> Q1 4.2</v>
      </c>
      <c r="AC57" s="1611" t="str">
        <f t="shared" si="39"/>
        <v>給気計画</v>
      </c>
      <c r="AD57" s="1757">
        <f t="shared" si="40"/>
        <v>0.25</v>
      </c>
      <c r="AE57" s="1757">
        <f t="shared" si="41"/>
        <v>0.25</v>
      </c>
      <c r="AF57" s="1757">
        <f t="shared" si="42"/>
        <v>0.33333333333333331</v>
      </c>
      <c r="AG57" s="1757">
        <f t="shared" si="43"/>
        <v>0.33333333333333331</v>
      </c>
      <c r="AH57" s="1757">
        <f t="shared" si="44"/>
        <v>0.33333333333333331</v>
      </c>
      <c r="AI57" s="1757">
        <f t="shared" si="45"/>
        <v>0.33333333333333331</v>
      </c>
      <c r="AJ57" s="1757">
        <f t="shared" si="46"/>
        <v>0</v>
      </c>
      <c r="AK57" s="1759">
        <f t="shared" si="47"/>
        <v>0.33333333333333331</v>
      </c>
      <c r="AL57" s="1757">
        <f t="shared" si="48"/>
        <v>0.25</v>
      </c>
      <c r="AM57" s="1757">
        <f t="shared" si="48"/>
        <v>0.25</v>
      </c>
      <c r="AN57" s="1758">
        <f t="shared" si="49"/>
        <v>0.25</v>
      </c>
      <c r="AO57" s="1757">
        <f t="shared" si="50"/>
        <v>0.25</v>
      </c>
      <c r="AP57" s="1757">
        <f t="shared" si="51"/>
        <v>0.25</v>
      </c>
      <c r="AQ57" s="1630"/>
      <c r="AR57" s="1645" t="s">
        <v>1445</v>
      </c>
      <c r="AS57" s="1691" t="s">
        <v>307</v>
      </c>
      <c r="AT57" s="2061" t="s">
        <v>1446</v>
      </c>
      <c r="AU57" s="1634">
        <v>0.25</v>
      </c>
      <c r="AV57" s="1634">
        <v>0.25</v>
      </c>
      <c r="AW57" s="1634">
        <v>0.33333333333333331</v>
      </c>
      <c r="AX57" s="1634">
        <v>0.33333333333333331</v>
      </c>
      <c r="AY57" s="1634">
        <v>0.33333333333333331</v>
      </c>
      <c r="AZ57" s="1634">
        <v>0.33333333333333331</v>
      </c>
      <c r="BA57" s="1634"/>
      <c r="BB57" s="1634">
        <v>0.33333333333333331</v>
      </c>
      <c r="BC57" s="1634">
        <v>0.25</v>
      </c>
      <c r="BD57" s="1634">
        <v>0.25</v>
      </c>
      <c r="BE57" s="1636">
        <v>0.25</v>
      </c>
      <c r="BF57" s="1634">
        <v>0.25</v>
      </c>
      <c r="BG57" s="1634">
        <v>0.25</v>
      </c>
      <c r="BI57" s="1645" t="s">
        <v>1445</v>
      </c>
      <c r="BJ57" s="1691" t="s">
        <v>307</v>
      </c>
      <c r="BK57" s="2061" t="s">
        <v>1446</v>
      </c>
      <c r="BL57" s="1634">
        <v>0.25</v>
      </c>
      <c r="BM57" s="1634">
        <v>0.25</v>
      </c>
      <c r="BN57" s="1634">
        <v>0.33333333333333331</v>
      </c>
      <c r="BO57" s="1634">
        <v>0.33333333333333331</v>
      </c>
      <c r="BP57" s="1634">
        <v>0.33333333333333331</v>
      </c>
      <c r="BQ57" s="1634">
        <v>0.33333333333333331</v>
      </c>
      <c r="BR57" s="1634"/>
      <c r="BS57" s="1634">
        <v>0.33333333333333331</v>
      </c>
      <c r="BT57" s="1634">
        <v>0.25</v>
      </c>
      <c r="BU57" s="1634">
        <v>0.25</v>
      </c>
      <c r="BV57" s="1636">
        <v>0.25</v>
      </c>
      <c r="BW57" s="1634">
        <v>0.25</v>
      </c>
      <c r="BX57" s="1634">
        <v>0.25</v>
      </c>
    </row>
    <row r="58" spans="1:77" ht="13.5" customHeight="1">
      <c r="B58" s="1619">
        <f t="shared" si="31"/>
        <v>4.3</v>
      </c>
      <c r="C58" s="1628" t="str">
        <f t="shared" si="32"/>
        <v>運用管理</v>
      </c>
      <c r="D58" s="1714" t="e">
        <f>IF(I$47=0,0,G58/I$47)</f>
        <v>#DIV/0!</v>
      </c>
      <c r="E58" s="1689" t="e">
        <f>IF(J$47=0,0,H58/J$47)</f>
        <v>#DIV/0!</v>
      </c>
      <c r="G58" s="1689" t="e">
        <f t="shared" si="36"/>
        <v>#DIV/0!</v>
      </c>
      <c r="H58" s="1689" t="e">
        <f t="shared" si="36"/>
        <v>#DIV/0!</v>
      </c>
      <c r="I58" s="1689" t="e">
        <f>G59+G60</f>
        <v>#DIV/0!</v>
      </c>
      <c r="J58" s="1689" t="e">
        <f>H59+H60</f>
        <v>#DIV/0!</v>
      </c>
      <c r="K58" s="1614" t="e">
        <f>IF(スコア表示!X58=0,0,1)</f>
        <v>#DIV/0!</v>
      </c>
      <c r="L58" s="1614" t="e">
        <f>IF(スコア表示!AB58=0,0,1)</f>
        <v>#DIV/0!</v>
      </c>
      <c r="N58" s="1711" t="e">
        <f>IF(P$47=0,0,P58/P$47)</f>
        <v>#DIV/0!</v>
      </c>
      <c r="O58" s="1711" t="e">
        <f>IF(Q$47=0,0,Q58/Q$47)</f>
        <v>#DIV/0!</v>
      </c>
      <c r="P58" s="1614" t="e">
        <f>R59+R60</f>
        <v>#DIV/0!</v>
      </c>
      <c r="Q58" s="1614" t="e">
        <f>S59+S60</f>
        <v>#DIV/0!</v>
      </c>
      <c r="R58" s="1614">
        <f>IF(スコア入力!R58="EB",重み_対象外!D58,U58)</f>
        <v>0</v>
      </c>
      <c r="S58" s="1614">
        <f>IF(スコア入力!Y58="EB",重み_対象外!E58,V58)</f>
        <v>0</v>
      </c>
      <c r="T58" s="1558"/>
      <c r="U58" s="1628"/>
      <c r="V58" s="1628"/>
      <c r="W58" s="1558"/>
      <c r="X58" s="1614" t="e">
        <f t="shared" si="18"/>
        <v>#DIV/0!</v>
      </c>
      <c r="Y58" s="1614" t="e">
        <f t="shared" si="21"/>
        <v>#DIV/0!</v>
      </c>
      <c r="Z58" s="1569"/>
      <c r="AA58" s="1611">
        <f t="shared" si="37"/>
        <v>4.3</v>
      </c>
      <c r="AB58" s="1611" t="str">
        <f t="shared" si="38"/>
        <v xml:space="preserve"> Q1 4</v>
      </c>
      <c r="AC58" s="1611" t="str">
        <f t="shared" si="39"/>
        <v>運用管理</v>
      </c>
      <c r="AD58" s="1757">
        <f t="shared" si="40"/>
        <v>0.2</v>
      </c>
      <c r="AE58" s="1757">
        <f t="shared" si="41"/>
        <v>0.2</v>
      </c>
      <c r="AF58" s="1757">
        <f t="shared" si="42"/>
        <v>0.2</v>
      </c>
      <c r="AG58" s="1757">
        <f t="shared" si="43"/>
        <v>0.2</v>
      </c>
      <c r="AH58" s="1757">
        <f t="shared" si="44"/>
        <v>0.2</v>
      </c>
      <c r="AI58" s="1757">
        <f t="shared" si="45"/>
        <v>0.2</v>
      </c>
      <c r="AJ58" s="1757">
        <f t="shared" si="46"/>
        <v>0</v>
      </c>
      <c r="AK58" s="1759">
        <f t="shared" si="47"/>
        <v>0.2</v>
      </c>
      <c r="AL58" s="1757">
        <f t="shared" si="48"/>
        <v>0.2</v>
      </c>
      <c r="AM58" s="1757">
        <f t="shared" si="48"/>
        <v>0.2</v>
      </c>
      <c r="AN58" s="1758">
        <f t="shared" si="49"/>
        <v>0</v>
      </c>
      <c r="AO58" s="1757">
        <f t="shared" si="50"/>
        <v>0</v>
      </c>
      <c r="AP58" s="1757">
        <f t="shared" si="51"/>
        <v>0</v>
      </c>
      <c r="AQ58" s="1618"/>
      <c r="AR58" s="1645">
        <v>4.3</v>
      </c>
      <c r="AS58" s="1691" t="s">
        <v>302</v>
      </c>
      <c r="AT58" s="1735" t="s">
        <v>664</v>
      </c>
      <c r="AU58" s="1634">
        <v>0.2</v>
      </c>
      <c r="AV58" s="1634">
        <v>0.2</v>
      </c>
      <c r="AW58" s="1634">
        <v>0.2</v>
      </c>
      <c r="AX58" s="1634">
        <v>0.2</v>
      </c>
      <c r="AY58" s="1634">
        <v>0.2</v>
      </c>
      <c r="AZ58" s="1634">
        <v>0.2</v>
      </c>
      <c r="BA58" s="1634"/>
      <c r="BB58" s="1635">
        <v>0.2</v>
      </c>
      <c r="BC58" s="1634">
        <v>0.2</v>
      </c>
      <c r="BD58" s="1634">
        <v>0.2</v>
      </c>
      <c r="BE58" s="1636"/>
      <c r="BF58" s="1634"/>
      <c r="BG58" s="1634"/>
      <c r="BI58" s="1645">
        <v>4.3</v>
      </c>
      <c r="BJ58" s="1691" t="s">
        <v>302</v>
      </c>
      <c r="BK58" s="1735" t="s">
        <v>664</v>
      </c>
      <c r="BL58" s="1634">
        <v>0.2</v>
      </c>
      <c r="BM58" s="1634">
        <v>0.2</v>
      </c>
      <c r="BN58" s="1634">
        <v>0.2</v>
      </c>
      <c r="BO58" s="1634">
        <v>0.2</v>
      </c>
      <c r="BP58" s="1634">
        <v>0.2</v>
      </c>
      <c r="BQ58" s="1634">
        <v>0.2</v>
      </c>
      <c r="BR58" s="1634"/>
      <c r="BS58" s="1635">
        <v>0.2</v>
      </c>
      <c r="BT58" s="1634">
        <v>0.2</v>
      </c>
      <c r="BU58" s="1634">
        <v>0.2</v>
      </c>
      <c r="BV58" s="1636"/>
      <c r="BW58" s="1634"/>
      <c r="BX58" s="1634"/>
    </row>
    <row r="59" spans="1:77" ht="13.5" customHeight="1">
      <c r="B59" s="1619" t="str">
        <f t="shared" si="31"/>
        <v>4.3.1</v>
      </c>
      <c r="C59" s="1612" t="str">
        <f t="shared" si="32"/>
        <v>CO2の監視</v>
      </c>
      <c r="D59" s="1719" t="e">
        <f>IF(I$58&gt;0,G59/I$58,0)</f>
        <v>#DIV/0!</v>
      </c>
      <c r="E59" s="1689" t="e">
        <f>IF(J$58&gt;0,H59/J$58,0)</f>
        <v>#DIV/0!</v>
      </c>
      <c r="G59" s="1689" t="e">
        <f t="shared" si="36"/>
        <v>#DIV/0!</v>
      </c>
      <c r="H59" s="1689" t="e">
        <f t="shared" si="36"/>
        <v>#DIV/0!</v>
      </c>
      <c r="I59" s="1689"/>
      <c r="J59" s="1689"/>
      <c r="K59" s="1614">
        <f>IF(スコア表示!X59=0,0,1)</f>
        <v>1</v>
      </c>
      <c r="L59" s="1614">
        <f>IF(スコア表示!AB59=0,0,1)</f>
        <v>1</v>
      </c>
      <c r="N59" s="1706" t="e">
        <f>IF(P$58&gt;0,R59/P$58,0)</f>
        <v>#DIV/0!</v>
      </c>
      <c r="O59" s="1706" t="e">
        <f>IF(Q$58&gt;0,S59/Q$58,0)</f>
        <v>#DIV/0!</v>
      </c>
      <c r="P59" s="1614"/>
      <c r="Q59" s="1614"/>
      <c r="R59" s="1614" t="e">
        <f>IF(スコア入力!R59="EB",重み_対象外!D59,U59)</f>
        <v>#DIV/0!</v>
      </c>
      <c r="S59" s="1614" t="e">
        <f>IF(スコア入力!Y59="EB",重み_対象外!E59,V59)</f>
        <v>#DIV/0!</v>
      </c>
      <c r="T59" s="1558"/>
      <c r="U59" s="1612" t="e">
        <f>X$47*X$58*X59</f>
        <v>#DIV/0!</v>
      </c>
      <c r="V59" s="1612" t="e">
        <f>Y$47*Y$58*Y59</f>
        <v>#DIV/0!</v>
      </c>
      <c r="W59" s="1558"/>
      <c r="X59" s="1614" t="e">
        <f t="shared" si="18"/>
        <v>#DIV/0!</v>
      </c>
      <c r="Y59" s="1614" t="e">
        <f t="shared" si="21"/>
        <v>#DIV/0!</v>
      </c>
      <c r="Z59" s="1569"/>
      <c r="AA59" s="1611" t="str">
        <f t="shared" si="37"/>
        <v>4.3.1</v>
      </c>
      <c r="AB59" s="1611" t="str">
        <f t="shared" si="38"/>
        <v xml:space="preserve"> Q1 4.3</v>
      </c>
      <c r="AC59" s="1611" t="str">
        <f t="shared" si="39"/>
        <v>CO2の監視</v>
      </c>
      <c r="AD59" s="1757">
        <f t="shared" si="40"/>
        <v>0.5</v>
      </c>
      <c r="AE59" s="1757">
        <f t="shared" si="41"/>
        <v>0.5</v>
      </c>
      <c r="AF59" s="1757">
        <f t="shared" si="42"/>
        <v>0.5</v>
      </c>
      <c r="AG59" s="1757">
        <f t="shared" si="43"/>
        <v>0.5</v>
      </c>
      <c r="AH59" s="1757">
        <f t="shared" si="44"/>
        <v>0</v>
      </c>
      <c r="AI59" s="1757">
        <f t="shared" si="45"/>
        <v>0</v>
      </c>
      <c r="AJ59" s="1757">
        <f t="shared" si="46"/>
        <v>0</v>
      </c>
      <c r="AK59" s="1759">
        <f t="shared" si="47"/>
        <v>0.5</v>
      </c>
      <c r="AL59" s="1757">
        <f t="shared" si="48"/>
        <v>0.5</v>
      </c>
      <c r="AM59" s="1757">
        <f t="shared" si="48"/>
        <v>0.5</v>
      </c>
      <c r="AN59" s="1758">
        <f t="shared" si="49"/>
        <v>0</v>
      </c>
      <c r="AO59" s="1757">
        <f t="shared" si="50"/>
        <v>0</v>
      </c>
      <c r="AP59" s="1757">
        <f t="shared" si="51"/>
        <v>0</v>
      </c>
      <c r="AQ59" s="1630"/>
      <c r="AR59" s="1645" t="s">
        <v>1447</v>
      </c>
      <c r="AS59" s="1691" t="s">
        <v>311</v>
      </c>
      <c r="AT59" s="2061" t="s">
        <v>1448</v>
      </c>
      <c r="AU59" s="1634">
        <v>0.5</v>
      </c>
      <c r="AV59" s="1634">
        <v>0.5</v>
      </c>
      <c r="AW59" s="1634">
        <v>0.5</v>
      </c>
      <c r="AX59" s="1634">
        <v>0.5</v>
      </c>
      <c r="AY59" s="1634"/>
      <c r="AZ59" s="1634"/>
      <c r="BA59" s="1634"/>
      <c r="BB59" s="1635">
        <v>0.5</v>
      </c>
      <c r="BC59" s="1634">
        <v>0.5</v>
      </c>
      <c r="BD59" s="1634">
        <v>0.5</v>
      </c>
      <c r="BE59" s="1636"/>
      <c r="BF59" s="1634"/>
      <c r="BG59" s="1634"/>
      <c r="BI59" s="1645" t="s">
        <v>1447</v>
      </c>
      <c r="BJ59" s="1691" t="s">
        <v>311</v>
      </c>
      <c r="BK59" s="2061" t="s">
        <v>1448</v>
      </c>
      <c r="BL59" s="1634">
        <v>0.5</v>
      </c>
      <c r="BM59" s="1634">
        <v>0.5</v>
      </c>
      <c r="BN59" s="1634">
        <v>0.5</v>
      </c>
      <c r="BO59" s="1634">
        <v>0.5</v>
      </c>
      <c r="BP59" s="1634"/>
      <c r="BQ59" s="1634"/>
      <c r="BR59" s="1634"/>
      <c r="BS59" s="1635">
        <v>0.5</v>
      </c>
      <c r="BT59" s="1634">
        <v>0.5</v>
      </c>
      <c r="BU59" s="1634">
        <v>0.5</v>
      </c>
      <c r="BV59" s="1636"/>
      <c r="BW59" s="1634"/>
      <c r="BX59" s="1634"/>
    </row>
    <row r="60" spans="1:77" ht="13.5" customHeight="1">
      <c r="B60" s="1619" t="str">
        <f t="shared" si="31"/>
        <v>4.3.2</v>
      </c>
      <c r="C60" s="1612" t="str">
        <f t="shared" si="32"/>
        <v>喫煙の制御</v>
      </c>
      <c r="D60" s="1719" t="e">
        <f>IF(I$58&gt;0,G60/I$58,0)</f>
        <v>#DIV/0!</v>
      </c>
      <c r="E60" s="1689" t="e">
        <f>IF(J$58&gt;0,H60/J$58,0)</f>
        <v>#DIV/0!</v>
      </c>
      <c r="G60" s="1689" t="e">
        <f t="shared" si="36"/>
        <v>#DIV/0!</v>
      </c>
      <c r="H60" s="1689" t="e">
        <f t="shared" si="36"/>
        <v>#DIV/0!</v>
      </c>
      <c r="I60" s="1689"/>
      <c r="J60" s="1689"/>
      <c r="K60" s="1614">
        <f>IF(スコア表示!X60=0,0,1)</f>
        <v>1</v>
      </c>
      <c r="L60" s="1614">
        <f>IF(スコア表示!AB60=0,0,1)</f>
        <v>1</v>
      </c>
      <c r="N60" s="1706" t="e">
        <f>IF(P$58&gt;0,R60/P$58,0)</f>
        <v>#DIV/0!</v>
      </c>
      <c r="O60" s="1706" t="e">
        <f>IF(Q$58&gt;0,S60/Q$58,0)</f>
        <v>#DIV/0!</v>
      </c>
      <c r="P60" s="1614"/>
      <c r="Q60" s="1614"/>
      <c r="R60" s="1614" t="e">
        <f>IF(スコア入力!R60="EB",重み_対象外!D60,U60)</f>
        <v>#DIV/0!</v>
      </c>
      <c r="S60" s="1614" t="e">
        <f>IF(スコア入力!Y60="EB",重み_対象外!E60,V60)</f>
        <v>#DIV/0!</v>
      </c>
      <c r="T60" s="1558"/>
      <c r="U60" s="1612" t="e">
        <f>X$47*X$58*X60</f>
        <v>#DIV/0!</v>
      </c>
      <c r="V60" s="1612" t="e">
        <f>Y$47*Y$58*Y60</f>
        <v>#DIV/0!</v>
      </c>
      <c r="W60" s="1558"/>
      <c r="X60" s="1614" t="e">
        <f t="shared" si="18"/>
        <v>#DIV/0!</v>
      </c>
      <c r="Y60" s="1614" t="e">
        <f t="shared" si="21"/>
        <v>#DIV/0!</v>
      </c>
      <c r="Z60" s="1569"/>
      <c r="AA60" s="1611" t="str">
        <f t="shared" si="37"/>
        <v>4.3.2</v>
      </c>
      <c r="AB60" s="1611" t="str">
        <f t="shared" si="38"/>
        <v xml:space="preserve"> Q1 4.3</v>
      </c>
      <c r="AC60" s="1611" t="str">
        <f t="shared" si="39"/>
        <v>喫煙の制御</v>
      </c>
      <c r="AD60" s="1757">
        <f t="shared" si="40"/>
        <v>0.5</v>
      </c>
      <c r="AE60" s="1757">
        <f t="shared" si="41"/>
        <v>0.5</v>
      </c>
      <c r="AF60" s="1757">
        <f t="shared" si="42"/>
        <v>0.5</v>
      </c>
      <c r="AG60" s="1757">
        <f t="shared" si="43"/>
        <v>0.5</v>
      </c>
      <c r="AH60" s="1757">
        <f t="shared" si="44"/>
        <v>1</v>
      </c>
      <c r="AI60" s="1757">
        <f t="shared" si="45"/>
        <v>1</v>
      </c>
      <c r="AJ60" s="1757">
        <f t="shared" si="46"/>
        <v>0</v>
      </c>
      <c r="AK60" s="1759">
        <f t="shared" si="47"/>
        <v>0.5</v>
      </c>
      <c r="AL60" s="1757">
        <f t="shared" si="48"/>
        <v>0.5</v>
      </c>
      <c r="AM60" s="1757">
        <f t="shared" si="48"/>
        <v>0.5</v>
      </c>
      <c r="AN60" s="1758">
        <f t="shared" si="49"/>
        <v>0</v>
      </c>
      <c r="AO60" s="1757">
        <f t="shared" si="50"/>
        <v>0</v>
      </c>
      <c r="AP60" s="1757">
        <f t="shared" si="51"/>
        <v>0</v>
      </c>
      <c r="AQ60" s="1630"/>
      <c r="AR60" s="1645" t="s">
        <v>1449</v>
      </c>
      <c r="AS60" s="1691" t="s">
        <v>311</v>
      </c>
      <c r="AT60" s="2061" t="s">
        <v>1450</v>
      </c>
      <c r="AU60" s="1634">
        <v>0.5</v>
      </c>
      <c r="AV60" s="1634">
        <v>0.5</v>
      </c>
      <c r="AW60" s="1634">
        <v>0.5</v>
      </c>
      <c r="AX60" s="1634">
        <v>0.5</v>
      </c>
      <c r="AY60" s="1634">
        <v>1</v>
      </c>
      <c r="AZ60" s="1634">
        <v>1</v>
      </c>
      <c r="BA60" s="1634"/>
      <c r="BB60" s="1635">
        <v>0.5</v>
      </c>
      <c r="BC60" s="1634">
        <v>0.5</v>
      </c>
      <c r="BD60" s="1634">
        <v>0.5</v>
      </c>
      <c r="BE60" s="1636"/>
      <c r="BF60" s="1634"/>
      <c r="BG60" s="1634"/>
      <c r="BI60" s="1645" t="s">
        <v>1449</v>
      </c>
      <c r="BJ60" s="1691" t="s">
        <v>311</v>
      </c>
      <c r="BK60" s="2061" t="s">
        <v>1450</v>
      </c>
      <c r="BL60" s="1634">
        <v>0.5</v>
      </c>
      <c r="BM60" s="1634">
        <v>0.5</v>
      </c>
      <c r="BN60" s="1634">
        <v>0.5</v>
      </c>
      <c r="BO60" s="1634">
        <v>0.5</v>
      </c>
      <c r="BP60" s="1634">
        <v>1</v>
      </c>
      <c r="BQ60" s="1634">
        <v>1</v>
      </c>
      <c r="BR60" s="1634"/>
      <c r="BS60" s="1635">
        <v>0.5</v>
      </c>
      <c r="BT60" s="1634">
        <v>0.5</v>
      </c>
      <c r="BU60" s="1634">
        <v>0.5</v>
      </c>
      <c r="BV60" s="1636"/>
      <c r="BW60" s="1634"/>
      <c r="BX60" s="1634"/>
    </row>
    <row r="61" spans="1:77" s="1603" customFormat="1" ht="13.5" customHeight="1">
      <c r="A61"/>
      <c r="B61" s="1600" t="str">
        <f t="shared" si="31"/>
        <v>Q2</v>
      </c>
      <c r="C61" s="1595" t="str">
        <f t="shared" si="32"/>
        <v>サービス性能</v>
      </c>
      <c r="D61" s="2053" t="e">
        <f>IF(I$8=0,0,G61/I$8)</f>
        <v>#DIV/0!</v>
      </c>
      <c r="E61" s="2054" t="e">
        <f>IF(J$8=0,0,H61/J$8)</f>
        <v>#DIV/0!</v>
      </c>
      <c r="F61"/>
      <c r="G61" s="2054" t="e">
        <f t="shared" si="36"/>
        <v>#DIV/0!</v>
      </c>
      <c r="H61" s="2054" t="e">
        <f t="shared" si="36"/>
        <v>#DIV/0!</v>
      </c>
      <c r="I61" s="2054" t="e">
        <f>G62+G75+G97</f>
        <v>#DIV/0!</v>
      </c>
      <c r="J61" s="2054" t="e">
        <f>H62+H75+H97</f>
        <v>#DIV/0!</v>
      </c>
      <c r="K61" s="1598" t="e">
        <f>IF(スコア表示!X61=0,0,1)</f>
        <v>#DIV/0!</v>
      </c>
      <c r="L61" s="1598">
        <f>IF(スコア表示!AB61=0,0,1)</f>
        <v>0</v>
      </c>
      <c r="M61"/>
      <c r="N61" s="1704" t="e">
        <f>IF(P$8=0,0,R61/P$8)</f>
        <v>#DIV/0!</v>
      </c>
      <c r="O61" s="1704" t="e">
        <f>IF(Q$8=0,0,S61/Q$8)</f>
        <v>#DIV/0!</v>
      </c>
      <c r="P61" s="1598" t="e">
        <f>R62+R75+R97</f>
        <v>#DIV/0!</v>
      </c>
      <c r="Q61" s="1598" t="e">
        <f>S62+S75+S97</f>
        <v>#DIV/0!</v>
      </c>
      <c r="R61" s="1598" t="e">
        <f>IF(スコア入力!R61="EB",重み_対象外!D61,U61)</f>
        <v>#DIV/0!</v>
      </c>
      <c r="S61" s="1598" t="e">
        <f>IF(スコア入力!Y61="EB",重み_対象外!E61,V61)</f>
        <v>#DIV/0!</v>
      </c>
      <c r="T61" s="1558"/>
      <c r="U61" s="1751" t="e">
        <f>X61</f>
        <v>#DIV/0!</v>
      </c>
      <c r="V61" s="1751" t="e">
        <f>Y61</f>
        <v>#DIV/0!</v>
      </c>
      <c r="W61" s="1558"/>
      <c r="X61" s="1598" t="e">
        <f t="shared" si="18"/>
        <v>#DIV/0!</v>
      </c>
      <c r="Y61" s="1598" t="e">
        <f t="shared" si="21"/>
        <v>#DIV/0!</v>
      </c>
      <c r="Z61" s="1638"/>
      <c r="AA61" s="1600" t="str">
        <f t="shared" si="37"/>
        <v>Q2</v>
      </c>
      <c r="AB61" s="1600" t="str">
        <f t="shared" si="38"/>
        <v xml:space="preserve"> Q</v>
      </c>
      <c r="AC61" s="1600" t="str">
        <f t="shared" si="39"/>
        <v>サービス性能</v>
      </c>
      <c r="AD61" s="1752">
        <f t="shared" si="40"/>
        <v>0.3</v>
      </c>
      <c r="AE61" s="1752">
        <f t="shared" si="41"/>
        <v>0.3</v>
      </c>
      <c r="AF61" s="1752">
        <f t="shared" si="42"/>
        <v>0.3</v>
      </c>
      <c r="AG61" s="1752">
        <f t="shared" si="43"/>
        <v>0.3</v>
      </c>
      <c r="AH61" s="1752">
        <f t="shared" si="44"/>
        <v>0.3</v>
      </c>
      <c r="AI61" s="1752">
        <f t="shared" si="45"/>
        <v>0.3</v>
      </c>
      <c r="AJ61" s="1752">
        <f t="shared" si="46"/>
        <v>0.3</v>
      </c>
      <c r="AK61" s="1752">
        <f t="shared" si="47"/>
        <v>0.3</v>
      </c>
      <c r="AL61" s="1752">
        <f t="shared" si="48"/>
        <v>0.3</v>
      </c>
      <c r="AM61" s="1752">
        <f t="shared" si="48"/>
        <v>0.3</v>
      </c>
      <c r="AN61" s="1753">
        <f t="shared" si="49"/>
        <v>0</v>
      </c>
      <c r="AO61" s="1752">
        <f t="shared" si="50"/>
        <v>0</v>
      </c>
      <c r="AP61" s="1752">
        <f t="shared" si="51"/>
        <v>0</v>
      </c>
      <c r="AQ61" s="1602"/>
      <c r="AR61" s="1595" t="s">
        <v>1451</v>
      </c>
      <c r="AS61" s="2056" t="s">
        <v>270</v>
      </c>
      <c r="AT61" s="2055" t="s">
        <v>1452</v>
      </c>
      <c r="AU61" s="2057">
        <v>0.3</v>
      </c>
      <c r="AV61" s="2057">
        <v>0.3</v>
      </c>
      <c r="AW61" s="2057">
        <v>0.3</v>
      </c>
      <c r="AX61" s="2057">
        <v>0.3</v>
      </c>
      <c r="AY61" s="2057">
        <v>0.3</v>
      </c>
      <c r="AZ61" s="2057">
        <v>0.3</v>
      </c>
      <c r="BA61" s="2057">
        <v>0.3</v>
      </c>
      <c r="BB61" s="2057">
        <v>0.3</v>
      </c>
      <c r="BC61" s="2057">
        <v>0.3</v>
      </c>
      <c r="BD61" s="2057">
        <v>0.3</v>
      </c>
      <c r="BE61" s="2058"/>
      <c r="BF61" s="2057"/>
      <c r="BG61" s="2057"/>
      <c r="BH61"/>
      <c r="BI61" s="1595" t="s">
        <v>1451</v>
      </c>
      <c r="BJ61" s="2056" t="s">
        <v>270</v>
      </c>
      <c r="BK61" s="2055" t="s">
        <v>1452</v>
      </c>
      <c r="BL61" s="2057">
        <v>0.3</v>
      </c>
      <c r="BM61" s="2057">
        <v>0.3</v>
      </c>
      <c r="BN61" s="2057">
        <v>0.3</v>
      </c>
      <c r="BO61" s="2057">
        <v>0.3</v>
      </c>
      <c r="BP61" s="2057">
        <v>0.3</v>
      </c>
      <c r="BQ61" s="2057">
        <v>0.3</v>
      </c>
      <c r="BR61" s="2057">
        <v>0.3</v>
      </c>
      <c r="BS61" s="2057">
        <v>0.3</v>
      </c>
      <c r="BT61" s="2057">
        <v>0.3</v>
      </c>
      <c r="BU61" s="2057">
        <v>0.3</v>
      </c>
      <c r="BV61" s="2058"/>
      <c r="BW61" s="2057"/>
      <c r="BX61" s="2057"/>
      <c r="BY61"/>
    </row>
    <row r="62" spans="1:77" s="1603" customFormat="1" ht="13.5" customHeight="1">
      <c r="A62"/>
      <c r="B62" s="1604">
        <f t="shared" si="31"/>
        <v>1</v>
      </c>
      <c r="C62" s="1639" t="str">
        <f t="shared" si="32"/>
        <v>機能性</v>
      </c>
      <c r="D62" s="2059" t="e">
        <f>IF(I$61=0,0,G62/I$61)</f>
        <v>#DIV/0!</v>
      </c>
      <c r="E62" s="1741" t="e">
        <f>IF(J$61=0,0,H62/J$61)</f>
        <v>#DIV/0!</v>
      </c>
      <c r="F62"/>
      <c r="G62" s="1741" t="e">
        <f t="shared" si="36"/>
        <v>#DIV/0!</v>
      </c>
      <c r="H62" s="1741" t="e">
        <f t="shared" si="36"/>
        <v>#DIV/0!</v>
      </c>
      <c r="I62" s="1741" t="e">
        <f>G63+G67+G71</f>
        <v>#DIV/0!</v>
      </c>
      <c r="J62" s="1741" t="e">
        <f>H63+H67+H71</f>
        <v>#DIV/0!</v>
      </c>
      <c r="K62" s="1607" t="e">
        <f>IF(スコア表示!X62=0,0,1)</f>
        <v>#DIV/0!</v>
      </c>
      <c r="L62" s="1607" t="e">
        <f>IF(スコア表示!AB62=0,0,1)</f>
        <v>#DIV/0!</v>
      </c>
      <c r="M62"/>
      <c r="N62" s="1705" t="e">
        <f>IF(P$61=0,0,R62/P$61)</f>
        <v>#DIV/0!</v>
      </c>
      <c r="O62" s="1705" t="e">
        <f>IF(Q$61=0,0,S62/Q$61)</f>
        <v>#DIV/0!</v>
      </c>
      <c r="P62" s="1708" t="e">
        <f>SUM(R63:R74)</f>
        <v>#DIV/0!</v>
      </c>
      <c r="Q62" s="1708" t="e">
        <f>SUM(S63:S74)</f>
        <v>#DIV/0!</v>
      </c>
      <c r="R62" s="1607" t="e">
        <f>IF(スコア入力!R62="EB",重み_対象外!D62,U62)</f>
        <v>#DIV/0!</v>
      </c>
      <c r="S62" s="1607" t="e">
        <f>IF(スコア入力!Y62="EB",重み_対象外!E62,V62)</f>
        <v>#DIV/0!</v>
      </c>
      <c r="T62" s="1558"/>
      <c r="U62" s="1605" t="e">
        <f>SUM(U63:U74)</f>
        <v>#DIV/0!</v>
      </c>
      <c r="V62" s="1605" t="e">
        <f>SUM(V63:V70)</f>
        <v>#DIV/0!</v>
      </c>
      <c r="W62" s="1558"/>
      <c r="X62" s="1607" t="e">
        <f t="shared" si="18"/>
        <v>#DIV/0!</v>
      </c>
      <c r="Y62" s="1607">
        <v>1</v>
      </c>
      <c r="Z62" s="1640"/>
      <c r="AA62" s="1604">
        <f t="shared" si="37"/>
        <v>1</v>
      </c>
      <c r="AB62" s="1604" t="str">
        <f t="shared" si="38"/>
        <v xml:space="preserve"> Q2</v>
      </c>
      <c r="AC62" s="1604" t="str">
        <f t="shared" si="39"/>
        <v>機能性</v>
      </c>
      <c r="AD62" s="1763">
        <f t="shared" si="40"/>
        <v>0.4</v>
      </c>
      <c r="AE62" s="1763">
        <f t="shared" si="41"/>
        <v>0.4</v>
      </c>
      <c r="AF62" s="1763">
        <f t="shared" si="42"/>
        <v>0.4</v>
      </c>
      <c r="AG62" s="1763">
        <f t="shared" si="43"/>
        <v>0.4</v>
      </c>
      <c r="AH62" s="1763">
        <f t="shared" si="44"/>
        <v>0.4</v>
      </c>
      <c r="AI62" s="1763">
        <f t="shared" si="45"/>
        <v>0.4</v>
      </c>
      <c r="AJ62" s="1763">
        <f t="shared" si="46"/>
        <v>0.4</v>
      </c>
      <c r="AK62" s="1760">
        <f t="shared" si="47"/>
        <v>0.4</v>
      </c>
      <c r="AL62" s="1763">
        <f t="shared" si="48"/>
        <v>0.4</v>
      </c>
      <c r="AM62" s="1763">
        <f t="shared" si="48"/>
        <v>0.4</v>
      </c>
      <c r="AN62" s="1764">
        <f t="shared" si="49"/>
        <v>0</v>
      </c>
      <c r="AO62" s="1763">
        <f t="shared" si="50"/>
        <v>0</v>
      </c>
      <c r="AP62" s="1763">
        <f t="shared" si="51"/>
        <v>0</v>
      </c>
      <c r="AQ62" s="1610"/>
      <c r="AR62" s="1639">
        <v>1</v>
      </c>
      <c r="AS62" s="1742" t="s">
        <v>312</v>
      </c>
      <c r="AT62" s="1778" t="s">
        <v>313</v>
      </c>
      <c r="AU62" s="2076">
        <v>0.4</v>
      </c>
      <c r="AV62" s="2076">
        <v>0.4</v>
      </c>
      <c r="AW62" s="2076">
        <v>0.4</v>
      </c>
      <c r="AX62" s="2076">
        <v>0.4</v>
      </c>
      <c r="AY62" s="2076">
        <v>0.4</v>
      </c>
      <c r="AZ62" s="2076">
        <v>0.4</v>
      </c>
      <c r="BA62" s="2076">
        <v>0.4</v>
      </c>
      <c r="BB62" s="2078">
        <v>0.4</v>
      </c>
      <c r="BC62" s="2076">
        <v>0.4</v>
      </c>
      <c r="BD62" s="2076">
        <v>0.4</v>
      </c>
      <c r="BE62" s="2077"/>
      <c r="BF62" s="2076"/>
      <c r="BG62" s="2076"/>
      <c r="BH62"/>
      <c r="BI62" s="1639">
        <v>1</v>
      </c>
      <c r="BJ62" s="1742" t="s">
        <v>312</v>
      </c>
      <c r="BK62" s="1778" t="s">
        <v>313</v>
      </c>
      <c r="BL62" s="2076">
        <v>0.4</v>
      </c>
      <c r="BM62" s="2076">
        <v>0.4</v>
      </c>
      <c r="BN62" s="2076">
        <v>0.4</v>
      </c>
      <c r="BO62" s="2076">
        <v>0.4</v>
      </c>
      <c r="BP62" s="2076">
        <v>0.4</v>
      </c>
      <c r="BQ62" s="2076">
        <v>0.4</v>
      </c>
      <c r="BR62" s="2076">
        <v>0.4</v>
      </c>
      <c r="BS62" s="2078">
        <v>0.4</v>
      </c>
      <c r="BT62" s="2076">
        <v>0.4</v>
      </c>
      <c r="BU62" s="2076">
        <v>0.4</v>
      </c>
      <c r="BV62" s="2077"/>
      <c r="BW62" s="2076"/>
      <c r="BX62" s="2076"/>
      <c r="BY62"/>
    </row>
    <row r="63" spans="1:77" ht="13.5" customHeight="1">
      <c r="B63" s="1619">
        <f t="shared" si="31"/>
        <v>1.1000000000000001</v>
      </c>
      <c r="C63" s="1612" t="str">
        <f t="shared" si="32"/>
        <v>機能性・使いやすさ</v>
      </c>
      <c r="D63" s="1714" t="e">
        <f>IF(I$62=0,0,G63/I$62)</f>
        <v>#DIV/0!</v>
      </c>
      <c r="E63" s="1689" t="e">
        <f>IF(J$62=0,0,H63/J$62)</f>
        <v>#DIV/0!</v>
      </c>
      <c r="G63" s="1689" t="e">
        <f t="shared" si="36"/>
        <v>#DIV/0!</v>
      </c>
      <c r="H63" s="1689" t="e">
        <f t="shared" si="36"/>
        <v>#DIV/0!</v>
      </c>
      <c r="I63" s="1689" t="e">
        <f>SUM(G64:G66)</f>
        <v>#DIV/0!</v>
      </c>
      <c r="J63" s="1689" t="e">
        <f>SUM(H64:H66)</f>
        <v>#DIV/0!</v>
      </c>
      <c r="K63" s="1614" t="e">
        <f>IF(スコア表示!X63=0,0,1)</f>
        <v>#DIV/0!</v>
      </c>
      <c r="L63" s="1614" t="e">
        <f>IF(スコア表示!AB63=0,0,1)</f>
        <v>#DIV/0!</v>
      </c>
      <c r="N63" s="1711" t="e">
        <f>IF(P$62=0,0,P63/P$62)</f>
        <v>#DIV/0!</v>
      </c>
      <c r="O63" s="1711" t="e">
        <f>IF(Q$62=0,0,Q63/Q$62)</f>
        <v>#DIV/0!</v>
      </c>
      <c r="P63" s="1614" t="e">
        <f>SUM(R64:R66)</f>
        <v>#DIV/0!</v>
      </c>
      <c r="Q63" s="1614" t="e">
        <f>SUM(S64:S66)</f>
        <v>#DIV/0!</v>
      </c>
      <c r="R63" s="1614">
        <f>IF(スコア入力!R63="EB",重み_対象外!D63,U63)</f>
        <v>0</v>
      </c>
      <c r="S63" s="1614">
        <f>IF(スコア入力!Y63="EB",重み_対象外!E63,V63)</f>
        <v>0</v>
      </c>
      <c r="T63" s="1558"/>
      <c r="U63" s="1612"/>
      <c r="V63" s="1612"/>
      <c r="W63" s="1558"/>
      <c r="X63" s="1614" t="e">
        <f t="shared" si="18"/>
        <v>#DIV/0!</v>
      </c>
      <c r="Y63" s="1614" t="e">
        <f t="shared" si="21"/>
        <v>#DIV/0!</v>
      </c>
      <c r="Z63" s="1642"/>
      <c r="AA63" s="1611">
        <f t="shared" si="37"/>
        <v>1.1000000000000001</v>
      </c>
      <c r="AB63" s="1611" t="str">
        <f t="shared" si="38"/>
        <v xml:space="preserve"> Q2 1</v>
      </c>
      <c r="AC63" s="1611" t="str">
        <f t="shared" si="39"/>
        <v>機能性・使いやすさ</v>
      </c>
      <c r="AD63" s="1757">
        <f t="shared" si="40"/>
        <v>0.4</v>
      </c>
      <c r="AE63" s="1757">
        <f t="shared" si="41"/>
        <v>0.4</v>
      </c>
      <c r="AF63" s="1757">
        <f t="shared" si="42"/>
        <v>0.4</v>
      </c>
      <c r="AG63" s="1757">
        <f t="shared" si="43"/>
        <v>0.4</v>
      </c>
      <c r="AH63" s="1757">
        <f t="shared" si="44"/>
        <v>0.4</v>
      </c>
      <c r="AI63" s="1757">
        <f t="shared" si="45"/>
        <v>0.4</v>
      </c>
      <c r="AJ63" s="1757">
        <f t="shared" si="46"/>
        <v>0.4</v>
      </c>
      <c r="AK63" s="1761">
        <f t="shared" si="47"/>
        <v>0.4</v>
      </c>
      <c r="AL63" s="1757">
        <f t="shared" si="48"/>
        <v>0.4</v>
      </c>
      <c r="AM63" s="1757">
        <f t="shared" si="48"/>
        <v>0.4</v>
      </c>
      <c r="AN63" s="1758">
        <f t="shared" si="49"/>
        <v>0.6</v>
      </c>
      <c r="AO63" s="1757">
        <f t="shared" si="50"/>
        <v>0.6</v>
      </c>
      <c r="AP63" s="1757">
        <f t="shared" si="51"/>
        <v>0.6</v>
      </c>
      <c r="AQ63" s="1618"/>
      <c r="AR63" s="1645">
        <v>1.1000000000000001</v>
      </c>
      <c r="AS63" s="1691" t="s">
        <v>314</v>
      </c>
      <c r="AT63" s="2061" t="s">
        <v>411</v>
      </c>
      <c r="AU63" s="1621">
        <v>0.4</v>
      </c>
      <c r="AV63" s="1621">
        <v>0.4</v>
      </c>
      <c r="AW63" s="1621">
        <v>0.4</v>
      </c>
      <c r="AX63" s="1621">
        <v>0.4</v>
      </c>
      <c r="AY63" s="1621">
        <v>0.4</v>
      </c>
      <c r="AZ63" s="1621">
        <v>0.4</v>
      </c>
      <c r="BA63" s="1621">
        <v>0.4</v>
      </c>
      <c r="BB63" s="1622">
        <v>0.4</v>
      </c>
      <c r="BC63" s="1621">
        <v>0.4</v>
      </c>
      <c r="BD63" s="1621">
        <v>0.4</v>
      </c>
      <c r="BE63" s="1621">
        <v>0.6</v>
      </c>
      <c r="BF63" s="1621">
        <v>0.6</v>
      </c>
      <c r="BG63" s="1621">
        <v>0.6</v>
      </c>
      <c r="BI63" s="1645">
        <v>1.1000000000000001</v>
      </c>
      <c r="BJ63" s="1691" t="s">
        <v>314</v>
      </c>
      <c r="BK63" s="2061" t="s">
        <v>411</v>
      </c>
      <c r="BL63" s="1621">
        <v>0.4</v>
      </c>
      <c r="BM63" s="1621">
        <v>0.4</v>
      </c>
      <c r="BN63" s="1621">
        <v>0.4</v>
      </c>
      <c r="BO63" s="1621">
        <v>0.4</v>
      </c>
      <c r="BP63" s="1621">
        <v>0.4</v>
      </c>
      <c r="BQ63" s="1621">
        <v>0.4</v>
      </c>
      <c r="BR63" s="1621">
        <v>0.4</v>
      </c>
      <c r="BS63" s="1622">
        <v>0.4</v>
      </c>
      <c r="BT63" s="1621">
        <v>0.4</v>
      </c>
      <c r="BU63" s="1621">
        <v>0.4</v>
      </c>
      <c r="BV63" s="1621">
        <v>0.6</v>
      </c>
      <c r="BW63" s="1621">
        <v>0.6</v>
      </c>
      <c r="BX63" s="1621">
        <v>0.6</v>
      </c>
    </row>
    <row r="64" spans="1:77" ht="13.5" customHeight="1">
      <c r="B64" s="1619" t="str">
        <f t="shared" si="31"/>
        <v>1.1.1</v>
      </c>
      <c r="C64" s="1612" t="str">
        <f t="shared" si="32"/>
        <v>広さ・収納性</v>
      </c>
      <c r="D64" s="1719" t="e">
        <f t="shared" ref="D64:E66" si="61">IF(I$63&gt;0,G64/I$63,0)</f>
        <v>#DIV/0!</v>
      </c>
      <c r="E64" s="1689" t="e">
        <f t="shared" si="61"/>
        <v>#DIV/0!</v>
      </c>
      <c r="G64" s="1689" t="e">
        <f t="shared" si="36"/>
        <v>#DIV/0!</v>
      </c>
      <c r="H64" s="1689" t="e">
        <f t="shared" si="36"/>
        <v>#DIV/0!</v>
      </c>
      <c r="I64" s="1689"/>
      <c r="J64" s="1689"/>
      <c r="K64" s="1614">
        <f>IF(スコア表示!X64=0,0,1)</f>
        <v>1</v>
      </c>
      <c r="L64" s="1614">
        <f>IF(スコア表示!AB64=0,0,1)</f>
        <v>1</v>
      </c>
      <c r="N64" s="1706" t="e">
        <f t="shared" ref="N64:O66" si="62">IF(P$63&gt;0,R64/P$63,0)</f>
        <v>#DIV/0!</v>
      </c>
      <c r="O64" s="1706" t="e">
        <f t="shared" si="62"/>
        <v>#DIV/0!</v>
      </c>
      <c r="P64" s="1614"/>
      <c r="Q64" s="1614"/>
      <c r="R64" s="1614" t="e">
        <f>IF(スコア入力!R64="EB",重み_対象外!D64,U64)</f>
        <v>#DIV/0!</v>
      </c>
      <c r="S64" s="1614" t="e">
        <f>IF(スコア入力!Y64="EB",重み_対象外!E64,V64)</f>
        <v>#DIV/0!</v>
      </c>
      <c r="T64" s="1558"/>
      <c r="U64" s="1612" t="e">
        <f t="shared" ref="U64:V66" si="63">X$62*X$63*X64</f>
        <v>#DIV/0!</v>
      </c>
      <c r="V64" s="1612" t="e">
        <f t="shared" si="63"/>
        <v>#DIV/0!</v>
      </c>
      <c r="W64" s="1558"/>
      <c r="X64" s="1614" t="e">
        <f t="shared" si="18"/>
        <v>#DIV/0!</v>
      </c>
      <c r="Y64" s="1614" t="e">
        <f t="shared" si="21"/>
        <v>#DIV/0!</v>
      </c>
      <c r="Z64" s="1643"/>
      <c r="AA64" s="1611" t="str">
        <f t="shared" si="37"/>
        <v>1.1.1</v>
      </c>
      <c r="AB64" s="1611" t="str">
        <f t="shared" si="38"/>
        <v xml:space="preserve"> Q2 1.1</v>
      </c>
      <c r="AC64" s="1611" t="str">
        <f t="shared" si="39"/>
        <v>広さ・収納性</v>
      </c>
      <c r="AD64" s="1757">
        <f t="shared" si="40"/>
        <v>0.33333333333333331</v>
      </c>
      <c r="AE64" s="1757">
        <f t="shared" si="41"/>
        <v>0</v>
      </c>
      <c r="AF64" s="1757">
        <f t="shared" si="42"/>
        <v>0</v>
      </c>
      <c r="AG64" s="1757">
        <f t="shared" si="43"/>
        <v>0</v>
      </c>
      <c r="AH64" s="1757">
        <f t="shared" si="44"/>
        <v>0</v>
      </c>
      <c r="AI64" s="1757">
        <f t="shared" si="45"/>
        <v>0</v>
      </c>
      <c r="AJ64" s="1757">
        <f t="shared" si="46"/>
        <v>0</v>
      </c>
      <c r="AK64" s="1761">
        <f t="shared" si="47"/>
        <v>0</v>
      </c>
      <c r="AL64" s="1757">
        <f t="shared" si="48"/>
        <v>0.33333333333333331</v>
      </c>
      <c r="AM64" s="1757">
        <f t="shared" si="48"/>
        <v>0</v>
      </c>
      <c r="AN64" s="1617">
        <f t="shared" si="49"/>
        <v>1</v>
      </c>
      <c r="AO64" s="1616">
        <f t="shared" si="50"/>
        <v>0.5</v>
      </c>
      <c r="AP64" s="1616">
        <f t="shared" si="51"/>
        <v>0</v>
      </c>
      <c r="AQ64" s="1630"/>
      <c r="AR64" s="1645" t="s">
        <v>1453</v>
      </c>
      <c r="AS64" s="1691" t="s">
        <v>315</v>
      </c>
      <c r="AT64" s="2061" t="s">
        <v>316</v>
      </c>
      <c r="AU64" s="1621">
        <v>0.33333333333333331</v>
      </c>
      <c r="AV64" s="1621"/>
      <c r="AW64" s="1621"/>
      <c r="AX64" s="1621"/>
      <c r="AY64" s="1621"/>
      <c r="AZ64" s="1621"/>
      <c r="BA64" s="1621"/>
      <c r="BB64" s="1622"/>
      <c r="BC64" s="1621">
        <v>0.33333333333333331</v>
      </c>
      <c r="BD64" s="1621"/>
      <c r="BE64" s="1623">
        <v>1</v>
      </c>
      <c r="BF64" s="1621">
        <v>0.5</v>
      </c>
      <c r="BG64" s="1621"/>
      <c r="BI64" s="1645" t="s">
        <v>1453</v>
      </c>
      <c r="BJ64" s="1691" t="s">
        <v>315</v>
      </c>
      <c r="BK64" s="2061" t="s">
        <v>316</v>
      </c>
      <c r="BL64" s="1621">
        <v>0.33333333333333331</v>
      </c>
      <c r="BM64" s="1621"/>
      <c r="BN64" s="1621"/>
      <c r="BO64" s="1621"/>
      <c r="BP64" s="1621"/>
      <c r="BQ64" s="1621"/>
      <c r="BR64" s="1621"/>
      <c r="BS64" s="1622"/>
      <c r="BT64" s="1621">
        <v>0.33333333333333331</v>
      </c>
      <c r="BU64" s="1621"/>
      <c r="BV64" s="1623">
        <v>1</v>
      </c>
      <c r="BW64" s="1621">
        <v>0.5</v>
      </c>
      <c r="BX64" s="1621"/>
    </row>
    <row r="65" spans="1:77" ht="13.5" customHeight="1">
      <c r="B65" s="1619" t="str">
        <f t="shared" si="31"/>
        <v>1.1.2</v>
      </c>
      <c r="C65" s="1612" t="str">
        <f t="shared" si="32"/>
        <v>高度情報通信設備対応</v>
      </c>
      <c r="D65" s="1719" t="e">
        <f t="shared" si="61"/>
        <v>#DIV/0!</v>
      </c>
      <c r="E65" s="1689" t="e">
        <f t="shared" si="61"/>
        <v>#DIV/0!</v>
      </c>
      <c r="G65" s="1689" t="e">
        <f t="shared" si="36"/>
        <v>#DIV/0!</v>
      </c>
      <c r="H65" s="1689" t="e">
        <f t="shared" si="36"/>
        <v>#DIV/0!</v>
      </c>
      <c r="I65" s="1689"/>
      <c r="J65" s="1689"/>
      <c r="K65" s="1614">
        <f>IF(スコア表示!X65=0,0,1)</f>
        <v>1</v>
      </c>
      <c r="L65" s="1614">
        <f>IF(スコア表示!AB65=0,0,1)</f>
        <v>0</v>
      </c>
      <c r="N65" s="1706" t="e">
        <f t="shared" si="62"/>
        <v>#DIV/0!</v>
      </c>
      <c r="O65" s="1706" t="e">
        <f t="shared" si="62"/>
        <v>#DIV/0!</v>
      </c>
      <c r="P65" s="1614"/>
      <c r="Q65" s="1614"/>
      <c r="R65" s="1614" t="e">
        <f>IF(スコア入力!R65="EB",重み_対象外!D65,U65)</f>
        <v>#DIV/0!</v>
      </c>
      <c r="S65" s="1614" t="e">
        <f>IF(スコア入力!Y65="EB",重み_対象外!E65,V65)</f>
        <v>#DIV/0!</v>
      </c>
      <c r="T65" s="1558"/>
      <c r="U65" s="1612" t="e">
        <f t="shared" si="63"/>
        <v>#DIV/0!</v>
      </c>
      <c r="V65" s="1612" t="e">
        <f t="shared" si="63"/>
        <v>#DIV/0!</v>
      </c>
      <c r="W65" s="1558"/>
      <c r="X65" s="1614" t="e">
        <f t="shared" si="18"/>
        <v>#DIV/0!</v>
      </c>
      <c r="Y65" s="1614" t="e">
        <f t="shared" si="21"/>
        <v>#DIV/0!</v>
      </c>
      <c r="Z65" s="1643"/>
      <c r="AA65" s="1611" t="str">
        <f t="shared" si="37"/>
        <v>1.1.2</v>
      </c>
      <c r="AB65" s="1611" t="str">
        <f t="shared" si="38"/>
        <v xml:space="preserve"> Q2 1.1</v>
      </c>
      <c r="AC65" s="1611" t="str">
        <f t="shared" si="39"/>
        <v>高度情報通信設備対応</v>
      </c>
      <c r="AD65" s="1757">
        <f t="shared" si="40"/>
        <v>0.33333333333333331</v>
      </c>
      <c r="AE65" s="1757">
        <f t="shared" si="41"/>
        <v>0</v>
      </c>
      <c r="AF65" s="1757">
        <f t="shared" si="42"/>
        <v>0</v>
      </c>
      <c r="AG65" s="1757">
        <f t="shared" si="43"/>
        <v>0</v>
      </c>
      <c r="AH65" s="1757">
        <f t="shared" si="44"/>
        <v>0</v>
      </c>
      <c r="AI65" s="1757">
        <f t="shared" si="45"/>
        <v>0</v>
      </c>
      <c r="AJ65" s="1757">
        <f t="shared" si="46"/>
        <v>0</v>
      </c>
      <c r="AK65" s="1761">
        <f t="shared" si="47"/>
        <v>0</v>
      </c>
      <c r="AL65" s="1757">
        <f t="shared" si="48"/>
        <v>0.33333333333333331</v>
      </c>
      <c r="AM65" s="1757">
        <f t="shared" si="48"/>
        <v>0</v>
      </c>
      <c r="AN65" s="1617">
        <f t="shared" si="49"/>
        <v>0</v>
      </c>
      <c r="AO65" s="1616">
        <f t="shared" si="50"/>
        <v>0.5</v>
      </c>
      <c r="AP65" s="1616">
        <f t="shared" si="51"/>
        <v>1</v>
      </c>
      <c r="AQ65" s="1630"/>
      <c r="AR65" s="1645" t="s">
        <v>1454</v>
      </c>
      <c r="AS65" s="1691" t="s">
        <v>315</v>
      </c>
      <c r="AT65" s="2061" t="s">
        <v>1455</v>
      </c>
      <c r="AU65" s="1621">
        <v>0.33333333333333331</v>
      </c>
      <c r="AV65" s="1621"/>
      <c r="AW65" s="1621"/>
      <c r="AX65" s="1621"/>
      <c r="AY65" s="1621"/>
      <c r="AZ65" s="1621"/>
      <c r="BA65" s="1621"/>
      <c r="BB65" s="1622"/>
      <c r="BC65" s="1621">
        <v>0.33333333333333331</v>
      </c>
      <c r="BD65" s="1621"/>
      <c r="BE65" s="1623"/>
      <c r="BF65" s="1621">
        <v>0.5</v>
      </c>
      <c r="BG65" s="1621">
        <v>1</v>
      </c>
      <c r="BI65" s="1645" t="s">
        <v>1454</v>
      </c>
      <c r="BJ65" s="1691" t="s">
        <v>315</v>
      </c>
      <c r="BK65" s="2061" t="s">
        <v>1455</v>
      </c>
      <c r="BL65" s="1621">
        <v>0.33333333333333331</v>
      </c>
      <c r="BM65" s="1621"/>
      <c r="BN65" s="1621"/>
      <c r="BO65" s="1621"/>
      <c r="BP65" s="1621"/>
      <c r="BQ65" s="1621"/>
      <c r="BR65" s="1621"/>
      <c r="BS65" s="1622"/>
      <c r="BT65" s="1621">
        <v>0.33333333333333331</v>
      </c>
      <c r="BU65" s="1621"/>
      <c r="BV65" s="1623"/>
      <c r="BW65" s="1621">
        <v>0.5</v>
      </c>
      <c r="BX65" s="1621">
        <v>1</v>
      </c>
    </row>
    <row r="66" spans="1:77" ht="13.5" customHeight="1">
      <c r="B66" s="1619" t="str">
        <f t="shared" si="31"/>
        <v>1.1.3</v>
      </c>
      <c r="C66" s="1612" t="str">
        <f t="shared" si="32"/>
        <v>バリアフリー計画</v>
      </c>
      <c r="D66" s="1719" t="e">
        <f t="shared" si="61"/>
        <v>#DIV/0!</v>
      </c>
      <c r="E66" s="1689" t="e">
        <f t="shared" si="61"/>
        <v>#DIV/0!</v>
      </c>
      <c r="G66" s="1689" t="e">
        <f t="shared" si="36"/>
        <v>#DIV/0!</v>
      </c>
      <c r="H66" s="1689" t="e">
        <f t="shared" si="36"/>
        <v>#DIV/0!</v>
      </c>
      <c r="I66" s="1689"/>
      <c r="J66" s="1689"/>
      <c r="K66" s="1614">
        <f>IF(スコア表示!X66=0,0,1)</f>
        <v>1</v>
      </c>
      <c r="L66" s="1614">
        <f>IF(スコア表示!AB66=0,0,1)</f>
        <v>0</v>
      </c>
      <c r="N66" s="1706" t="e">
        <f t="shared" si="62"/>
        <v>#DIV/0!</v>
      </c>
      <c r="O66" s="1706" t="e">
        <f t="shared" si="62"/>
        <v>#DIV/0!</v>
      </c>
      <c r="P66" s="1614"/>
      <c r="Q66" s="1614"/>
      <c r="R66" s="1614" t="e">
        <f>IF(スコア入力!R66="EB",重み_対象外!D66,U66)</f>
        <v>#DIV/0!</v>
      </c>
      <c r="S66" s="1614" t="e">
        <f>IF(スコア入力!Y66="EB",重み_対象外!E66,V66)</f>
        <v>#DIV/0!</v>
      </c>
      <c r="T66" s="1558"/>
      <c r="U66" s="1612" t="e">
        <f t="shared" si="63"/>
        <v>#DIV/0!</v>
      </c>
      <c r="V66" s="1612" t="e">
        <f t="shared" si="63"/>
        <v>#DIV/0!</v>
      </c>
      <c r="W66" s="1558"/>
      <c r="X66" s="1614" t="e">
        <f t="shared" si="18"/>
        <v>#DIV/0!</v>
      </c>
      <c r="Y66" s="1614" t="e">
        <f t="shared" si="21"/>
        <v>#DIV/0!</v>
      </c>
      <c r="Z66" s="1643"/>
      <c r="AA66" s="1611" t="str">
        <f t="shared" si="37"/>
        <v>1.1.3</v>
      </c>
      <c r="AB66" s="1611" t="str">
        <f t="shared" si="38"/>
        <v xml:space="preserve"> Q2 1.1</v>
      </c>
      <c r="AC66" s="1611" t="str">
        <f t="shared" si="39"/>
        <v>バリアフリー計画</v>
      </c>
      <c r="AD66" s="1757">
        <f t="shared" si="40"/>
        <v>0.33333333333333331</v>
      </c>
      <c r="AE66" s="1757">
        <f t="shared" si="41"/>
        <v>1</v>
      </c>
      <c r="AF66" s="1757">
        <f t="shared" si="42"/>
        <v>1</v>
      </c>
      <c r="AG66" s="1757">
        <f t="shared" si="43"/>
        <v>1</v>
      </c>
      <c r="AH66" s="1757">
        <f t="shared" si="44"/>
        <v>1</v>
      </c>
      <c r="AI66" s="1757">
        <f t="shared" si="45"/>
        <v>1</v>
      </c>
      <c r="AJ66" s="1757">
        <f t="shared" si="46"/>
        <v>1</v>
      </c>
      <c r="AK66" s="1761">
        <f t="shared" si="47"/>
        <v>1</v>
      </c>
      <c r="AL66" s="1757">
        <f t="shared" si="48"/>
        <v>0.33333333333333331</v>
      </c>
      <c r="AM66" s="1757">
        <f t="shared" si="48"/>
        <v>1</v>
      </c>
      <c r="AN66" s="1617">
        <f t="shared" si="49"/>
        <v>0</v>
      </c>
      <c r="AO66" s="1616">
        <f t="shared" si="50"/>
        <v>0</v>
      </c>
      <c r="AP66" s="1616">
        <f t="shared" si="51"/>
        <v>0</v>
      </c>
      <c r="AQ66" s="1630"/>
      <c r="AR66" s="1645" t="s">
        <v>1456</v>
      </c>
      <c r="AS66" s="1691" t="s">
        <v>315</v>
      </c>
      <c r="AT66" s="2061" t="s">
        <v>317</v>
      </c>
      <c r="AU66" s="1621">
        <v>0.33333333333333331</v>
      </c>
      <c r="AV66" s="1621">
        <v>1</v>
      </c>
      <c r="AW66" s="1621">
        <v>1</v>
      </c>
      <c r="AX66" s="1621">
        <v>1</v>
      </c>
      <c r="AY66" s="1621">
        <v>1</v>
      </c>
      <c r="AZ66" s="1621">
        <v>1</v>
      </c>
      <c r="BA66" s="1621">
        <v>1</v>
      </c>
      <c r="BB66" s="1622">
        <v>1</v>
      </c>
      <c r="BC66" s="1621">
        <v>0.33333333333333331</v>
      </c>
      <c r="BD66" s="1621">
        <v>1</v>
      </c>
      <c r="BE66" s="1623"/>
      <c r="BF66" s="1621"/>
      <c r="BG66" s="1621"/>
      <c r="BI66" s="1645" t="s">
        <v>1456</v>
      </c>
      <c r="BJ66" s="1691" t="s">
        <v>315</v>
      </c>
      <c r="BK66" s="2061" t="s">
        <v>317</v>
      </c>
      <c r="BL66" s="1621">
        <v>0.33333333333333331</v>
      </c>
      <c r="BM66" s="1621">
        <v>1</v>
      </c>
      <c r="BN66" s="1621">
        <v>1</v>
      </c>
      <c r="BO66" s="1621">
        <v>1</v>
      </c>
      <c r="BP66" s="1621">
        <v>1</v>
      </c>
      <c r="BQ66" s="1621">
        <v>1</v>
      </c>
      <c r="BR66" s="1621">
        <v>1</v>
      </c>
      <c r="BS66" s="1622">
        <v>1</v>
      </c>
      <c r="BT66" s="1621">
        <v>0.33333333333333331</v>
      </c>
      <c r="BU66" s="1621">
        <v>1</v>
      </c>
      <c r="BV66" s="1623"/>
      <c r="BW66" s="1621"/>
      <c r="BX66" s="1621"/>
    </row>
    <row r="67" spans="1:77" ht="13.5" customHeight="1">
      <c r="B67" s="1619">
        <f t="shared" si="31"/>
        <v>1.2</v>
      </c>
      <c r="C67" s="1612" t="str">
        <f t="shared" si="32"/>
        <v>心理性・快適性</v>
      </c>
      <c r="D67" s="1714" t="e">
        <f>IF(I$62=0,0,G67/I$62)</f>
        <v>#DIV/0!</v>
      </c>
      <c r="E67" s="1689" t="e">
        <f>IF(J$62=0,0,H67/J$62)</f>
        <v>#DIV/0!</v>
      </c>
      <c r="G67" s="1689" t="e">
        <f t="shared" si="36"/>
        <v>#DIV/0!</v>
      </c>
      <c r="H67" s="1689" t="e">
        <f t="shared" si="36"/>
        <v>#DIV/0!</v>
      </c>
      <c r="I67" s="1689" t="e">
        <f>G68+G69+G70</f>
        <v>#DIV/0!</v>
      </c>
      <c r="J67" s="1689" t="e">
        <f>H68+H69+H70</f>
        <v>#DIV/0!</v>
      </c>
      <c r="K67" s="1614" t="e">
        <f>IF(スコア表示!X67=0,0,1)</f>
        <v>#DIV/0!</v>
      </c>
      <c r="L67" s="1614" t="e">
        <f>IF(スコア表示!AB67=0,0,1)</f>
        <v>#DIV/0!</v>
      </c>
      <c r="N67" s="1711" t="e">
        <f>IF(P$62=0,0,P67/P$62)</f>
        <v>#DIV/0!</v>
      </c>
      <c r="O67" s="1711" t="e">
        <f>IF(Q$62=0,0,Q67/Q$62)</f>
        <v>#DIV/0!</v>
      </c>
      <c r="P67" s="1614" t="e">
        <f>R68+R69+R70</f>
        <v>#DIV/0!</v>
      </c>
      <c r="Q67" s="1614" t="e">
        <f>S68+S69+S70</f>
        <v>#DIV/0!</v>
      </c>
      <c r="R67" s="1614">
        <f>IF(スコア入力!R67="EB",重み_対象外!D67,U67)</f>
        <v>0</v>
      </c>
      <c r="S67" s="1614">
        <f>IF(スコア入力!Y67="EB",重み_対象外!E67,V67)</f>
        <v>0</v>
      </c>
      <c r="T67" s="1558"/>
      <c r="U67" s="1612"/>
      <c r="V67" s="1612"/>
      <c r="W67" s="1558"/>
      <c r="X67" s="1614" t="e">
        <f t="shared" si="18"/>
        <v>#DIV/0!</v>
      </c>
      <c r="Y67" s="1614" t="e">
        <f t="shared" si="21"/>
        <v>#DIV/0!</v>
      </c>
      <c r="Z67" s="1642"/>
      <c r="AA67" s="1611">
        <f t="shared" si="37"/>
        <v>1.2</v>
      </c>
      <c r="AB67" s="1611" t="str">
        <f t="shared" si="38"/>
        <v xml:space="preserve"> Q2 1</v>
      </c>
      <c r="AC67" s="1611" t="str">
        <f t="shared" si="39"/>
        <v>心理性・快適性</v>
      </c>
      <c r="AD67" s="1757">
        <f t="shared" si="40"/>
        <v>0.3</v>
      </c>
      <c r="AE67" s="1757">
        <f t="shared" si="41"/>
        <v>0.3</v>
      </c>
      <c r="AF67" s="1757">
        <f t="shared" si="42"/>
        <v>0.3</v>
      </c>
      <c r="AG67" s="1757">
        <f t="shared" si="43"/>
        <v>0.3</v>
      </c>
      <c r="AH67" s="1757">
        <f t="shared" si="44"/>
        <v>0.3</v>
      </c>
      <c r="AI67" s="1757">
        <f t="shared" si="45"/>
        <v>0.3</v>
      </c>
      <c r="AJ67" s="1757">
        <f t="shared" si="46"/>
        <v>0.3</v>
      </c>
      <c r="AK67" s="1761">
        <f t="shared" si="47"/>
        <v>0.3</v>
      </c>
      <c r="AL67" s="1757">
        <f t="shared" si="48"/>
        <v>0.3</v>
      </c>
      <c r="AM67" s="1757">
        <f t="shared" si="48"/>
        <v>0.3</v>
      </c>
      <c r="AN67" s="1617">
        <f t="shared" si="49"/>
        <v>0.4</v>
      </c>
      <c r="AO67" s="1616">
        <f t="shared" si="50"/>
        <v>0.4</v>
      </c>
      <c r="AP67" s="1616">
        <f t="shared" si="51"/>
        <v>0.4</v>
      </c>
      <c r="AQ67" s="1618"/>
      <c r="AR67" s="1645">
        <v>1.2</v>
      </c>
      <c r="AS67" s="1691" t="s">
        <v>314</v>
      </c>
      <c r="AT67" s="2061" t="s">
        <v>678</v>
      </c>
      <c r="AU67" s="1621">
        <v>0.3</v>
      </c>
      <c r="AV67" s="1621">
        <v>0.3</v>
      </c>
      <c r="AW67" s="1621">
        <v>0.3</v>
      </c>
      <c r="AX67" s="1621">
        <v>0.3</v>
      </c>
      <c r="AY67" s="1621">
        <v>0.3</v>
      </c>
      <c r="AZ67" s="1621">
        <v>0.3</v>
      </c>
      <c r="BA67" s="1621">
        <v>0.3</v>
      </c>
      <c r="BB67" s="1622">
        <v>0.3</v>
      </c>
      <c r="BC67" s="1621">
        <v>0.3</v>
      </c>
      <c r="BD67" s="1621">
        <v>0.3</v>
      </c>
      <c r="BE67" s="1621">
        <v>0.4</v>
      </c>
      <c r="BF67" s="1621">
        <v>0.4</v>
      </c>
      <c r="BG67" s="1621">
        <v>0.4</v>
      </c>
      <c r="BI67" s="1645">
        <v>1.2</v>
      </c>
      <c r="BJ67" s="1691" t="s">
        <v>314</v>
      </c>
      <c r="BK67" s="2061" t="s">
        <v>678</v>
      </c>
      <c r="BL67" s="1621">
        <v>0.3</v>
      </c>
      <c r="BM67" s="1621">
        <v>0.3</v>
      </c>
      <c r="BN67" s="1621">
        <v>0.3</v>
      </c>
      <c r="BO67" s="1621">
        <v>0.3</v>
      </c>
      <c r="BP67" s="1621">
        <v>0.3</v>
      </c>
      <c r="BQ67" s="1621">
        <v>0.3</v>
      </c>
      <c r="BR67" s="1621">
        <v>0.3</v>
      </c>
      <c r="BS67" s="1622">
        <v>0.3</v>
      </c>
      <c r="BT67" s="1621">
        <v>0.3</v>
      </c>
      <c r="BU67" s="1621">
        <v>0.3</v>
      </c>
      <c r="BV67" s="1621">
        <v>0.4</v>
      </c>
      <c r="BW67" s="1621">
        <v>0.4</v>
      </c>
      <c r="BX67" s="1621">
        <v>0.4</v>
      </c>
    </row>
    <row r="68" spans="1:77" ht="13.5" customHeight="1">
      <c r="B68" s="1619" t="str">
        <f t="shared" si="31"/>
        <v>1.2.1</v>
      </c>
      <c r="C68" s="1612" t="str">
        <f t="shared" si="32"/>
        <v>広さ感・景観</v>
      </c>
      <c r="D68" s="1719" t="e">
        <f t="shared" ref="D68:E70" si="64">IF(I$67&gt;0,G68/I$67,0)</f>
        <v>#DIV/0!</v>
      </c>
      <c r="E68" s="1689" t="e">
        <f t="shared" si="64"/>
        <v>#DIV/0!</v>
      </c>
      <c r="G68" s="1689" t="e">
        <f t="shared" si="36"/>
        <v>#DIV/0!</v>
      </c>
      <c r="H68" s="1689" t="e">
        <f t="shared" si="36"/>
        <v>#DIV/0!</v>
      </c>
      <c r="I68" s="1689"/>
      <c r="J68" s="1689"/>
      <c r="K68" s="1614">
        <f>IF(スコア表示!X68=0,0,1)</f>
        <v>1</v>
      </c>
      <c r="L68" s="1614">
        <f>IF(スコア表示!AB68=0,0,1)</f>
        <v>1</v>
      </c>
      <c r="N68" s="1706" t="e">
        <f t="shared" ref="N68:O70" si="65">IF(P$67&gt;0,R68/P$67,0)</f>
        <v>#DIV/0!</v>
      </c>
      <c r="O68" s="1706" t="e">
        <f t="shared" si="65"/>
        <v>#DIV/0!</v>
      </c>
      <c r="P68" s="1614"/>
      <c r="Q68" s="1614"/>
      <c r="R68" s="1614" t="e">
        <f>IF(スコア入力!R68="EB",重み_対象外!D68,U68)</f>
        <v>#DIV/0!</v>
      </c>
      <c r="S68" s="1614" t="e">
        <f>IF(スコア入力!Y68="EB",重み_対象外!E68,V68)</f>
        <v>#DIV/0!</v>
      </c>
      <c r="T68" s="1558"/>
      <c r="U68" s="1612" t="e">
        <f t="shared" ref="U68:V70" si="66">X$62*X$67*X68</f>
        <v>#DIV/0!</v>
      </c>
      <c r="V68" s="1612" t="e">
        <f t="shared" si="66"/>
        <v>#DIV/0!</v>
      </c>
      <c r="W68" s="1558"/>
      <c r="X68" s="1614" t="e">
        <f t="shared" si="18"/>
        <v>#DIV/0!</v>
      </c>
      <c r="Y68" s="1614" t="e">
        <f t="shared" si="21"/>
        <v>#DIV/0!</v>
      </c>
      <c r="Z68" s="1643"/>
      <c r="AA68" s="1611" t="str">
        <f t="shared" si="37"/>
        <v>1.2.1</v>
      </c>
      <c r="AB68" s="1611" t="str">
        <f t="shared" si="38"/>
        <v xml:space="preserve"> Q2 1.2</v>
      </c>
      <c r="AC68" s="1611" t="str">
        <f t="shared" si="39"/>
        <v>広さ感・景観</v>
      </c>
      <c r="AD68" s="1757">
        <f t="shared" si="40"/>
        <v>0.33333333333333331</v>
      </c>
      <c r="AE68" s="1757">
        <f t="shared" si="41"/>
        <v>0.5</v>
      </c>
      <c r="AF68" s="1757">
        <f t="shared" si="42"/>
        <v>0.33333333333333331</v>
      </c>
      <c r="AG68" s="1757">
        <f t="shared" si="43"/>
        <v>0.5</v>
      </c>
      <c r="AH68" s="1757">
        <f t="shared" si="44"/>
        <v>0</v>
      </c>
      <c r="AI68" s="1757">
        <f t="shared" si="45"/>
        <v>0</v>
      </c>
      <c r="AJ68" s="1757">
        <f t="shared" si="46"/>
        <v>0</v>
      </c>
      <c r="AK68" s="1761">
        <f t="shared" si="47"/>
        <v>0</v>
      </c>
      <c r="AL68" s="1757">
        <f t="shared" si="48"/>
        <v>0.33333333333333331</v>
      </c>
      <c r="AM68" s="1757">
        <f t="shared" si="48"/>
        <v>0.5</v>
      </c>
      <c r="AN68" s="1758">
        <f t="shared" si="49"/>
        <v>0.5</v>
      </c>
      <c r="AO68" s="1758">
        <f t="shared" si="50"/>
        <v>0.5</v>
      </c>
      <c r="AP68" s="1758">
        <f t="shared" si="51"/>
        <v>0.5</v>
      </c>
      <c r="AQ68" s="1630"/>
      <c r="AR68" s="1645" t="s">
        <v>1457</v>
      </c>
      <c r="AS68" s="1691" t="s">
        <v>318</v>
      </c>
      <c r="AT68" s="2061" t="s">
        <v>319</v>
      </c>
      <c r="AU68" s="1621">
        <v>0.33333333333333331</v>
      </c>
      <c r="AV68" s="1621">
        <v>0.5</v>
      </c>
      <c r="AW68" s="1621">
        <v>0.33333333333333331</v>
      </c>
      <c r="AX68" s="1621">
        <v>0.5</v>
      </c>
      <c r="AY68" s="1621"/>
      <c r="AZ68" s="1621"/>
      <c r="BA68" s="1621"/>
      <c r="BB68" s="1622"/>
      <c r="BC68" s="1621">
        <v>0.33333333333333331</v>
      </c>
      <c r="BD68" s="1621">
        <v>0.5</v>
      </c>
      <c r="BE68" s="1623">
        <v>0.5</v>
      </c>
      <c r="BF68" s="1623">
        <v>0.5</v>
      </c>
      <c r="BG68" s="1623">
        <v>0.5</v>
      </c>
      <c r="BI68" s="1645" t="s">
        <v>1457</v>
      </c>
      <c r="BJ68" s="1691" t="s">
        <v>318</v>
      </c>
      <c r="BK68" s="2061" t="s">
        <v>319</v>
      </c>
      <c r="BL68" s="1621">
        <v>0.33333333333333331</v>
      </c>
      <c r="BM68" s="1621">
        <v>0.5</v>
      </c>
      <c r="BN68" s="1621">
        <v>0.33333333333333331</v>
      </c>
      <c r="BO68" s="1621">
        <v>0.5</v>
      </c>
      <c r="BP68" s="1621"/>
      <c r="BQ68" s="1621"/>
      <c r="BR68" s="1621"/>
      <c r="BS68" s="1622"/>
      <c r="BT68" s="1621">
        <v>0.33333333333333331</v>
      </c>
      <c r="BU68" s="1621">
        <v>0.5</v>
      </c>
      <c r="BV68" s="1623">
        <v>0.5</v>
      </c>
      <c r="BW68" s="1623">
        <v>0.5</v>
      </c>
      <c r="BX68" s="1623">
        <v>0.5</v>
      </c>
    </row>
    <row r="69" spans="1:77" ht="13.5" customHeight="1">
      <c r="B69" s="1619" t="str">
        <f t="shared" si="31"/>
        <v>1.2.2</v>
      </c>
      <c r="C69" s="1612" t="str">
        <f t="shared" si="32"/>
        <v>リフレッシュスペース</v>
      </c>
      <c r="D69" s="1719" t="e">
        <f t="shared" si="64"/>
        <v>#DIV/0!</v>
      </c>
      <c r="E69" s="1689" t="e">
        <f t="shared" si="64"/>
        <v>#DIV/0!</v>
      </c>
      <c r="G69" s="1689" t="e">
        <f t="shared" si="36"/>
        <v>#DIV/0!</v>
      </c>
      <c r="H69" s="1689" t="e">
        <f t="shared" si="36"/>
        <v>#DIV/0!</v>
      </c>
      <c r="I69" s="1689"/>
      <c r="J69" s="1689"/>
      <c r="K69" s="1614">
        <f>IF(スコア表示!X69=0,0,1)</f>
        <v>1</v>
      </c>
      <c r="L69" s="1614">
        <f>IF(スコア表示!AB69=0,0,1)</f>
        <v>1</v>
      </c>
      <c r="N69" s="1706" t="e">
        <f t="shared" si="65"/>
        <v>#DIV/0!</v>
      </c>
      <c r="O69" s="1706" t="e">
        <f t="shared" si="65"/>
        <v>#DIV/0!</v>
      </c>
      <c r="P69" s="1614"/>
      <c r="Q69" s="1614"/>
      <c r="R69" s="1614" t="e">
        <f>IF(スコア入力!R69="EB",重み_対象外!D69,U69)</f>
        <v>#DIV/0!</v>
      </c>
      <c r="S69" s="1614" t="e">
        <f>IF(スコア入力!Y69="EB",重み_対象外!E69,V69)</f>
        <v>#DIV/0!</v>
      </c>
      <c r="T69" s="1558"/>
      <c r="U69" s="1612" t="e">
        <f t="shared" si="66"/>
        <v>#DIV/0!</v>
      </c>
      <c r="V69" s="1612" t="e">
        <f t="shared" si="66"/>
        <v>#DIV/0!</v>
      </c>
      <c r="W69" s="1558"/>
      <c r="X69" s="1614" t="e">
        <f t="shared" si="18"/>
        <v>#DIV/0!</v>
      </c>
      <c r="Y69" s="1614" t="e">
        <f t="shared" si="21"/>
        <v>#DIV/0!</v>
      </c>
      <c r="Z69" s="1643"/>
      <c r="AA69" s="1611" t="str">
        <f t="shared" si="37"/>
        <v>1.2.2</v>
      </c>
      <c r="AB69" s="1611" t="str">
        <f t="shared" si="38"/>
        <v xml:space="preserve"> Q2 1.2</v>
      </c>
      <c r="AC69" s="1611" t="str">
        <f t="shared" si="39"/>
        <v>リフレッシュスペース</v>
      </c>
      <c r="AD69" s="1757">
        <f t="shared" si="40"/>
        <v>0.33333333333333331</v>
      </c>
      <c r="AE69" s="1757">
        <f t="shared" si="41"/>
        <v>0</v>
      </c>
      <c r="AF69" s="1757">
        <f t="shared" si="42"/>
        <v>0.33333333333333331</v>
      </c>
      <c r="AG69" s="1757">
        <f t="shared" si="43"/>
        <v>0</v>
      </c>
      <c r="AH69" s="1757">
        <f t="shared" si="44"/>
        <v>0</v>
      </c>
      <c r="AI69" s="1757">
        <f t="shared" si="45"/>
        <v>0</v>
      </c>
      <c r="AJ69" s="1757">
        <f t="shared" si="46"/>
        <v>0</v>
      </c>
      <c r="AK69" s="1761">
        <f t="shared" si="47"/>
        <v>0</v>
      </c>
      <c r="AL69" s="1757">
        <f t="shared" si="48"/>
        <v>0.33333333333333331</v>
      </c>
      <c r="AM69" s="1757">
        <f t="shared" si="48"/>
        <v>0</v>
      </c>
      <c r="AN69" s="1758">
        <f t="shared" si="49"/>
        <v>0</v>
      </c>
      <c r="AO69" s="1758">
        <f t="shared" si="50"/>
        <v>0</v>
      </c>
      <c r="AP69" s="1758">
        <f t="shared" si="51"/>
        <v>0</v>
      </c>
      <c r="AQ69" s="1630"/>
      <c r="AR69" s="1645" t="s">
        <v>1458</v>
      </c>
      <c r="AS69" s="1691" t="s">
        <v>318</v>
      </c>
      <c r="AT69" s="2061" t="s">
        <v>320</v>
      </c>
      <c r="AU69" s="1621">
        <v>0.33333333333333331</v>
      </c>
      <c r="AV69" s="1621"/>
      <c r="AW69" s="1621">
        <v>0.33333333333333331</v>
      </c>
      <c r="AX69" s="1621"/>
      <c r="AY69" s="1621"/>
      <c r="AZ69" s="1621"/>
      <c r="BA69" s="1621"/>
      <c r="BB69" s="1622"/>
      <c r="BC69" s="1621">
        <v>0.33333333333333331</v>
      </c>
      <c r="BD69" s="1621"/>
      <c r="BE69" s="1623"/>
      <c r="BF69" s="1623"/>
      <c r="BG69" s="1623"/>
      <c r="BI69" s="1645" t="s">
        <v>1458</v>
      </c>
      <c r="BJ69" s="1691" t="s">
        <v>318</v>
      </c>
      <c r="BK69" s="2061" t="s">
        <v>320</v>
      </c>
      <c r="BL69" s="1621">
        <v>0.33333333333333331</v>
      </c>
      <c r="BM69" s="1621"/>
      <c r="BN69" s="1621">
        <v>0.33333333333333331</v>
      </c>
      <c r="BO69" s="1621"/>
      <c r="BP69" s="1621"/>
      <c r="BQ69" s="1621"/>
      <c r="BR69" s="1621"/>
      <c r="BS69" s="1622"/>
      <c r="BT69" s="1621">
        <v>0.33333333333333331</v>
      </c>
      <c r="BU69" s="1621"/>
      <c r="BV69" s="1623"/>
      <c r="BW69" s="1623"/>
      <c r="BX69" s="1623"/>
    </row>
    <row r="70" spans="1:77" ht="13.5" customHeight="1">
      <c r="B70" s="1619" t="str">
        <f t="shared" si="31"/>
        <v>1.2.3</v>
      </c>
      <c r="C70" s="1612" t="str">
        <f t="shared" si="32"/>
        <v>内装計画</v>
      </c>
      <c r="D70" s="1719" t="e">
        <f t="shared" si="64"/>
        <v>#DIV/0!</v>
      </c>
      <c r="E70" s="1689" t="e">
        <f t="shared" si="64"/>
        <v>#DIV/0!</v>
      </c>
      <c r="G70" s="1689" t="e">
        <f t="shared" si="36"/>
        <v>#DIV/0!</v>
      </c>
      <c r="H70" s="1689" t="e">
        <f t="shared" si="36"/>
        <v>#DIV/0!</v>
      </c>
      <c r="I70" s="1689"/>
      <c r="J70" s="1689"/>
      <c r="K70" s="1614">
        <f>IF(スコア表示!X70=0,0,1)</f>
        <v>1</v>
      </c>
      <c r="L70" s="1614">
        <f>IF(スコア表示!AB70=0,0,1)</f>
        <v>1</v>
      </c>
      <c r="N70" s="1706" t="e">
        <f t="shared" si="65"/>
        <v>#DIV/0!</v>
      </c>
      <c r="O70" s="1706" t="e">
        <f t="shared" si="65"/>
        <v>#DIV/0!</v>
      </c>
      <c r="P70" s="1614"/>
      <c r="Q70" s="1614"/>
      <c r="R70" s="1614" t="e">
        <f>IF(スコア入力!R70="EB",重み_対象外!D70,U70)</f>
        <v>#DIV/0!</v>
      </c>
      <c r="S70" s="1614" t="e">
        <f>IF(スコア入力!Y70="EB",重み_対象外!E70,V70)</f>
        <v>#DIV/0!</v>
      </c>
      <c r="T70" s="1558"/>
      <c r="U70" s="1612" t="e">
        <f t="shared" si="66"/>
        <v>#DIV/0!</v>
      </c>
      <c r="V70" s="1612" t="e">
        <f t="shared" si="66"/>
        <v>#DIV/0!</v>
      </c>
      <c r="W70" s="1558"/>
      <c r="X70" s="1614" t="e">
        <f t="shared" si="18"/>
        <v>#DIV/0!</v>
      </c>
      <c r="Y70" s="1614" t="e">
        <f t="shared" si="21"/>
        <v>#DIV/0!</v>
      </c>
      <c r="Z70" s="1643"/>
      <c r="AA70" s="1611" t="str">
        <f t="shared" si="37"/>
        <v>1.2.3</v>
      </c>
      <c r="AB70" s="1611" t="str">
        <f t="shared" si="38"/>
        <v xml:space="preserve"> Q2 1.2</v>
      </c>
      <c r="AC70" s="1611" t="str">
        <f t="shared" si="39"/>
        <v>内装計画</v>
      </c>
      <c r="AD70" s="1757">
        <f t="shared" si="40"/>
        <v>0.33333333333333331</v>
      </c>
      <c r="AE70" s="1757">
        <f t="shared" si="41"/>
        <v>0.5</v>
      </c>
      <c r="AF70" s="1757">
        <f t="shared" si="42"/>
        <v>0.33333333333333331</v>
      </c>
      <c r="AG70" s="1757">
        <f t="shared" si="43"/>
        <v>0.5</v>
      </c>
      <c r="AH70" s="1757">
        <f t="shared" si="44"/>
        <v>1</v>
      </c>
      <c r="AI70" s="1757">
        <f t="shared" si="45"/>
        <v>1</v>
      </c>
      <c r="AJ70" s="1757">
        <f t="shared" si="46"/>
        <v>1</v>
      </c>
      <c r="AK70" s="1761">
        <f t="shared" si="47"/>
        <v>1</v>
      </c>
      <c r="AL70" s="1757">
        <f t="shared" si="48"/>
        <v>0.33333333333333331</v>
      </c>
      <c r="AM70" s="1757">
        <f t="shared" si="48"/>
        <v>0.5</v>
      </c>
      <c r="AN70" s="1758">
        <f t="shared" si="49"/>
        <v>0.5</v>
      </c>
      <c r="AO70" s="1758">
        <f t="shared" si="50"/>
        <v>0.5</v>
      </c>
      <c r="AP70" s="1758">
        <f t="shared" si="51"/>
        <v>0.5</v>
      </c>
      <c r="AQ70" s="1630"/>
      <c r="AR70" s="1645" t="s">
        <v>1459</v>
      </c>
      <c r="AS70" s="1691" t="s">
        <v>318</v>
      </c>
      <c r="AT70" s="2061" t="s">
        <v>321</v>
      </c>
      <c r="AU70" s="1621">
        <v>0.33333333333333331</v>
      </c>
      <c r="AV70" s="1621">
        <v>0.5</v>
      </c>
      <c r="AW70" s="1621">
        <v>0.33333333333333331</v>
      </c>
      <c r="AX70" s="1621">
        <v>0.5</v>
      </c>
      <c r="AY70" s="1621">
        <v>1</v>
      </c>
      <c r="AZ70" s="1621">
        <v>1</v>
      </c>
      <c r="BA70" s="1621">
        <v>1</v>
      </c>
      <c r="BB70" s="1622">
        <v>1</v>
      </c>
      <c r="BC70" s="1621">
        <v>0.33333333333333331</v>
      </c>
      <c r="BD70" s="1621">
        <v>0.5</v>
      </c>
      <c r="BE70" s="1623">
        <v>0.5</v>
      </c>
      <c r="BF70" s="1623">
        <v>0.5</v>
      </c>
      <c r="BG70" s="1623">
        <v>0.5</v>
      </c>
      <c r="BI70" s="1645" t="s">
        <v>1459</v>
      </c>
      <c r="BJ70" s="1691" t="s">
        <v>318</v>
      </c>
      <c r="BK70" s="2061" t="s">
        <v>321</v>
      </c>
      <c r="BL70" s="1621">
        <v>0.33333333333333331</v>
      </c>
      <c r="BM70" s="1621">
        <v>0.5</v>
      </c>
      <c r="BN70" s="1621">
        <v>0.33333333333333331</v>
      </c>
      <c r="BO70" s="1621">
        <v>0.5</v>
      </c>
      <c r="BP70" s="1621">
        <v>1</v>
      </c>
      <c r="BQ70" s="1621">
        <v>1</v>
      </c>
      <c r="BR70" s="1621">
        <v>1</v>
      </c>
      <c r="BS70" s="1622">
        <v>1</v>
      </c>
      <c r="BT70" s="1621">
        <v>0.33333333333333331</v>
      </c>
      <c r="BU70" s="1621">
        <v>0.5</v>
      </c>
      <c r="BV70" s="1623">
        <v>0.5</v>
      </c>
      <c r="BW70" s="1623">
        <v>0.5</v>
      </c>
      <c r="BX70" s="1623">
        <v>0.5</v>
      </c>
    </row>
    <row r="71" spans="1:77" ht="13.5" customHeight="1">
      <c r="B71" s="1619">
        <f t="shared" si="31"/>
        <v>1.3</v>
      </c>
      <c r="C71" s="1612" t="str">
        <f t="shared" si="32"/>
        <v>維持管理</v>
      </c>
      <c r="D71" s="1714" t="e">
        <f>IF(I$62=0,0,G71/I$62)</f>
        <v>#DIV/0!</v>
      </c>
      <c r="E71" s="1689" t="e">
        <f>IF(J$62=0,0,H71/J$62)</f>
        <v>#DIV/0!</v>
      </c>
      <c r="G71" s="1689" t="e">
        <f t="shared" si="36"/>
        <v>#DIV/0!</v>
      </c>
      <c r="H71" s="1689" t="e">
        <f t="shared" si="36"/>
        <v>#DIV/0!</v>
      </c>
      <c r="I71" s="1689" t="e">
        <f>G72+G73+G74</f>
        <v>#DIV/0!</v>
      </c>
      <c r="J71" s="1689" t="e">
        <f>H72+H73+H74</f>
        <v>#DIV/0!</v>
      </c>
      <c r="K71" s="1614" t="e">
        <f>IF(スコア表示!X71=0,0,1)</f>
        <v>#DIV/0!</v>
      </c>
      <c r="L71" s="1614" t="e">
        <f>IF(スコア表示!AB71=0,0,1)</f>
        <v>#DIV/0!</v>
      </c>
      <c r="N71" s="1706" t="e">
        <f>IF(P$62=0,0,P71/P$62)</f>
        <v>#DIV/0!</v>
      </c>
      <c r="O71" s="1706" t="e">
        <f>IF(Q$62=0,0,Q71/Q$62)</f>
        <v>#DIV/0!</v>
      </c>
      <c r="P71" s="1614" t="e">
        <f>SUM(R72:R74)</f>
        <v>#DIV/0!</v>
      </c>
      <c r="Q71" s="1614" t="e">
        <f>SUM(S72:S74)</f>
        <v>#DIV/0!</v>
      </c>
      <c r="R71" s="1614">
        <f>IF(スコア入力!R71="EB",重み_対象外!D71,U71)</f>
        <v>0</v>
      </c>
      <c r="S71" s="1614">
        <f>IF(スコア入力!Y71="EB",重み_対象外!E71,V71)</f>
        <v>0</v>
      </c>
      <c r="T71" s="1558"/>
      <c r="U71" s="1612"/>
      <c r="V71" s="1612"/>
      <c r="W71" s="1558"/>
      <c r="X71" s="1614" t="e">
        <f t="shared" si="18"/>
        <v>#DIV/0!</v>
      </c>
      <c r="Y71" s="1614" t="e">
        <f t="shared" si="21"/>
        <v>#DIV/0!</v>
      </c>
      <c r="Z71" s="1643"/>
      <c r="AA71" s="1611">
        <f t="shared" si="37"/>
        <v>1.3</v>
      </c>
      <c r="AB71" s="1611" t="str">
        <f t="shared" si="38"/>
        <v xml:space="preserve"> Q2 1</v>
      </c>
      <c r="AC71" s="1611" t="str">
        <f t="shared" si="39"/>
        <v>維持管理</v>
      </c>
      <c r="AD71" s="1757">
        <f t="shared" si="40"/>
        <v>0.3</v>
      </c>
      <c r="AE71" s="1757">
        <f t="shared" si="41"/>
        <v>0.3</v>
      </c>
      <c r="AF71" s="1757">
        <f t="shared" si="42"/>
        <v>0.3</v>
      </c>
      <c r="AG71" s="1757">
        <f t="shared" si="43"/>
        <v>0.3</v>
      </c>
      <c r="AH71" s="1757">
        <f t="shared" si="44"/>
        <v>0.3</v>
      </c>
      <c r="AI71" s="1757">
        <f t="shared" si="45"/>
        <v>0.3</v>
      </c>
      <c r="AJ71" s="1757">
        <f t="shared" si="46"/>
        <v>0.3</v>
      </c>
      <c r="AK71" s="1761">
        <f t="shared" si="47"/>
        <v>0.3</v>
      </c>
      <c r="AL71" s="1757">
        <f t="shared" si="48"/>
        <v>0.3</v>
      </c>
      <c r="AM71" s="1757">
        <f t="shared" si="48"/>
        <v>0.3</v>
      </c>
      <c r="AN71" s="1758">
        <f t="shared" si="49"/>
        <v>0</v>
      </c>
      <c r="AO71" s="1758">
        <f t="shared" si="50"/>
        <v>0</v>
      </c>
      <c r="AP71" s="1758">
        <f t="shared" si="51"/>
        <v>0</v>
      </c>
      <c r="AQ71" s="1630"/>
      <c r="AR71" s="1645">
        <v>1.3</v>
      </c>
      <c r="AS71" s="1691" t="s">
        <v>314</v>
      </c>
      <c r="AT71" s="2061" t="s">
        <v>322</v>
      </c>
      <c r="AU71" s="1621">
        <v>0.3</v>
      </c>
      <c r="AV71" s="1621">
        <v>0.3</v>
      </c>
      <c r="AW71" s="1621">
        <v>0.3</v>
      </c>
      <c r="AX71" s="1621">
        <v>0.3</v>
      </c>
      <c r="AY71" s="1621">
        <v>0.3</v>
      </c>
      <c r="AZ71" s="1621">
        <v>0.3</v>
      </c>
      <c r="BA71" s="1621">
        <v>0.3</v>
      </c>
      <c r="BB71" s="1622">
        <v>0.3</v>
      </c>
      <c r="BC71" s="1621">
        <v>0.3</v>
      </c>
      <c r="BD71" s="1621">
        <v>0.3</v>
      </c>
      <c r="BE71" s="1623"/>
      <c r="BF71" s="1623"/>
      <c r="BG71" s="1623"/>
      <c r="BI71" s="1645">
        <v>1.3</v>
      </c>
      <c r="BJ71" s="1691" t="s">
        <v>314</v>
      </c>
      <c r="BK71" s="2061" t="s">
        <v>322</v>
      </c>
      <c r="BL71" s="1621">
        <v>0.3</v>
      </c>
      <c r="BM71" s="1621">
        <v>0.3</v>
      </c>
      <c r="BN71" s="1621">
        <v>0.3</v>
      </c>
      <c r="BO71" s="1621">
        <v>0.3</v>
      </c>
      <c r="BP71" s="1621">
        <v>0.3</v>
      </c>
      <c r="BQ71" s="1621">
        <v>0.3</v>
      </c>
      <c r="BR71" s="1621">
        <v>0.3</v>
      </c>
      <c r="BS71" s="1622">
        <v>0.3</v>
      </c>
      <c r="BT71" s="1621">
        <v>0.3</v>
      </c>
      <c r="BU71" s="1621">
        <v>0.3</v>
      </c>
      <c r="BV71" s="1623"/>
      <c r="BW71" s="1623"/>
      <c r="BX71" s="1623"/>
    </row>
    <row r="72" spans="1:77" ht="13.5" customHeight="1">
      <c r="B72" s="1619" t="str">
        <f t="shared" si="31"/>
        <v>1.3.1</v>
      </c>
      <c r="C72" s="1612" t="str">
        <f t="shared" si="32"/>
        <v>維持管理に配慮した設計</v>
      </c>
      <c r="D72" s="1719" t="e">
        <f t="shared" ref="D72:E74" si="67">IF(I$71&gt;0,G72/I$71,0)</f>
        <v>#DIV/0!</v>
      </c>
      <c r="E72" s="1719" t="e">
        <f t="shared" si="67"/>
        <v>#DIV/0!</v>
      </c>
      <c r="G72" s="1689" t="e">
        <f t="shared" si="36"/>
        <v>#DIV/0!</v>
      </c>
      <c r="H72" s="1689" t="e">
        <f t="shared" si="36"/>
        <v>#DIV/0!</v>
      </c>
      <c r="I72" s="1689"/>
      <c r="J72" s="1689"/>
      <c r="K72" s="1614">
        <f>IF(スコア表示!X72=0,0,1)</f>
        <v>1</v>
      </c>
      <c r="L72" s="1614">
        <f>IF(スコア表示!AB72=0,0,1)</f>
        <v>0</v>
      </c>
      <c r="N72" s="1706" t="e">
        <f t="shared" ref="N72:O74" si="68">IF(P$71&gt;0,R72/P$71,0)</f>
        <v>#DIV/0!</v>
      </c>
      <c r="O72" s="1706" t="e">
        <f t="shared" si="68"/>
        <v>#DIV/0!</v>
      </c>
      <c r="P72" s="1614"/>
      <c r="Q72" s="1614"/>
      <c r="R72" s="1614" t="e">
        <f>IF(スコア入力!R72="EB",重み_対象外!D72,U72)</f>
        <v>#DIV/0!</v>
      </c>
      <c r="S72" s="1614" t="e">
        <f>IF(スコア入力!Y72="EB",重み_対象外!E72,V72)</f>
        <v>#DIV/0!</v>
      </c>
      <c r="T72" s="1558"/>
      <c r="U72" s="1612" t="e">
        <f t="shared" ref="U72:V74" si="69">X$62*X$71*X72</f>
        <v>#DIV/0!</v>
      </c>
      <c r="V72" s="1612" t="e">
        <f t="shared" si="69"/>
        <v>#DIV/0!</v>
      </c>
      <c r="W72" s="1558"/>
      <c r="X72" s="1614" t="e">
        <f t="shared" si="18"/>
        <v>#DIV/0!</v>
      </c>
      <c r="Y72" s="1614" t="e">
        <f t="shared" si="21"/>
        <v>#DIV/0!</v>
      </c>
      <c r="Z72" s="1643"/>
      <c r="AA72" s="1611" t="str">
        <f t="shared" si="37"/>
        <v>1.3.1</v>
      </c>
      <c r="AB72" s="1611" t="str">
        <f t="shared" si="38"/>
        <v xml:space="preserve"> Q2 1.3</v>
      </c>
      <c r="AC72" s="1611" t="str">
        <f t="shared" si="39"/>
        <v>維持管理に配慮した設計</v>
      </c>
      <c r="AD72" s="1757">
        <f t="shared" si="40"/>
        <v>0.5</v>
      </c>
      <c r="AE72" s="1757">
        <f t="shared" si="41"/>
        <v>0.5</v>
      </c>
      <c r="AF72" s="1757">
        <f t="shared" si="42"/>
        <v>0.5</v>
      </c>
      <c r="AG72" s="1757">
        <f t="shared" si="43"/>
        <v>0.5</v>
      </c>
      <c r="AH72" s="1757">
        <f t="shared" si="44"/>
        <v>0.5</v>
      </c>
      <c r="AI72" s="1757">
        <f t="shared" si="45"/>
        <v>0.5</v>
      </c>
      <c r="AJ72" s="1757">
        <f t="shared" si="46"/>
        <v>0.5</v>
      </c>
      <c r="AK72" s="1761">
        <f t="shared" si="47"/>
        <v>0.5</v>
      </c>
      <c r="AL72" s="1757">
        <f t="shared" si="48"/>
        <v>0.5</v>
      </c>
      <c r="AM72" s="1757">
        <f t="shared" si="48"/>
        <v>0.5</v>
      </c>
      <c r="AN72" s="1758">
        <f t="shared" si="49"/>
        <v>0</v>
      </c>
      <c r="AO72" s="1758">
        <f t="shared" si="50"/>
        <v>0</v>
      </c>
      <c r="AP72" s="1758">
        <f t="shared" si="51"/>
        <v>0</v>
      </c>
      <c r="AQ72" s="1630"/>
      <c r="AR72" s="1645" t="s">
        <v>323</v>
      </c>
      <c r="AS72" s="1691" t="s">
        <v>324</v>
      </c>
      <c r="AT72" s="2061" t="s">
        <v>815</v>
      </c>
      <c r="AU72" s="1621">
        <v>0.5</v>
      </c>
      <c r="AV72" s="1621">
        <v>0.5</v>
      </c>
      <c r="AW72" s="1621">
        <v>0.5</v>
      </c>
      <c r="AX72" s="1621">
        <v>0.5</v>
      </c>
      <c r="AY72" s="1621">
        <v>0.5</v>
      </c>
      <c r="AZ72" s="1621">
        <v>0.5</v>
      </c>
      <c r="BA72" s="1621">
        <v>0.5</v>
      </c>
      <c r="BB72" s="1622">
        <v>0.5</v>
      </c>
      <c r="BC72" s="1621">
        <v>0.5</v>
      </c>
      <c r="BD72" s="1621">
        <v>0.5</v>
      </c>
      <c r="BE72" s="1623"/>
      <c r="BF72" s="1623"/>
      <c r="BG72" s="1623"/>
      <c r="BI72" s="1645" t="s">
        <v>323</v>
      </c>
      <c r="BJ72" s="1691" t="s">
        <v>324</v>
      </c>
      <c r="BK72" s="2061" t="s">
        <v>815</v>
      </c>
      <c r="BL72" s="1621">
        <v>0.5</v>
      </c>
      <c r="BM72" s="1621">
        <v>0.5</v>
      </c>
      <c r="BN72" s="1621">
        <v>0.5</v>
      </c>
      <c r="BO72" s="1621">
        <v>0.5</v>
      </c>
      <c r="BP72" s="1621">
        <v>0.5</v>
      </c>
      <c r="BQ72" s="1621">
        <v>0.5</v>
      </c>
      <c r="BR72" s="1621">
        <v>0.5</v>
      </c>
      <c r="BS72" s="1622">
        <v>0.5</v>
      </c>
      <c r="BT72" s="1621">
        <v>0.5</v>
      </c>
      <c r="BU72" s="1621">
        <v>0.5</v>
      </c>
      <c r="BV72" s="1623"/>
      <c r="BW72" s="1623"/>
      <c r="BX72" s="1623"/>
    </row>
    <row r="73" spans="1:77" ht="13.5" customHeight="1">
      <c r="B73" s="1619" t="str">
        <f t="shared" ref="B73:B104" si="70">AA73</f>
        <v>1.3.2</v>
      </c>
      <c r="C73" s="1612" t="str">
        <f t="shared" ref="C73:C104" si="71">AC73</f>
        <v>維持管理用機能の確保</v>
      </c>
      <c r="D73" s="1719" t="e">
        <f t="shared" si="67"/>
        <v>#DIV/0!</v>
      </c>
      <c r="E73" s="1719" t="e">
        <f t="shared" si="67"/>
        <v>#DIV/0!</v>
      </c>
      <c r="G73" s="1689" t="e">
        <f t="shared" ref="G73:H104" si="72">K73*N73</f>
        <v>#DIV/0!</v>
      </c>
      <c r="H73" s="1689" t="e">
        <f t="shared" si="72"/>
        <v>#DIV/0!</v>
      </c>
      <c r="I73" s="1689"/>
      <c r="J73" s="1689"/>
      <c r="K73" s="1614">
        <f>IF(スコア表示!X73=0,0,1)</f>
        <v>1</v>
      </c>
      <c r="L73" s="1614">
        <f>IF(スコア表示!AB73=0,0,1)</f>
        <v>0</v>
      </c>
      <c r="N73" s="1706" t="e">
        <f t="shared" si="68"/>
        <v>#DIV/0!</v>
      </c>
      <c r="O73" s="1706" t="e">
        <f t="shared" si="68"/>
        <v>#DIV/0!</v>
      </c>
      <c r="P73" s="1614"/>
      <c r="Q73" s="1614"/>
      <c r="R73" s="1614" t="e">
        <f>IF(スコア入力!R73="EB",重み_対象外!D73,U73)</f>
        <v>#DIV/0!</v>
      </c>
      <c r="S73" s="1614" t="e">
        <f>IF(スコア入力!Y73="EB",重み_対象外!E73,V73)</f>
        <v>#DIV/0!</v>
      </c>
      <c r="T73" s="1558"/>
      <c r="U73" s="1612" t="e">
        <f t="shared" si="69"/>
        <v>#DIV/0!</v>
      </c>
      <c r="V73" s="1612" t="e">
        <f t="shared" si="69"/>
        <v>#DIV/0!</v>
      </c>
      <c r="W73" s="1558"/>
      <c r="X73" s="1614" t="e">
        <f t="shared" si="18"/>
        <v>#DIV/0!</v>
      </c>
      <c r="Y73" s="1614" t="e">
        <f t="shared" si="21"/>
        <v>#DIV/0!</v>
      </c>
      <c r="Z73" s="1643"/>
      <c r="AA73" s="1611" t="str">
        <f t="shared" si="37"/>
        <v>1.3.2</v>
      </c>
      <c r="AB73" s="1611" t="str">
        <f t="shared" si="38"/>
        <v xml:space="preserve"> Q2 1.3</v>
      </c>
      <c r="AC73" s="1611" t="str">
        <f t="shared" si="39"/>
        <v>維持管理用機能の確保</v>
      </c>
      <c r="AD73" s="1757">
        <f t="shared" si="40"/>
        <v>0.5</v>
      </c>
      <c r="AE73" s="1757">
        <f t="shared" si="41"/>
        <v>0.5</v>
      </c>
      <c r="AF73" s="1757">
        <f t="shared" si="42"/>
        <v>0.5</v>
      </c>
      <c r="AG73" s="1757">
        <f t="shared" si="43"/>
        <v>0.5</v>
      </c>
      <c r="AH73" s="1757">
        <f t="shared" si="44"/>
        <v>0.5</v>
      </c>
      <c r="AI73" s="1757">
        <f t="shared" si="45"/>
        <v>0.5</v>
      </c>
      <c r="AJ73" s="1757">
        <f t="shared" si="46"/>
        <v>0.5</v>
      </c>
      <c r="AK73" s="1761">
        <f t="shared" si="47"/>
        <v>0.5</v>
      </c>
      <c r="AL73" s="1757">
        <f t="shared" si="48"/>
        <v>0.5</v>
      </c>
      <c r="AM73" s="1757">
        <f t="shared" si="48"/>
        <v>0.5</v>
      </c>
      <c r="AN73" s="1758">
        <f t="shared" si="49"/>
        <v>0</v>
      </c>
      <c r="AO73" s="1758">
        <f t="shared" si="50"/>
        <v>0</v>
      </c>
      <c r="AP73" s="1758">
        <f t="shared" si="51"/>
        <v>0</v>
      </c>
      <c r="AQ73" s="1630"/>
      <c r="AR73" s="1645" t="s">
        <v>325</v>
      </c>
      <c r="AS73" s="1691" t="s">
        <v>324</v>
      </c>
      <c r="AT73" s="2061" t="s">
        <v>412</v>
      </c>
      <c r="AU73" s="1621">
        <v>0.5</v>
      </c>
      <c r="AV73" s="1621">
        <v>0.5</v>
      </c>
      <c r="AW73" s="1621">
        <v>0.5</v>
      </c>
      <c r="AX73" s="1621">
        <v>0.5</v>
      </c>
      <c r="AY73" s="1621">
        <v>0.5</v>
      </c>
      <c r="AZ73" s="1621">
        <v>0.5</v>
      </c>
      <c r="BA73" s="1621">
        <v>0.5</v>
      </c>
      <c r="BB73" s="1622">
        <v>0.5</v>
      </c>
      <c r="BC73" s="1621">
        <v>0.5</v>
      </c>
      <c r="BD73" s="1621">
        <v>0.5</v>
      </c>
      <c r="BE73" s="1623"/>
      <c r="BF73" s="1623"/>
      <c r="BG73" s="1623"/>
      <c r="BI73" s="1645" t="s">
        <v>325</v>
      </c>
      <c r="BJ73" s="1691" t="s">
        <v>324</v>
      </c>
      <c r="BK73" s="2061" t="s">
        <v>412</v>
      </c>
      <c r="BL73" s="1621">
        <v>0.5</v>
      </c>
      <c r="BM73" s="1621">
        <v>0.5</v>
      </c>
      <c r="BN73" s="1621">
        <v>0.5</v>
      </c>
      <c r="BO73" s="1621">
        <v>0.5</v>
      </c>
      <c r="BP73" s="1621">
        <v>0.5</v>
      </c>
      <c r="BQ73" s="1621">
        <v>0.5</v>
      </c>
      <c r="BR73" s="1621">
        <v>0.5</v>
      </c>
      <c r="BS73" s="1622">
        <v>0.5</v>
      </c>
      <c r="BT73" s="1621">
        <v>0.5</v>
      </c>
      <c r="BU73" s="1621">
        <v>0.5</v>
      </c>
      <c r="BV73" s="1623"/>
      <c r="BW73" s="1623"/>
      <c r="BX73" s="1623"/>
    </row>
    <row r="74" spans="1:77" s="1765" customFormat="1" ht="13.5" hidden="1" customHeight="1">
      <c r="A74"/>
      <c r="B74" s="1619">
        <f t="shared" si="70"/>
        <v>0</v>
      </c>
      <c r="C74" s="1612">
        <f t="shared" si="71"/>
        <v>0</v>
      </c>
      <c r="D74" s="1719" t="e">
        <f t="shared" si="67"/>
        <v>#DIV/0!</v>
      </c>
      <c r="E74" s="1719" t="e">
        <f t="shared" si="67"/>
        <v>#DIV/0!</v>
      </c>
      <c r="F74"/>
      <c r="G74" s="1689" t="e">
        <f t="shared" si="72"/>
        <v>#DIV/0!</v>
      </c>
      <c r="H74" s="1689" t="e">
        <f t="shared" si="72"/>
        <v>#DIV/0!</v>
      </c>
      <c r="I74" s="1689"/>
      <c r="J74" s="1689"/>
      <c r="K74" s="1614">
        <f>IF(スコア表示!X74=0,0,1)</f>
        <v>1</v>
      </c>
      <c r="L74" s="1614">
        <f>IF(スコア表示!AB74=0,0,1)</f>
        <v>0</v>
      </c>
      <c r="M74"/>
      <c r="N74" s="1706" t="e">
        <f t="shared" si="68"/>
        <v>#DIV/0!</v>
      </c>
      <c r="O74" s="1706" t="e">
        <f t="shared" si="68"/>
        <v>#DIV/0!</v>
      </c>
      <c r="P74" s="1614"/>
      <c r="Q74" s="1614"/>
      <c r="R74" s="1614" t="e">
        <f>IF(スコア入力!R74="EB",重み_対象外!D74,U74)</f>
        <v>#DIV/0!</v>
      </c>
      <c r="S74" s="1614" t="e">
        <f>IF(スコア入力!Y74="EB",重み_対象外!E74,V74)</f>
        <v>#DIV/0!</v>
      </c>
      <c r="T74" s="1558"/>
      <c r="U74" s="1612" t="e">
        <f t="shared" si="69"/>
        <v>#DIV/0!</v>
      </c>
      <c r="V74" s="1612" t="e">
        <f t="shared" si="69"/>
        <v>#DIV/0!</v>
      </c>
      <c r="W74" s="1558"/>
      <c r="X74" s="1614" t="e">
        <f t="shared" ref="X74:X141" si="73">SUMPRODUCT($AD$7:$AM$7,AD74:AM74)</f>
        <v>#DIV/0!</v>
      </c>
      <c r="Y74" s="1614" t="e">
        <f t="shared" ref="Y74:Y141" si="74">(AN$7*AN74)+(AO$7*AO74)+(AP$7*AP74)</f>
        <v>#DIV/0!</v>
      </c>
      <c r="Z74" s="1643"/>
      <c r="AA74" s="1611">
        <f t="shared" ref="AA74:AA83" si="75">IF($AA$3=1,AR74,BI74)</f>
        <v>0</v>
      </c>
      <c r="AB74" s="1611" t="str">
        <f t="shared" ref="AB74:AB83" si="76">IF($AA$3=1,AS74,BJ74)</f>
        <v>0</v>
      </c>
      <c r="AC74" s="1611">
        <f t="shared" ref="AC74:AC83" si="77">IF($AA$3=1,AT74,BK74)</f>
        <v>0</v>
      </c>
      <c r="AD74" s="1757">
        <f t="shared" ref="AD74:AD83" si="78">IF($AA$3=1,AU74,BL74)</f>
        <v>0</v>
      </c>
      <c r="AE74" s="1757">
        <f t="shared" ref="AE74:AE83" si="79">IF($AA$3=1,AV74,BM74)</f>
        <v>0</v>
      </c>
      <c r="AF74" s="1757">
        <f t="shared" ref="AF74:AF83" si="80">IF($AA$3=1,AW74,BN74)</f>
        <v>0</v>
      </c>
      <c r="AG74" s="1757">
        <f t="shared" ref="AG74:AG83" si="81">IF($AA$3=1,AX74,BO74)</f>
        <v>0</v>
      </c>
      <c r="AH74" s="1757">
        <f t="shared" ref="AH74:AH83" si="82">IF($AA$3=1,AY74,BP74)</f>
        <v>0</v>
      </c>
      <c r="AI74" s="1757">
        <f t="shared" ref="AI74:AI83" si="83">IF($AA$3=1,AZ74,BQ74)</f>
        <v>0</v>
      </c>
      <c r="AJ74" s="1757">
        <f t="shared" ref="AJ74:AJ83" si="84">IF($AA$3=1,BA74,BR74)</f>
        <v>0</v>
      </c>
      <c r="AK74" s="1761">
        <f t="shared" ref="AK74:AK83" si="85">IF($AA$3=1,BB74,BS74)</f>
        <v>0</v>
      </c>
      <c r="AL74" s="1757">
        <f t="shared" ref="AL74:AM83" si="86">IF($AA$3=1,BC74,BT74)</f>
        <v>0</v>
      </c>
      <c r="AM74" s="1757">
        <f t="shared" si="86"/>
        <v>0</v>
      </c>
      <c r="AN74" s="1758">
        <f t="shared" ref="AN74:AN83" si="87">IF($AA$3=1,BE74,BV74)</f>
        <v>0</v>
      </c>
      <c r="AO74" s="1758">
        <f t="shared" ref="AO74:AO83" si="88">IF($AA$3=1,BF74,BW74)</f>
        <v>0</v>
      </c>
      <c r="AP74" s="1758">
        <f t="shared" ref="AP74:AP83" si="89">IF($AA$3=1,BG74,BX74)</f>
        <v>0</v>
      </c>
      <c r="AQ74" s="1630"/>
      <c r="AR74" s="1645">
        <v>0</v>
      </c>
      <c r="AS74" s="1691" t="s">
        <v>1460</v>
      </c>
      <c r="AT74" s="2061"/>
      <c r="AU74" s="1621"/>
      <c r="AV74" s="1621"/>
      <c r="AW74" s="1621"/>
      <c r="AX74" s="1621"/>
      <c r="AY74" s="1621"/>
      <c r="AZ74" s="1621"/>
      <c r="BA74" s="1621"/>
      <c r="BB74" s="1818"/>
      <c r="BC74" s="1621"/>
      <c r="BD74" s="1621"/>
      <c r="BE74" s="1623"/>
      <c r="BF74" s="1623"/>
      <c r="BG74" s="1623"/>
      <c r="BH74"/>
      <c r="BI74" s="1645">
        <v>0</v>
      </c>
      <c r="BJ74" s="1691" t="s">
        <v>1460</v>
      </c>
      <c r="BK74" s="2061"/>
      <c r="BL74" s="1621"/>
      <c r="BM74" s="1621"/>
      <c r="BN74" s="1621"/>
      <c r="BO74" s="1621"/>
      <c r="BP74" s="1621"/>
      <c r="BQ74" s="1621"/>
      <c r="BR74" s="1621"/>
      <c r="BS74" s="1818"/>
      <c r="BT74" s="1621"/>
      <c r="BU74" s="1621"/>
      <c r="BV74" s="1623"/>
      <c r="BW74" s="1623"/>
      <c r="BX74" s="1623"/>
      <c r="BY74"/>
    </row>
    <row r="75" spans="1:77" s="1603" customFormat="1" ht="13.5" customHeight="1">
      <c r="A75"/>
      <c r="B75" s="1604">
        <f t="shared" si="70"/>
        <v>2</v>
      </c>
      <c r="C75" s="1626" t="str">
        <f t="shared" si="71"/>
        <v>耐用性・信頼性</v>
      </c>
      <c r="D75" s="2059" t="e">
        <f>IF(I$61=0,0,G75/I$61)</f>
        <v>#DIV/0!</v>
      </c>
      <c r="E75" s="1741" t="e">
        <f>IF(J$61=0,0,H75/J$61)</f>
        <v>#DIV/0!</v>
      </c>
      <c r="F75"/>
      <c r="G75" s="1741" t="e">
        <f t="shared" si="72"/>
        <v>#DIV/0!</v>
      </c>
      <c r="H75" s="1741" t="e">
        <f t="shared" si="72"/>
        <v>#DIV/0!</v>
      </c>
      <c r="I75" s="1741" t="e">
        <f>G76+G79++G86+G90</f>
        <v>#DIV/0!</v>
      </c>
      <c r="J75" s="1741" t="e">
        <f>H76+H79++H86+H90</f>
        <v>#DIV/0!</v>
      </c>
      <c r="K75" s="1607" t="e">
        <f>IF(スコア表示!X75=0,0,1)</f>
        <v>#DIV/0!</v>
      </c>
      <c r="L75" s="1607" t="e">
        <f>IF(スコア表示!AB75=0,0,1)</f>
        <v>#DIV/0!</v>
      </c>
      <c r="M75"/>
      <c r="N75" s="1705" t="e">
        <f>IF(P$61=0,0,R75/P$61)</f>
        <v>#DIV/0!</v>
      </c>
      <c r="O75" s="1705" t="e">
        <f>IF(Q$61=0,0,S75/Q$61)</f>
        <v>#DIV/0!</v>
      </c>
      <c r="P75" s="1708" t="e">
        <f>SUM(R76:R95)</f>
        <v>#DIV/0!</v>
      </c>
      <c r="Q75" s="1708" t="e">
        <f>SUM(S76:S95)</f>
        <v>#DIV/0!</v>
      </c>
      <c r="R75" s="1607" t="e">
        <f>IF(スコア入力!R75="EB",重み_対象外!D75,U75)</f>
        <v>#DIV/0!</v>
      </c>
      <c r="S75" s="1607" t="e">
        <f>IF(スコア入力!Y75="EB",重み_対象外!E75,V75)</f>
        <v>#DIV/0!</v>
      </c>
      <c r="T75" s="1558"/>
      <c r="U75" s="1605" t="e">
        <f>SUM(U76:U95)</f>
        <v>#DIV/0!</v>
      </c>
      <c r="V75" s="1605" t="e">
        <f>SUM(V76:V95)</f>
        <v>#DIV/0!</v>
      </c>
      <c r="W75" s="1558"/>
      <c r="X75" s="1607" t="e">
        <f t="shared" si="73"/>
        <v>#DIV/0!</v>
      </c>
      <c r="Y75" s="1607">
        <v>1</v>
      </c>
      <c r="Z75" s="1640"/>
      <c r="AA75" s="1604">
        <f t="shared" si="75"/>
        <v>2</v>
      </c>
      <c r="AB75" s="1604" t="str">
        <f t="shared" si="76"/>
        <v xml:space="preserve"> Q2</v>
      </c>
      <c r="AC75" s="1604" t="str">
        <f t="shared" si="77"/>
        <v>耐用性・信頼性</v>
      </c>
      <c r="AD75" s="1754">
        <f t="shared" si="78"/>
        <v>0.3</v>
      </c>
      <c r="AE75" s="1754">
        <f t="shared" si="79"/>
        <v>0.3</v>
      </c>
      <c r="AF75" s="1754">
        <f t="shared" si="80"/>
        <v>0.3</v>
      </c>
      <c r="AG75" s="1754">
        <f t="shared" si="81"/>
        <v>0.3</v>
      </c>
      <c r="AH75" s="1754">
        <f t="shared" si="82"/>
        <v>0.3</v>
      </c>
      <c r="AI75" s="1754">
        <f t="shared" si="83"/>
        <v>0.3</v>
      </c>
      <c r="AJ75" s="1754">
        <f t="shared" si="84"/>
        <v>0.3</v>
      </c>
      <c r="AK75" s="1766">
        <f t="shared" si="85"/>
        <v>0.3</v>
      </c>
      <c r="AL75" s="1754">
        <f t="shared" si="86"/>
        <v>0.3</v>
      </c>
      <c r="AM75" s="1754">
        <f t="shared" si="86"/>
        <v>0.3</v>
      </c>
      <c r="AN75" s="1756">
        <f t="shared" si="87"/>
        <v>0</v>
      </c>
      <c r="AO75" s="1754">
        <f t="shared" si="88"/>
        <v>0</v>
      </c>
      <c r="AP75" s="1754">
        <f t="shared" si="89"/>
        <v>0</v>
      </c>
      <c r="AQ75" s="1610"/>
      <c r="AR75" s="1639">
        <v>2</v>
      </c>
      <c r="AS75" s="1742" t="s">
        <v>312</v>
      </c>
      <c r="AT75" s="1785" t="s">
        <v>413</v>
      </c>
      <c r="AU75" s="1709">
        <v>0.3</v>
      </c>
      <c r="AV75" s="1709">
        <v>0.3</v>
      </c>
      <c r="AW75" s="1709">
        <v>0.3</v>
      </c>
      <c r="AX75" s="1709">
        <v>0.3</v>
      </c>
      <c r="AY75" s="1709">
        <v>0.3</v>
      </c>
      <c r="AZ75" s="1709">
        <v>0.3</v>
      </c>
      <c r="BA75" s="1709">
        <v>0.3</v>
      </c>
      <c r="BB75" s="1709">
        <v>0.3</v>
      </c>
      <c r="BC75" s="1709">
        <v>0.3</v>
      </c>
      <c r="BD75" s="1709">
        <v>0.3</v>
      </c>
      <c r="BE75" s="2060"/>
      <c r="BF75" s="1709"/>
      <c r="BG75" s="1709"/>
      <c r="BH75"/>
      <c r="BI75" s="1639">
        <v>2</v>
      </c>
      <c r="BJ75" s="1742" t="s">
        <v>312</v>
      </c>
      <c r="BK75" s="1785" t="s">
        <v>413</v>
      </c>
      <c r="BL75" s="1709">
        <v>0.3</v>
      </c>
      <c r="BM75" s="1709">
        <v>0.3</v>
      </c>
      <c r="BN75" s="1709">
        <v>0.3</v>
      </c>
      <c r="BO75" s="1709">
        <v>0.3</v>
      </c>
      <c r="BP75" s="1709">
        <v>0.3</v>
      </c>
      <c r="BQ75" s="1709">
        <v>0.3</v>
      </c>
      <c r="BR75" s="1709">
        <v>0.3</v>
      </c>
      <c r="BS75" s="1709">
        <v>0.3</v>
      </c>
      <c r="BT75" s="1709">
        <v>0.3</v>
      </c>
      <c r="BU75" s="1709">
        <v>0.3</v>
      </c>
      <c r="BV75" s="2060"/>
      <c r="BW75" s="1709"/>
      <c r="BX75" s="1709"/>
      <c r="BY75"/>
    </row>
    <row r="76" spans="1:77" ht="13.5" customHeight="1">
      <c r="B76" s="1611">
        <f t="shared" si="70"/>
        <v>2.1</v>
      </c>
      <c r="C76" s="1645" t="str">
        <f t="shared" si="71"/>
        <v>耐震･免震</v>
      </c>
      <c r="D76" s="1714" t="e">
        <f>IF(I$75=0,0,G76/I$75)</f>
        <v>#DIV/0!</v>
      </c>
      <c r="E76" s="1689" t="e">
        <f>IF(J$75=0,0,H76/J$75)</f>
        <v>#DIV/0!</v>
      </c>
      <c r="G76" s="1689" t="e">
        <f t="shared" si="72"/>
        <v>#DIV/0!</v>
      </c>
      <c r="H76" s="1689" t="e">
        <f t="shared" si="72"/>
        <v>#DIV/0!</v>
      </c>
      <c r="I76" s="1689" t="e">
        <f>SUM(G77:G78)</f>
        <v>#DIV/0!</v>
      </c>
      <c r="J76" s="1689" t="e">
        <f>SUM(H77:H78)</f>
        <v>#DIV/0!</v>
      </c>
      <c r="K76" s="1614" t="e">
        <f>IF(スコア表示!X76=0,0,1)</f>
        <v>#DIV/0!</v>
      </c>
      <c r="L76" s="1614" t="e">
        <f>IF(スコア表示!AB76=0,0,1)</f>
        <v>#DIV/0!</v>
      </c>
      <c r="N76" s="1711" t="e">
        <f>IF(P$75=0,0,P76/P$75)</f>
        <v>#DIV/0!</v>
      </c>
      <c r="O76" s="1711" t="e">
        <f>IF(Q$75=0,0,Q76/Q$75)</f>
        <v>#DIV/0!</v>
      </c>
      <c r="P76" s="1614" t="e">
        <f>SUM(R77:R78)</f>
        <v>#DIV/0!</v>
      </c>
      <c r="Q76" s="1614" t="e">
        <f>SUM(S77:S78)</f>
        <v>#DIV/0!</v>
      </c>
      <c r="R76" s="1614">
        <f>IF(スコア入力!R76="EB",重み_対象外!D76,U76)</f>
        <v>0</v>
      </c>
      <c r="S76" s="1614">
        <f>IF(スコア入力!Y76="EB",重み_対象外!E76,V76)</f>
        <v>0</v>
      </c>
      <c r="T76" s="1558"/>
      <c r="U76" s="1628"/>
      <c r="V76" s="1628"/>
      <c r="W76" s="1558"/>
      <c r="X76" s="1614" t="e">
        <f t="shared" si="73"/>
        <v>#DIV/0!</v>
      </c>
      <c r="Y76" s="1614" t="e">
        <f t="shared" si="74"/>
        <v>#DIV/0!</v>
      </c>
      <c r="Z76" s="1642"/>
      <c r="AA76" s="1611">
        <f t="shared" si="75"/>
        <v>2.1</v>
      </c>
      <c r="AB76" s="1611" t="str">
        <f t="shared" si="76"/>
        <v xml:space="preserve"> Q2 2</v>
      </c>
      <c r="AC76" s="1611" t="str">
        <f t="shared" si="77"/>
        <v>耐震･免震</v>
      </c>
      <c r="AD76" s="1757">
        <f t="shared" si="78"/>
        <v>0.5</v>
      </c>
      <c r="AE76" s="1757">
        <f t="shared" si="79"/>
        <v>0.5</v>
      </c>
      <c r="AF76" s="1757">
        <f t="shared" si="80"/>
        <v>0.5</v>
      </c>
      <c r="AG76" s="1757">
        <f t="shared" si="81"/>
        <v>0.5</v>
      </c>
      <c r="AH76" s="1757">
        <f t="shared" si="82"/>
        <v>0.5</v>
      </c>
      <c r="AI76" s="1757">
        <f t="shared" si="83"/>
        <v>0.5</v>
      </c>
      <c r="AJ76" s="1757">
        <f t="shared" si="84"/>
        <v>0.5</v>
      </c>
      <c r="AK76" s="1759">
        <f t="shared" si="85"/>
        <v>0.5</v>
      </c>
      <c r="AL76" s="1757">
        <f t="shared" si="86"/>
        <v>0.5</v>
      </c>
      <c r="AM76" s="1757">
        <f t="shared" si="86"/>
        <v>0.5</v>
      </c>
      <c r="AN76" s="1758">
        <f t="shared" si="87"/>
        <v>0</v>
      </c>
      <c r="AO76" s="1757">
        <f t="shared" si="88"/>
        <v>0</v>
      </c>
      <c r="AP76" s="1757">
        <f t="shared" si="89"/>
        <v>0</v>
      </c>
      <c r="AQ76" s="1618"/>
      <c r="AR76" s="1645">
        <v>2.1</v>
      </c>
      <c r="AS76" s="1691" t="s">
        <v>327</v>
      </c>
      <c r="AT76" s="1735" t="s">
        <v>691</v>
      </c>
      <c r="AU76" s="1621">
        <v>0.5</v>
      </c>
      <c r="AV76" s="1621">
        <v>0.5</v>
      </c>
      <c r="AW76" s="1621">
        <v>0.5</v>
      </c>
      <c r="AX76" s="1621">
        <v>0.5</v>
      </c>
      <c r="AY76" s="1621">
        <v>0.5</v>
      </c>
      <c r="AZ76" s="1621">
        <v>0.5</v>
      </c>
      <c r="BA76" s="1621">
        <v>0.5</v>
      </c>
      <c r="BB76" s="1622">
        <v>0.5</v>
      </c>
      <c r="BC76" s="1621">
        <v>0.5</v>
      </c>
      <c r="BD76" s="1621">
        <v>0.5</v>
      </c>
      <c r="BE76" s="1623"/>
      <c r="BF76" s="1621"/>
      <c r="BG76" s="1621"/>
      <c r="BI76" s="1645">
        <v>2.1</v>
      </c>
      <c r="BJ76" s="1691" t="s">
        <v>327</v>
      </c>
      <c r="BK76" s="1735" t="s">
        <v>691</v>
      </c>
      <c r="BL76" s="1621">
        <v>0.5</v>
      </c>
      <c r="BM76" s="1621">
        <v>0.5</v>
      </c>
      <c r="BN76" s="1621">
        <v>0.5</v>
      </c>
      <c r="BO76" s="1621">
        <v>0.5</v>
      </c>
      <c r="BP76" s="1621">
        <v>0.5</v>
      </c>
      <c r="BQ76" s="1621">
        <v>0.5</v>
      </c>
      <c r="BR76" s="1621">
        <v>0.5</v>
      </c>
      <c r="BS76" s="1622">
        <v>0.5</v>
      </c>
      <c r="BT76" s="1621">
        <v>0.5</v>
      </c>
      <c r="BU76" s="1621">
        <v>0.5</v>
      </c>
      <c r="BV76" s="1623"/>
      <c r="BW76" s="1621"/>
      <c r="BX76" s="1621"/>
    </row>
    <row r="77" spans="1:77" ht="13.5" customHeight="1">
      <c r="B77" s="1619" t="str">
        <f t="shared" si="70"/>
        <v>2.1.1</v>
      </c>
      <c r="C77" s="1612" t="str">
        <f t="shared" si="71"/>
        <v>耐震性</v>
      </c>
      <c r="D77" s="1719" t="e">
        <f>IF(I$76&gt;0,G77/I$76,0)</f>
        <v>#DIV/0!</v>
      </c>
      <c r="E77" s="1689" t="e">
        <f>IF(J$76&gt;0,H77/J$76,0)</f>
        <v>#DIV/0!</v>
      </c>
      <c r="G77" s="1689" t="e">
        <f t="shared" si="72"/>
        <v>#DIV/0!</v>
      </c>
      <c r="H77" s="1689" t="e">
        <f t="shared" si="72"/>
        <v>#DIV/0!</v>
      </c>
      <c r="I77" s="1689"/>
      <c r="J77" s="1689"/>
      <c r="K77" s="1614">
        <f>IF(スコア表示!X77=0,0,1)</f>
        <v>1</v>
      </c>
      <c r="L77" s="1614">
        <f>IF(スコア表示!AB77=0,0,1)</f>
        <v>0</v>
      </c>
      <c r="N77" s="1706" t="e">
        <f>IF(P$76&gt;0,R77/P$76,0)</f>
        <v>#DIV/0!</v>
      </c>
      <c r="O77" s="1706" t="e">
        <f>IF(Q$76&gt;0,S77/Q$76,0)</f>
        <v>#DIV/0!</v>
      </c>
      <c r="P77" s="1614"/>
      <c r="Q77" s="1614"/>
      <c r="R77" s="1614" t="e">
        <f>IF(スコア入力!R77="EB",重み_対象外!D77,U77)</f>
        <v>#DIV/0!</v>
      </c>
      <c r="S77" s="1614" t="e">
        <f>IF(スコア入力!Y77="EB",重み_対象外!E77,V77)</f>
        <v>#DIV/0!</v>
      </c>
      <c r="T77" s="1558"/>
      <c r="U77" s="1612" t="e">
        <f>X$75*X$76*X77</f>
        <v>#DIV/0!</v>
      </c>
      <c r="V77" s="1612" t="e">
        <f>Y$75*Y$76*Y77</f>
        <v>#DIV/0!</v>
      </c>
      <c r="W77" s="1558"/>
      <c r="X77" s="1614" t="e">
        <f t="shared" si="73"/>
        <v>#DIV/0!</v>
      </c>
      <c r="Y77" s="1614" t="e">
        <f t="shared" si="74"/>
        <v>#DIV/0!</v>
      </c>
      <c r="Z77" s="1643"/>
      <c r="AA77" s="1611" t="str">
        <f t="shared" si="75"/>
        <v>2.1.1</v>
      </c>
      <c r="AB77" s="1611" t="str">
        <f t="shared" si="76"/>
        <v xml:space="preserve"> Q2 2.1</v>
      </c>
      <c r="AC77" s="1611" t="str">
        <f t="shared" si="77"/>
        <v>耐震性</v>
      </c>
      <c r="AD77" s="1757">
        <f t="shared" si="78"/>
        <v>0.8</v>
      </c>
      <c r="AE77" s="1757">
        <f t="shared" si="79"/>
        <v>0.8</v>
      </c>
      <c r="AF77" s="1757">
        <f t="shared" si="80"/>
        <v>0.8</v>
      </c>
      <c r="AG77" s="1757">
        <f t="shared" si="81"/>
        <v>0.8</v>
      </c>
      <c r="AH77" s="1757">
        <f t="shared" si="82"/>
        <v>0.8</v>
      </c>
      <c r="AI77" s="1757">
        <f t="shared" si="83"/>
        <v>0.8</v>
      </c>
      <c r="AJ77" s="1757">
        <f t="shared" si="84"/>
        <v>0.8</v>
      </c>
      <c r="AK77" s="1759">
        <f t="shared" si="85"/>
        <v>0.8</v>
      </c>
      <c r="AL77" s="1757">
        <f t="shared" si="86"/>
        <v>0.8</v>
      </c>
      <c r="AM77" s="1757">
        <f t="shared" si="86"/>
        <v>0.8</v>
      </c>
      <c r="AN77" s="1758">
        <f t="shared" si="87"/>
        <v>0</v>
      </c>
      <c r="AO77" s="1757">
        <f t="shared" si="88"/>
        <v>0</v>
      </c>
      <c r="AP77" s="1757">
        <f t="shared" si="89"/>
        <v>0</v>
      </c>
      <c r="AQ77" s="1630"/>
      <c r="AR77" s="1645" t="s">
        <v>1461</v>
      </c>
      <c r="AS77" s="1691" t="s">
        <v>328</v>
      </c>
      <c r="AT77" s="2061" t="s">
        <v>329</v>
      </c>
      <c r="AU77" s="1621">
        <v>0.8</v>
      </c>
      <c r="AV77" s="1621">
        <v>0.8</v>
      </c>
      <c r="AW77" s="1621">
        <v>0.8</v>
      </c>
      <c r="AX77" s="1621">
        <v>0.8</v>
      </c>
      <c r="AY77" s="1621">
        <v>0.8</v>
      </c>
      <c r="AZ77" s="1621">
        <v>0.8</v>
      </c>
      <c r="BA77" s="1621">
        <v>0.8</v>
      </c>
      <c r="BB77" s="1622">
        <v>0.8</v>
      </c>
      <c r="BC77" s="1621">
        <v>0.8</v>
      </c>
      <c r="BD77" s="1621">
        <v>0.8</v>
      </c>
      <c r="BE77" s="1623"/>
      <c r="BF77" s="1621"/>
      <c r="BG77" s="1621"/>
      <c r="BI77" s="1645" t="s">
        <v>1461</v>
      </c>
      <c r="BJ77" s="1691" t="s">
        <v>328</v>
      </c>
      <c r="BK77" s="2061" t="s">
        <v>329</v>
      </c>
      <c r="BL77" s="1621">
        <v>0.8</v>
      </c>
      <c r="BM77" s="1621">
        <v>0.8</v>
      </c>
      <c r="BN77" s="1621">
        <v>0.8</v>
      </c>
      <c r="BO77" s="1621">
        <v>0.8</v>
      </c>
      <c r="BP77" s="1621">
        <v>0.8</v>
      </c>
      <c r="BQ77" s="1621">
        <v>0.8</v>
      </c>
      <c r="BR77" s="1621">
        <v>0.8</v>
      </c>
      <c r="BS77" s="1622">
        <v>0.8</v>
      </c>
      <c r="BT77" s="1621">
        <v>0.8</v>
      </c>
      <c r="BU77" s="1621">
        <v>0.8</v>
      </c>
      <c r="BV77" s="1623"/>
      <c r="BW77" s="1621"/>
      <c r="BX77" s="1621"/>
    </row>
    <row r="78" spans="1:77" ht="13.5" customHeight="1">
      <c r="B78" s="1619" t="str">
        <f t="shared" si="70"/>
        <v>2.1.2</v>
      </c>
      <c r="C78" s="1612" t="str">
        <f t="shared" si="71"/>
        <v>免震・制振性能</v>
      </c>
      <c r="D78" s="1719" t="e">
        <f>IF(I$76&gt;0,G78/I$76,0)</f>
        <v>#DIV/0!</v>
      </c>
      <c r="E78" s="1689" t="e">
        <f>IF(J$76&gt;0,H78/J$76,0)</f>
        <v>#DIV/0!</v>
      </c>
      <c r="G78" s="1689" t="e">
        <f t="shared" si="72"/>
        <v>#DIV/0!</v>
      </c>
      <c r="H78" s="1689" t="e">
        <f t="shared" si="72"/>
        <v>#DIV/0!</v>
      </c>
      <c r="I78" s="1689"/>
      <c r="J78" s="1689"/>
      <c r="K78" s="1614">
        <f>IF(スコア表示!X78=0,0,1)</f>
        <v>1</v>
      </c>
      <c r="L78" s="1614">
        <f>IF(スコア表示!AB78=0,0,1)</f>
        <v>0</v>
      </c>
      <c r="N78" s="1706" t="e">
        <f>IF(P$76&gt;0,R78/P$76,0)</f>
        <v>#DIV/0!</v>
      </c>
      <c r="O78" s="1706" t="e">
        <f>IF(Q$76&gt;0,S78/Q$76,0)</f>
        <v>#DIV/0!</v>
      </c>
      <c r="P78" s="1614"/>
      <c r="Q78" s="1614"/>
      <c r="R78" s="1614" t="e">
        <f>IF(スコア入力!R78="EB",重み_対象外!D78,U78)</f>
        <v>#DIV/0!</v>
      </c>
      <c r="S78" s="1614" t="e">
        <f>IF(スコア入力!Y78="EB",重み_対象外!E78,V78)</f>
        <v>#DIV/0!</v>
      </c>
      <c r="T78" s="1558"/>
      <c r="U78" s="1612" t="e">
        <f>X$75*X$76*X78</f>
        <v>#DIV/0!</v>
      </c>
      <c r="V78" s="1612" t="e">
        <f>Y$75*Y$76*Y78</f>
        <v>#DIV/0!</v>
      </c>
      <c r="W78" s="1558"/>
      <c r="X78" s="1614" t="e">
        <f t="shared" si="73"/>
        <v>#DIV/0!</v>
      </c>
      <c r="Y78" s="1614" t="e">
        <f t="shared" si="74"/>
        <v>#DIV/0!</v>
      </c>
      <c r="Z78" s="1643"/>
      <c r="AA78" s="1611" t="str">
        <f t="shared" si="75"/>
        <v>2.1.2</v>
      </c>
      <c r="AB78" s="1611" t="str">
        <f t="shared" si="76"/>
        <v xml:space="preserve"> Q2 2.1</v>
      </c>
      <c r="AC78" s="1611" t="str">
        <f t="shared" si="77"/>
        <v>免震・制振性能</v>
      </c>
      <c r="AD78" s="1757">
        <f t="shared" si="78"/>
        <v>0.2</v>
      </c>
      <c r="AE78" s="1757">
        <f t="shared" si="79"/>
        <v>0.2</v>
      </c>
      <c r="AF78" s="1757">
        <f t="shared" si="80"/>
        <v>0.2</v>
      </c>
      <c r="AG78" s="1757">
        <f t="shared" si="81"/>
        <v>0.2</v>
      </c>
      <c r="AH78" s="1757">
        <f t="shared" si="82"/>
        <v>0.2</v>
      </c>
      <c r="AI78" s="1757">
        <f t="shared" si="83"/>
        <v>0.2</v>
      </c>
      <c r="AJ78" s="1757">
        <f t="shared" si="84"/>
        <v>0.2</v>
      </c>
      <c r="AK78" s="1759">
        <f t="shared" si="85"/>
        <v>0.2</v>
      </c>
      <c r="AL78" s="1757">
        <f t="shared" si="86"/>
        <v>0.2</v>
      </c>
      <c r="AM78" s="1757">
        <f t="shared" si="86"/>
        <v>0.2</v>
      </c>
      <c r="AN78" s="1758">
        <f t="shared" si="87"/>
        <v>0</v>
      </c>
      <c r="AO78" s="1757">
        <f t="shared" si="88"/>
        <v>0</v>
      </c>
      <c r="AP78" s="1757">
        <f t="shared" si="89"/>
        <v>0</v>
      </c>
      <c r="AQ78" s="1630"/>
      <c r="AR78" s="1645" t="s">
        <v>1462</v>
      </c>
      <c r="AS78" s="1691" t="s">
        <v>328</v>
      </c>
      <c r="AT78" s="2061" t="s">
        <v>414</v>
      </c>
      <c r="AU78" s="1621">
        <v>0.2</v>
      </c>
      <c r="AV78" s="1621">
        <v>0.2</v>
      </c>
      <c r="AW78" s="1621">
        <v>0.2</v>
      </c>
      <c r="AX78" s="1621">
        <v>0.2</v>
      </c>
      <c r="AY78" s="1621">
        <v>0.2</v>
      </c>
      <c r="AZ78" s="1621">
        <v>0.2</v>
      </c>
      <c r="BA78" s="1621">
        <v>0.2</v>
      </c>
      <c r="BB78" s="1622">
        <v>0.2</v>
      </c>
      <c r="BC78" s="1621">
        <v>0.2</v>
      </c>
      <c r="BD78" s="1621">
        <v>0.2</v>
      </c>
      <c r="BE78" s="1623"/>
      <c r="BF78" s="1621"/>
      <c r="BG78" s="1621"/>
      <c r="BI78" s="1645" t="s">
        <v>1462</v>
      </c>
      <c r="BJ78" s="1691" t="s">
        <v>328</v>
      </c>
      <c r="BK78" s="2061" t="s">
        <v>414</v>
      </c>
      <c r="BL78" s="1621">
        <v>0.2</v>
      </c>
      <c r="BM78" s="1621">
        <v>0.2</v>
      </c>
      <c r="BN78" s="1621">
        <v>0.2</v>
      </c>
      <c r="BO78" s="1621">
        <v>0.2</v>
      </c>
      <c r="BP78" s="1621">
        <v>0.2</v>
      </c>
      <c r="BQ78" s="1621">
        <v>0.2</v>
      </c>
      <c r="BR78" s="1621">
        <v>0.2</v>
      </c>
      <c r="BS78" s="1622">
        <v>0.2</v>
      </c>
      <c r="BT78" s="1621">
        <v>0.2</v>
      </c>
      <c r="BU78" s="1621">
        <v>0.2</v>
      </c>
      <c r="BV78" s="1623"/>
      <c r="BW78" s="1621"/>
      <c r="BX78" s="1621"/>
    </row>
    <row r="79" spans="1:77" ht="13.5" customHeight="1">
      <c r="B79" s="1645">
        <f t="shared" si="70"/>
        <v>2.2000000000000002</v>
      </c>
      <c r="C79" s="1645" t="str">
        <f t="shared" si="71"/>
        <v>部品・部材の耐用年数</v>
      </c>
      <c r="D79" s="1714" t="e">
        <f>IF(I$75=0,0,G79/I$75)</f>
        <v>#DIV/0!</v>
      </c>
      <c r="E79" s="1689" t="e">
        <f>IF(J$75=0,0,H79/J$75)</f>
        <v>#DIV/0!</v>
      </c>
      <c r="G79" s="1689" t="e">
        <f t="shared" si="72"/>
        <v>#DIV/0!</v>
      </c>
      <c r="H79" s="1689" t="e">
        <f t="shared" si="72"/>
        <v>#DIV/0!</v>
      </c>
      <c r="I79" s="1689" t="e">
        <f>SUM(G80:G85)</f>
        <v>#DIV/0!</v>
      </c>
      <c r="J79" s="1689" t="e">
        <f>SUM(H80:H85)</f>
        <v>#DIV/0!</v>
      </c>
      <c r="K79" s="1614" t="e">
        <f>IF(スコア表示!X79=0,0,1)</f>
        <v>#DIV/0!</v>
      </c>
      <c r="L79" s="1614" t="e">
        <f>IF(スコア表示!AB79=0,0,1)</f>
        <v>#DIV/0!</v>
      </c>
      <c r="N79" s="1714" t="e">
        <f>IF(P$75=0,0,P79/P$75)</f>
        <v>#DIV/0!</v>
      </c>
      <c r="O79" s="1714" t="e">
        <f>IF(Q$75=0,0,Q79/Q$75)</f>
        <v>#DIV/0!</v>
      </c>
      <c r="P79" s="1689" t="e">
        <f>SUM(R80:R85)</f>
        <v>#DIV/0!</v>
      </c>
      <c r="Q79" s="1689" t="e">
        <f>SUM(S80:S85)</f>
        <v>#DIV/0!</v>
      </c>
      <c r="R79" s="1614">
        <f>IF(スコア入力!R79="EB",重み_対象外!D79,U79)</f>
        <v>0</v>
      </c>
      <c r="S79" s="1614">
        <f>IF(スコア入力!Y79="EB",重み_対象外!E79,V79)</f>
        <v>0</v>
      </c>
      <c r="T79" s="1558"/>
      <c r="U79" s="1628"/>
      <c r="V79" s="1628"/>
      <c r="W79" s="1558"/>
      <c r="X79" s="1689" t="e">
        <f t="shared" si="73"/>
        <v>#DIV/0!</v>
      </c>
      <c r="Y79" s="1689" t="e">
        <f t="shared" si="74"/>
        <v>#DIV/0!</v>
      </c>
      <c r="Z79" s="1715"/>
      <c r="AA79" s="1716">
        <f t="shared" si="75"/>
        <v>2.2000000000000002</v>
      </c>
      <c r="AB79" s="1691" t="str">
        <f t="shared" si="76"/>
        <v xml:space="preserve"> Q2 2</v>
      </c>
      <c r="AC79" s="1718" t="str">
        <f t="shared" si="77"/>
        <v>部品・部材の耐用年数</v>
      </c>
      <c r="AD79" s="1621">
        <f t="shared" si="78"/>
        <v>0.3</v>
      </c>
      <c r="AE79" s="1621">
        <f t="shared" si="79"/>
        <v>0.3</v>
      </c>
      <c r="AF79" s="1621">
        <f t="shared" si="80"/>
        <v>0.3</v>
      </c>
      <c r="AG79" s="1621">
        <f t="shared" si="81"/>
        <v>0.3</v>
      </c>
      <c r="AH79" s="1621">
        <f t="shared" si="82"/>
        <v>0.3</v>
      </c>
      <c r="AI79" s="1621">
        <f t="shared" si="83"/>
        <v>0.3</v>
      </c>
      <c r="AJ79" s="1621">
        <f t="shared" si="84"/>
        <v>0.3</v>
      </c>
      <c r="AK79" s="1621">
        <f t="shared" si="85"/>
        <v>0.3</v>
      </c>
      <c r="AL79" s="1621">
        <f t="shared" si="86"/>
        <v>0.3</v>
      </c>
      <c r="AM79" s="1621">
        <f t="shared" si="86"/>
        <v>0.3</v>
      </c>
      <c r="AN79" s="1623">
        <f t="shared" si="87"/>
        <v>0</v>
      </c>
      <c r="AO79" s="1621">
        <f t="shared" si="88"/>
        <v>0</v>
      </c>
      <c r="AP79" s="1621">
        <f t="shared" si="89"/>
        <v>0</v>
      </c>
      <c r="AQ79" s="1717"/>
      <c r="AR79" s="1645">
        <v>2.2000000000000002</v>
      </c>
      <c r="AS79" s="1691" t="s">
        <v>327</v>
      </c>
      <c r="AT79" s="1735" t="s">
        <v>697</v>
      </c>
      <c r="AU79" s="1621">
        <v>0.3</v>
      </c>
      <c r="AV79" s="1621">
        <v>0.3</v>
      </c>
      <c r="AW79" s="1621">
        <v>0.3</v>
      </c>
      <c r="AX79" s="1621">
        <v>0.3</v>
      </c>
      <c r="AY79" s="1621">
        <v>0.3</v>
      </c>
      <c r="AZ79" s="1621">
        <v>0.3</v>
      </c>
      <c r="BA79" s="1621">
        <v>0.3</v>
      </c>
      <c r="BB79" s="1622">
        <v>0.3</v>
      </c>
      <c r="BC79" s="1621">
        <v>0.3</v>
      </c>
      <c r="BD79" s="1621">
        <v>0.3</v>
      </c>
      <c r="BE79" s="1623"/>
      <c r="BF79" s="1621"/>
      <c r="BG79" s="1621"/>
      <c r="BI79" s="1645">
        <v>2.2000000000000002</v>
      </c>
      <c r="BJ79" s="1691" t="s">
        <v>327</v>
      </c>
      <c r="BK79" s="1735" t="s">
        <v>697</v>
      </c>
      <c r="BL79" s="1621">
        <v>0.3</v>
      </c>
      <c r="BM79" s="1621">
        <v>0.3</v>
      </c>
      <c r="BN79" s="1621">
        <v>0.3</v>
      </c>
      <c r="BO79" s="1621">
        <v>0.3</v>
      </c>
      <c r="BP79" s="1621">
        <v>0.3</v>
      </c>
      <c r="BQ79" s="1621">
        <v>0.3</v>
      </c>
      <c r="BR79" s="1621">
        <v>0.3</v>
      </c>
      <c r="BS79" s="1622">
        <v>0.3</v>
      </c>
      <c r="BT79" s="1621">
        <v>0.3</v>
      </c>
      <c r="BU79" s="1621">
        <v>0.3</v>
      </c>
      <c r="BV79" s="1623"/>
      <c r="BW79" s="1621"/>
      <c r="BX79" s="1621"/>
    </row>
    <row r="80" spans="1:77" ht="13.5" customHeight="1">
      <c r="B80" s="1677" t="str">
        <f t="shared" si="70"/>
        <v>2.2.1</v>
      </c>
      <c r="C80" s="1612" t="str">
        <f t="shared" si="71"/>
        <v>躯体材料の耐用年数</v>
      </c>
      <c r="D80" s="1719" t="e">
        <f t="shared" ref="D80:E85" si="90">IF(I$79&gt;0,G80/I$79,0)</f>
        <v>#DIV/0!</v>
      </c>
      <c r="E80" s="1689" t="e">
        <f t="shared" si="90"/>
        <v>#DIV/0!</v>
      </c>
      <c r="G80" s="1689" t="e">
        <f t="shared" si="72"/>
        <v>#DIV/0!</v>
      </c>
      <c r="H80" s="1689" t="e">
        <f t="shared" si="72"/>
        <v>#DIV/0!</v>
      </c>
      <c r="I80" s="1689"/>
      <c r="J80" s="1689"/>
      <c r="K80" s="1614">
        <f>IF(スコア表示!X80=0,0,1)</f>
        <v>1</v>
      </c>
      <c r="L80" s="1614">
        <f>IF(スコア表示!AB80=0,0,1)</f>
        <v>0</v>
      </c>
      <c r="N80" s="1719" t="e">
        <f t="shared" ref="N80:O85" si="91">IF(P$79&gt;0,R80/P$79,0)</f>
        <v>#DIV/0!</v>
      </c>
      <c r="O80" s="1719" t="e">
        <f t="shared" si="91"/>
        <v>#DIV/0!</v>
      </c>
      <c r="P80" s="1689"/>
      <c r="Q80" s="1689"/>
      <c r="R80" s="1614" t="e">
        <f>IF(スコア入力!R80="EB",重み_対象外!D80,U80)</f>
        <v>#DIV/0!</v>
      </c>
      <c r="S80" s="1614" t="e">
        <f>IF(スコア入力!Y80="EB",重み_対象外!E80,V80)</f>
        <v>#DIV/0!</v>
      </c>
      <c r="T80" s="1558"/>
      <c r="U80" s="1612" t="e">
        <f>X$75*X$79*X80</f>
        <v>#DIV/0!</v>
      </c>
      <c r="V80" s="1612" t="e">
        <f>Y$75*Y$79*Y80</f>
        <v>#DIV/0!</v>
      </c>
      <c r="W80" s="1558"/>
      <c r="X80" s="1689" t="e">
        <f t="shared" si="73"/>
        <v>#DIV/0!</v>
      </c>
      <c r="Y80" s="1689" t="e">
        <f t="shared" si="74"/>
        <v>#DIV/0!</v>
      </c>
      <c r="Z80" s="1715"/>
      <c r="AA80" s="1720" t="str">
        <f t="shared" si="75"/>
        <v>2.2.1</v>
      </c>
      <c r="AB80" s="1691" t="str">
        <f t="shared" si="76"/>
        <v xml:space="preserve"> Q2 2.2</v>
      </c>
      <c r="AC80" s="1718" t="str">
        <f t="shared" si="77"/>
        <v>躯体材料の耐用年数</v>
      </c>
      <c r="AD80" s="1621">
        <f t="shared" si="78"/>
        <v>0.2</v>
      </c>
      <c r="AE80" s="1621">
        <f t="shared" si="79"/>
        <v>0.2</v>
      </c>
      <c r="AF80" s="1621">
        <f t="shared" si="80"/>
        <v>0.2</v>
      </c>
      <c r="AG80" s="1621">
        <f t="shared" si="81"/>
        <v>0.2</v>
      </c>
      <c r="AH80" s="1621">
        <f t="shared" si="82"/>
        <v>0.2</v>
      </c>
      <c r="AI80" s="1621">
        <f t="shared" si="83"/>
        <v>0.2</v>
      </c>
      <c r="AJ80" s="1621">
        <f t="shared" si="84"/>
        <v>0.2</v>
      </c>
      <c r="AK80" s="1621">
        <f t="shared" si="85"/>
        <v>0.2</v>
      </c>
      <c r="AL80" s="1621">
        <f t="shared" si="86"/>
        <v>0.2</v>
      </c>
      <c r="AM80" s="1621">
        <f t="shared" si="86"/>
        <v>0.2</v>
      </c>
      <c r="AN80" s="1623">
        <f t="shared" si="87"/>
        <v>0</v>
      </c>
      <c r="AO80" s="1621">
        <f t="shared" si="88"/>
        <v>0</v>
      </c>
      <c r="AP80" s="1621">
        <f t="shared" si="89"/>
        <v>0</v>
      </c>
      <c r="AQ80" s="1717"/>
      <c r="AR80" s="1645" t="s">
        <v>1463</v>
      </c>
      <c r="AS80" s="1691" t="s">
        <v>330</v>
      </c>
      <c r="AT80" s="2061" t="s">
        <v>699</v>
      </c>
      <c r="AU80" s="1621">
        <v>0.2</v>
      </c>
      <c r="AV80" s="1621">
        <v>0.2</v>
      </c>
      <c r="AW80" s="1621">
        <v>0.2</v>
      </c>
      <c r="AX80" s="1621">
        <v>0.2</v>
      </c>
      <c r="AY80" s="1621">
        <v>0.2</v>
      </c>
      <c r="AZ80" s="1621">
        <v>0.2</v>
      </c>
      <c r="BA80" s="1621">
        <v>0.2</v>
      </c>
      <c r="BB80" s="1621">
        <v>0.2</v>
      </c>
      <c r="BC80" s="1621">
        <v>0.2</v>
      </c>
      <c r="BD80" s="1621">
        <v>0.2</v>
      </c>
      <c r="BE80" s="1623"/>
      <c r="BF80" s="1621"/>
      <c r="BG80" s="1621"/>
      <c r="BI80" s="1645" t="s">
        <v>1463</v>
      </c>
      <c r="BJ80" s="1691" t="s">
        <v>330</v>
      </c>
      <c r="BK80" s="2061" t="s">
        <v>699</v>
      </c>
      <c r="BL80" s="1621">
        <v>0.2</v>
      </c>
      <c r="BM80" s="1621">
        <v>0.2</v>
      </c>
      <c r="BN80" s="1621">
        <v>0.2</v>
      </c>
      <c r="BO80" s="1621">
        <v>0.2</v>
      </c>
      <c r="BP80" s="1621">
        <v>0.2</v>
      </c>
      <c r="BQ80" s="1621">
        <v>0.2</v>
      </c>
      <c r="BR80" s="1621">
        <v>0.2</v>
      </c>
      <c r="BS80" s="1621">
        <v>0.2</v>
      </c>
      <c r="BT80" s="1621">
        <v>0.2</v>
      </c>
      <c r="BU80" s="1621">
        <v>0.2</v>
      </c>
      <c r="BV80" s="1623"/>
      <c r="BW80" s="1621"/>
      <c r="BX80" s="1621"/>
    </row>
    <row r="81" spans="2:76" ht="13.5" customHeight="1">
      <c r="B81" s="1677" t="str">
        <f t="shared" si="70"/>
        <v>2.2.2</v>
      </c>
      <c r="C81" s="1612" t="str">
        <f t="shared" si="71"/>
        <v>外壁仕上げ材の補修必要間隔</v>
      </c>
      <c r="D81" s="1719" t="e">
        <f t="shared" si="90"/>
        <v>#DIV/0!</v>
      </c>
      <c r="E81" s="1689" t="e">
        <f t="shared" si="90"/>
        <v>#DIV/0!</v>
      </c>
      <c r="G81" s="1689" t="e">
        <f t="shared" si="72"/>
        <v>#DIV/0!</v>
      </c>
      <c r="H81" s="1689" t="e">
        <f t="shared" si="72"/>
        <v>#DIV/0!</v>
      </c>
      <c r="I81" s="1689"/>
      <c r="J81" s="1689"/>
      <c r="K81" s="1614">
        <f>IF(スコア表示!X81=0,0,1)</f>
        <v>1</v>
      </c>
      <c r="L81" s="1614">
        <f>IF(スコア表示!AB81=0,0,1)</f>
        <v>0</v>
      </c>
      <c r="N81" s="1719" t="e">
        <f t="shared" si="91"/>
        <v>#DIV/0!</v>
      </c>
      <c r="O81" s="1719" t="e">
        <f t="shared" si="91"/>
        <v>#DIV/0!</v>
      </c>
      <c r="P81" s="1689"/>
      <c r="Q81" s="1689"/>
      <c r="R81" s="1614" t="e">
        <f>IF(スコア入力!R81="EB",重み_対象外!D81,U81)</f>
        <v>#DIV/0!</v>
      </c>
      <c r="S81" s="1614">
        <f>IF(スコア入力!Y81="EB",重み_対象外!E81,V81)</f>
        <v>0</v>
      </c>
      <c r="T81" s="1558"/>
      <c r="U81" s="1612" t="e">
        <f>X$75*X$79*X81</f>
        <v>#DIV/0!</v>
      </c>
      <c r="V81" s="1612"/>
      <c r="W81" s="1558"/>
      <c r="X81" s="1689" t="e">
        <f t="shared" si="73"/>
        <v>#DIV/0!</v>
      </c>
      <c r="Y81" s="1689" t="e">
        <f t="shared" si="74"/>
        <v>#DIV/0!</v>
      </c>
      <c r="Z81" s="1715"/>
      <c r="AA81" s="1720" t="str">
        <f t="shared" si="75"/>
        <v>2.2.2</v>
      </c>
      <c r="AB81" s="1691" t="str">
        <f t="shared" si="76"/>
        <v xml:space="preserve"> Q2 2.2</v>
      </c>
      <c r="AC81" s="1718" t="str">
        <f t="shared" si="77"/>
        <v>外壁仕上げ材の補修必要間隔</v>
      </c>
      <c r="AD81" s="1621">
        <f t="shared" si="78"/>
        <v>0.2</v>
      </c>
      <c r="AE81" s="1621">
        <f t="shared" si="79"/>
        <v>0.2</v>
      </c>
      <c r="AF81" s="1621">
        <f t="shared" si="80"/>
        <v>0.2</v>
      </c>
      <c r="AG81" s="1621">
        <f t="shared" si="81"/>
        <v>0.2</v>
      </c>
      <c r="AH81" s="1621">
        <f t="shared" si="82"/>
        <v>0.2</v>
      </c>
      <c r="AI81" s="1621">
        <f t="shared" si="83"/>
        <v>0.2</v>
      </c>
      <c r="AJ81" s="1621">
        <f t="shared" si="84"/>
        <v>0.2</v>
      </c>
      <c r="AK81" s="1621">
        <f t="shared" si="85"/>
        <v>0.2</v>
      </c>
      <c r="AL81" s="1621">
        <f t="shared" si="86"/>
        <v>0.2</v>
      </c>
      <c r="AM81" s="1621">
        <f t="shared" si="86"/>
        <v>0.2</v>
      </c>
      <c r="AN81" s="1623">
        <f t="shared" si="87"/>
        <v>0</v>
      </c>
      <c r="AO81" s="1621">
        <f t="shared" si="88"/>
        <v>0</v>
      </c>
      <c r="AP81" s="1621">
        <f t="shared" si="89"/>
        <v>0</v>
      </c>
      <c r="AQ81" s="1717"/>
      <c r="AR81" s="1645" t="s">
        <v>1464</v>
      </c>
      <c r="AS81" s="1691" t="s">
        <v>330</v>
      </c>
      <c r="AT81" s="2061" t="s">
        <v>331</v>
      </c>
      <c r="AU81" s="1621">
        <v>0.2</v>
      </c>
      <c r="AV81" s="1621">
        <v>0.2</v>
      </c>
      <c r="AW81" s="1621">
        <v>0.2</v>
      </c>
      <c r="AX81" s="1621">
        <v>0.2</v>
      </c>
      <c r="AY81" s="1621">
        <v>0.2</v>
      </c>
      <c r="AZ81" s="1621">
        <v>0.2</v>
      </c>
      <c r="BA81" s="1621">
        <v>0.2</v>
      </c>
      <c r="BB81" s="1621">
        <v>0.2</v>
      </c>
      <c r="BC81" s="1621">
        <v>0.2</v>
      </c>
      <c r="BD81" s="1621">
        <v>0.2</v>
      </c>
      <c r="BE81" s="1623"/>
      <c r="BF81" s="1621"/>
      <c r="BG81" s="1621"/>
      <c r="BI81" s="1645" t="s">
        <v>1464</v>
      </c>
      <c r="BJ81" s="1691" t="s">
        <v>330</v>
      </c>
      <c r="BK81" s="2061" t="s">
        <v>331</v>
      </c>
      <c r="BL81" s="1621">
        <v>0.2</v>
      </c>
      <c r="BM81" s="1621">
        <v>0.2</v>
      </c>
      <c r="BN81" s="1621">
        <v>0.2</v>
      </c>
      <c r="BO81" s="1621">
        <v>0.2</v>
      </c>
      <c r="BP81" s="1621">
        <v>0.2</v>
      </c>
      <c r="BQ81" s="1621">
        <v>0.2</v>
      </c>
      <c r="BR81" s="1621">
        <v>0.2</v>
      </c>
      <c r="BS81" s="1621">
        <v>0.2</v>
      </c>
      <c r="BT81" s="1621">
        <v>0.2</v>
      </c>
      <c r="BU81" s="1621">
        <v>0.2</v>
      </c>
      <c r="BV81" s="1623"/>
      <c r="BW81" s="1621"/>
      <c r="BX81" s="1621"/>
    </row>
    <row r="82" spans="2:76" ht="13.5" customHeight="1">
      <c r="B82" s="1677" t="str">
        <f t="shared" si="70"/>
        <v>2.2.3</v>
      </c>
      <c r="C82" s="1612" t="str">
        <f t="shared" si="71"/>
        <v>主要内装仕上げ材の更新必要間隔</v>
      </c>
      <c r="D82" s="1719" t="e">
        <f t="shared" si="90"/>
        <v>#DIV/0!</v>
      </c>
      <c r="E82" s="1689" t="e">
        <f t="shared" si="90"/>
        <v>#DIV/0!</v>
      </c>
      <c r="G82" s="1689" t="e">
        <f t="shared" si="72"/>
        <v>#DIV/0!</v>
      </c>
      <c r="H82" s="1689" t="e">
        <f t="shared" si="72"/>
        <v>#DIV/0!</v>
      </c>
      <c r="I82" s="1689"/>
      <c r="J82" s="1689"/>
      <c r="K82" s="1614">
        <f>IF(スコア表示!X82=0,0,1)</f>
        <v>1</v>
      </c>
      <c r="L82" s="1614">
        <f>IF(スコア表示!AB82=0,0,1)</f>
        <v>0</v>
      </c>
      <c r="N82" s="1719" t="e">
        <f t="shared" si="91"/>
        <v>#DIV/0!</v>
      </c>
      <c r="O82" s="1719" t="e">
        <f t="shared" si="91"/>
        <v>#DIV/0!</v>
      </c>
      <c r="P82" s="1689"/>
      <c r="Q82" s="1689"/>
      <c r="R82" s="1614" t="e">
        <f>IF(スコア入力!R82="EB",重み_対象外!D82,U82)</f>
        <v>#DIV/0!</v>
      </c>
      <c r="S82" s="1614" t="e">
        <f>IF(スコア入力!Y82="EB",重み_対象外!E82,V82)</f>
        <v>#DIV/0!</v>
      </c>
      <c r="T82" s="1558"/>
      <c r="U82" s="1612" t="e">
        <f>X$75*X$79*X82</f>
        <v>#DIV/0!</v>
      </c>
      <c r="V82" s="1612" t="e">
        <f>Y$75*Y$79*Y82</f>
        <v>#DIV/0!</v>
      </c>
      <c r="W82" s="1558"/>
      <c r="X82" s="1689" t="e">
        <f t="shared" si="73"/>
        <v>#DIV/0!</v>
      </c>
      <c r="Y82" s="1689" t="e">
        <f t="shared" si="74"/>
        <v>#DIV/0!</v>
      </c>
      <c r="Z82" s="1715"/>
      <c r="AA82" s="1720" t="str">
        <f t="shared" si="75"/>
        <v>2.2.3</v>
      </c>
      <c r="AB82" s="1691" t="str">
        <f t="shared" si="76"/>
        <v xml:space="preserve"> Q2 2.2</v>
      </c>
      <c r="AC82" s="1718" t="str">
        <f t="shared" si="77"/>
        <v>主要内装仕上げ材の更新必要間隔</v>
      </c>
      <c r="AD82" s="1621">
        <f t="shared" si="78"/>
        <v>0.1</v>
      </c>
      <c r="AE82" s="1621">
        <f t="shared" si="79"/>
        <v>0.1</v>
      </c>
      <c r="AF82" s="1621">
        <f t="shared" si="80"/>
        <v>0.1</v>
      </c>
      <c r="AG82" s="1621">
        <f t="shared" si="81"/>
        <v>0.1</v>
      </c>
      <c r="AH82" s="1621">
        <f t="shared" si="82"/>
        <v>0.1</v>
      </c>
      <c r="AI82" s="1621">
        <f t="shared" si="83"/>
        <v>0.1</v>
      </c>
      <c r="AJ82" s="1621">
        <f t="shared" si="84"/>
        <v>0.1</v>
      </c>
      <c r="AK82" s="1621">
        <f t="shared" si="85"/>
        <v>0.1</v>
      </c>
      <c r="AL82" s="1621">
        <f t="shared" si="86"/>
        <v>0.1</v>
      </c>
      <c r="AM82" s="1621">
        <f t="shared" si="86"/>
        <v>0.1</v>
      </c>
      <c r="AN82" s="1623">
        <f t="shared" si="87"/>
        <v>0</v>
      </c>
      <c r="AO82" s="1621">
        <f t="shared" si="88"/>
        <v>0</v>
      </c>
      <c r="AP82" s="1621">
        <f t="shared" si="89"/>
        <v>0</v>
      </c>
      <c r="AQ82" s="1717"/>
      <c r="AR82" s="1645" t="s">
        <v>1465</v>
      </c>
      <c r="AS82" s="1691" t="s">
        <v>330</v>
      </c>
      <c r="AT82" s="2061" t="s">
        <v>332</v>
      </c>
      <c r="AU82" s="1621">
        <v>0.1</v>
      </c>
      <c r="AV82" s="1621">
        <v>0.1</v>
      </c>
      <c r="AW82" s="1621">
        <v>0.1</v>
      </c>
      <c r="AX82" s="1621">
        <v>0.1</v>
      </c>
      <c r="AY82" s="1621">
        <v>0.1</v>
      </c>
      <c r="AZ82" s="1621">
        <v>0.1</v>
      </c>
      <c r="BA82" s="1621">
        <v>0.1</v>
      </c>
      <c r="BB82" s="1621">
        <v>0.1</v>
      </c>
      <c r="BC82" s="1621">
        <v>0.1</v>
      </c>
      <c r="BD82" s="1621">
        <v>0.1</v>
      </c>
      <c r="BE82" s="1623"/>
      <c r="BF82" s="1621"/>
      <c r="BG82" s="1621"/>
      <c r="BI82" s="1645" t="s">
        <v>1465</v>
      </c>
      <c r="BJ82" s="1691" t="s">
        <v>330</v>
      </c>
      <c r="BK82" s="2061" t="s">
        <v>332</v>
      </c>
      <c r="BL82" s="1621">
        <v>0.1</v>
      </c>
      <c r="BM82" s="1621">
        <v>0.1</v>
      </c>
      <c r="BN82" s="1621">
        <v>0.1</v>
      </c>
      <c r="BO82" s="1621">
        <v>0.1</v>
      </c>
      <c r="BP82" s="1621">
        <v>0.1</v>
      </c>
      <c r="BQ82" s="1621">
        <v>0.1</v>
      </c>
      <c r="BR82" s="1621">
        <v>0.1</v>
      </c>
      <c r="BS82" s="1621">
        <v>0.1</v>
      </c>
      <c r="BT82" s="1621">
        <v>0.1</v>
      </c>
      <c r="BU82" s="1621">
        <v>0.1</v>
      </c>
      <c r="BV82" s="1623"/>
      <c r="BW82" s="1621"/>
      <c r="BX82" s="1621"/>
    </row>
    <row r="83" spans="2:76" ht="13.5" customHeight="1">
      <c r="B83" s="1677" t="str">
        <f t="shared" si="70"/>
        <v>2.2.4</v>
      </c>
      <c r="C83" s="1612" t="str">
        <f t="shared" si="71"/>
        <v>空調換気ダクトの更新必要間隔</v>
      </c>
      <c r="D83" s="1719" t="e">
        <f t="shared" si="90"/>
        <v>#DIV/0!</v>
      </c>
      <c r="E83" s="1689" t="e">
        <f t="shared" si="90"/>
        <v>#DIV/0!</v>
      </c>
      <c r="G83" s="1689" t="e">
        <f t="shared" si="72"/>
        <v>#DIV/0!</v>
      </c>
      <c r="H83" s="1689" t="e">
        <f t="shared" si="72"/>
        <v>#DIV/0!</v>
      </c>
      <c r="I83" s="1689"/>
      <c r="J83" s="1689"/>
      <c r="K83" s="1614">
        <f>IF(スコア表示!X83=0,0,1)</f>
        <v>1</v>
      </c>
      <c r="L83" s="1614">
        <f>IF(スコア表示!AB83=0,0,1)</f>
        <v>0</v>
      </c>
      <c r="N83" s="1719" t="e">
        <f t="shared" si="91"/>
        <v>#DIV/0!</v>
      </c>
      <c r="O83" s="1719" t="e">
        <f t="shared" si="91"/>
        <v>#DIV/0!</v>
      </c>
      <c r="P83" s="1689"/>
      <c r="Q83" s="1689"/>
      <c r="R83" s="1614" t="e">
        <f>IF(スコア入力!R83="EB",重み_対象外!D83,U83)</f>
        <v>#DIV/0!</v>
      </c>
      <c r="S83" s="1614" t="e">
        <f>IF(スコア入力!Y83="EB",重み_対象外!E83,V83)</f>
        <v>#DIV/0!</v>
      </c>
      <c r="T83" s="1558"/>
      <c r="U83" s="1612" t="e">
        <f>X$75*X$79*X83</f>
        <v>#DIV/0!</v>
      </c>
      <c r="V83" s="1612" t="e">
        <f>Y$75*Y$79*Y83</f>
        <v>#DIV/0!</v>
      </c>
      <c r="W83" s="1558"/>
      <c r="X83" s="1689" t="e">
        <f t="shared" si="73"/>
        <v>#DIV/0!</v>
      </c>
      <c r="Y83" s="1689" t="e">
        <f t="shared" si="74"/>
        <v>#DIV/0!</v>
      </c>
      <c r="Z83" s="1715"/>
      <c r="AA83" s="1720" t="str">
        <f t="shared" si="75"/>
        <v>2.2.4</v>
      </c>
      <c r="AB83" s="1691" t="str">
        <f t="shared" si="76"/>
        <v xml:space="preserve"> Q2 2.2</v>
      </c>
      <c r="AC83" s="1718" t="str">
        <f t="shared" si="77"/>
        <v>空調換気ダクトの更新必要間隔</v>
      </c>
      <c r="AD83" s="1621">
        <f t="shared" si="78"/>
        <v>0.1</v>
      </c>
      <c r="AE83" s="1621">
        <f t="shared" si="79"/>
        <v>0.1</v>
      </c>
      <c r="AF83" s="1621">
        <f t="shared" si="80"/>
        <v>0.1</v>
      </c>
      <c r="AG83" s="1621">
        <f t="shared" si="81"/>
        <v>0.1</v>
      </c>
      <c r="AH83" s="1621">
        <f t="shared" si="82"/>
        <v>0.1</v>
      </c>
      <c r="AI83" s="1621">
        <f t="shared" si="83"/>
        <v>0.1</v>
      </c>
      <c r="AJ83" s="1621">
        <f t="shared" si="84"/>
        <v>0.1</v>
      </c>
      <c r="AK83" s="1621">
        <f t="shared" si="85"/>
        <v>0.1</v>
      </c>
      <c r="AL83" s="1621">
        <f t="shared" si="86"/>
        <v>0.1</v>
      </c>
      <c r="AM83" s="1621">
        <f t="shared" si="86"/>
        <v>0.1</v>
      </c>
      <c r="AN83" s="1623">
        <f t="shared" si="87"/>
        <v>0</v>
      </c>
      <c r="AO83" s="1621">
        <f t="shared" si="88"/>
        <v>0</v>
      </c>
      <c r="AP83" s="1621">
        <f t="shared" si="89"/>
        <v>0</v>
      </c>
      <c r="AQ83" s="1717"/>
      <c r="AR83" s="1645" t="s">
        <v>1466</v>
      </c>
      <c r="AS83" s="1691" t="s">
        <v>330</v>
      </c>
      <c r="AT83" s="2061" t="s">
        <v>335</v>
      </c>
      <c r="AU83" s="1621">
        <v>0.1</v>
      </c>
      <c r="AV83" s="1621">
        <v>0.1</v>
      </c>
      <c r="AW83" s="1621">
        <v>0.1</v>
      </c>
      <c r="AX83" s="1621">
        <v>0.1</v>
      </c>
      <c r="AY83" s="1621">
        <v>0.1</v>
      </c>
      <c r="AZ83" s="1621">
        <v>0.1</v>
      </c>
      <c r="BA83" s="1621">
        <v>0.1</v>
      </c>
      <c r="BB83" s="1621">
        <v>0.1</v>
      </c>
      <c r="BC83" s="1621">
        <v>0.1</v>
      </c>
      <c r="BD83" s="1621">
        <v>0.1</v>
      </c>
      <c r="BE83" s="1623"/>
      <c r="BF83" s="1621"/>
      <c r="BG83" s="1621"/>
      <c r="BI83" s="1645" t="s">
        <v>1466</v>
      </c>
      <c r="BJ83" s="1691" t="s">
        <v>330</v>
      </c>
      <c r="BK83" s="2061" t="s">
        <v>335</v>
      </c>
      <c r="BL83" s="1621">
        <v>0.1</v>
      </c>
      <c r="BM83" s="1621">
        <v>0.1</v>
      </c>
      <c r="BN83" s="1621">
        <v>0.1</v>
      </c>
      <c r="BO83" s="1621">
        <v>0.1</v>
      </c>
      <c r="BP83" s="1621">
        <v>0.1</v>
      </c>
      <c r="BQ83" s="1621">
        <v>0.1</v>
      </c>
      <c r="BR83" s="1621">
        <v>0.1</v>
      </c>
      <c r="BS83" s="1621">
        <v>0.1</v>
      </c>
      <c r="BT83" s="1621">
        <v>0.1</v>
      </c>
      <c r="BU83" s="1621">
        <v>0.1</v>
      </c>
      <c r="BV83" s="1623"/>
      <c r="BW83" s="1621"/>
      <c r="BX83" s="1621"/>
    </row>
    <row r="84" spans="2:76" ht="13.5" customHeight="1">
      <c r="B84" s="1677" t="str">
        <f t="shared" si="70"/>
        <v>2.2.5</v>
      </c>
      <c r="C84" s="1612" t="str">
        <f t="shared" si="71"/>
        <v>空調・給排水配管の更新必要間隔</v>
      </c>
      <c r="D84" s="1719" t="e">
        <f t="shared" si="90"/>
        <v>#DIV/0!</v>
      </c>
      <c r="E84" s="1689" t="e">
        <f t="shared" si="90"/>
        <v>#DIV/0!</v>
      </c>
      <c r="G84" s="1689" t="e">
        <f t="shared" si="72"/>
        <v>#DIV/0!</v>
      </c>
      <c r="H84" s="1689" t="e">
        <f t="shared" si="72"/>
        <v>#DIV/0!</v>
      </c>
      <c r="I84" s="1689"/>
      <c r="J84" s="1689"/>
      <c r="K84" s="1614">
        <f>IF(スコア表示!X84=0,0,1)</f>
        <v>1</v>
      </c>
      <c r="L84" s="1614">
        <f>IF(スコア表示!AB84=0,0,1)</f>
        <v>0</v>
      </c>
      <c r="N84" s="1719" t="e">
        <f t="shared" si="91"/>
        <v>#DIV/0!</v>
      </c>
      <c r="O84" s="1719" t="e">
        <f t="shared" si="91"/>
        <v>#DIV/0!</v>
      </c>
      <c r="P84" s="1689"/>
      <c r="Q84" s="1689"/>
      <c r="R84" s="1614" t="e">
        <f>IF(スコア入力!R84="EB",重み_対象外!D84,U84)</f>
        <v>#DIV/0!</v>
      </c>
      <c r="S84" s="1614">
        <f>IF(スコア入力!Y84="EB",重み_対象外!E84,V84)</f>
        <v>0</v>
      </c>
      <c r="T84" s="1558"/>
      <c r="U84" s="1612" t="e">
        <f>X$75*X$79*X84</f>
        <v>#DIV/0!</v>
      </c>
      <c r="V84" s="1612"/>
      <c r="W84" s="1558"/>
      <c r="X84" s="1689" t="e">
        <f t="shared" si="73"/>
        <v>#DIV/0!</v>
      </c>
      <c r="Y84" s="1689" t="e">
        <f t="shared" si="74"/>
        <v>#DIV/0!</v>
      </c>
      <c r="Z84" s="1715"/>
      <c r="AA84" s="1720" t="str">
        <f t="shared" ref="AA84:AA115" si="92">IF($AA$3=1,AR84,BI84)</f>
        <v>2.2.5</v>
      </c>
      <c r="AB84" s="1691" t="s">
        <v>330</v>
      </c>
      <c r="AC84" s="1718" t="str">
        <f t="shared" ref="AC84:AC117" si="93">IF($AA$3=1,AT84,BK84)</f>
        <v>空調・給排水配管の更新必要間隔</v>
      </c>
      <c r="AD84" s="1621">
        <f t="shared" ref="AD84:AD126" si="94">IF($AA$3=1,AU84,BL84)</f>
        <v>0.2</v>
      </c>
      <c r="AE84" s="1621">
        <f t="shared" ref="AE84:AE126" si="95">IF($AA$3=1,AV84,BM84)</f>
        <v>0.2</v>
      </c>
      <c r="AF84" s="1621">
        <f t="shared" ref="AF84:AF126" si="96">IF($AA$3=1,AW84,BN84)</f>
        <v>0.2</v>
      </c>
      <c r="AG84" s="1621">
        <f t="shared" ref="AG84:AG126" si="97">IF($AA$3=1,AX84,BO84)</f>
        <v>0.2</v>
      </c>
      <c r="AH84" s="1621">
        <f t="shared" ref="AH84:AH126" si="98">IF($AA$3=1,AY84,BP84)</f>
        <v>0.2</v>
      </c>
      <c r="AI84" s="1621">
        <f t="shared" ref="AI84:AI126" si="99">IF($AA$3=1,AZ84,BQ84)</f>
        <v>0.2</v>
      </c>
      <c r="AJ84" s="1621">
        <f t="shared" ref="AJ84:AJ126" si="100">IF($AA$3=1,BA84,BR84)</f>
        <v>0.2</v>
      </c>
      <c r="AK84" s="1621">
        <f t="shared" ref="AK84:AK126" si="101">IF($AA$3=1,BB84,BS84)</f>
        <v>0.2</v>
      </c>
      <c r="AL84" s="1621">
        <f t="shared" ref="AL84:AM126" si="102">IF($AA$3=1,BC84,BT84)</f>
        <v>0.2</v>
      </c>
      <c r="AM84" s="1621">
        <f t="shared" si="102"/>
        <v>0.2</v>
      </c>
      <c r="AN84" s="1623"/>
      <c r="AO84" s="1621"/>
      <c r="AP84" s="1621"/>
      <c r="AQ84" s="1717"/>
      <c r="AR84" s="1645" t="s">
        <v>1467</v>
      </c>
      <c r="AS84" s="1691" t="s">
        <v>330</v>
      </c>
      <c r="AT84" s="2061" t="s">
        <v>336</v>
      </c>
      <c r="AU84" s="1621">
        <v>0.2</v>
      </c>
      <c r="AV84" s="1621">
        <v>0.2</v>
      </c>
      <c r="AW84" s="1621">
        <v>0.2</v>
      </c>
      <c r="AX84" s="1621">
        <v>0.2</v>
      </c>
      <c r="AY84" s="1621">
        <v>0.2</v>
      </c>
      <c r="AZ84" s="1621">
        <v>0.2</v>
      </c>
      <c r="BA84" s="1621">
        <v>0.2</v>
      </c>
      <c r="BB84" s="1621">
        <v>0.2</v>
      </c>
      <c r="BC84" s="1621">
        <v>0.2</v>
      </c>
      <c r="BD84" s="1621">
        <v>0.2</v>
      </c>
      <c r="BE84" s="1623"/>
      <c r="BF84" s="1621"/>
      <c r="BG84" s="1621"/>
      <c r="BI84" s="1645" t="s">
        <v>1467</v>
      </c>
      <c r="BJ84" s="1691" t="s">
        <v>330</v>
      </c>
      <c r="BK84" s="2061" t="s">
        <v>336</v>
      </c>
      <c r="BL84" s="1621">
        <v>0.2</v>
      </c>
      <c r="BM84" s="1621">
        <v>0.2</v>
      </c>
      <c r="BN84" s="1621">
        <v>0.2</v>
      </c>
      <c r="BO84" s="1621">
        <v>0.2</v>
      </c>
      <c r="BP84" s="1621">
        <v>0.2</v>
      </c>
      <c r="BQ84" s="1621">
        <v>0.2</v>
      </c>
      <c r="BR84" s="1621">
        <v>0.2</v>
      </c>
      <c r="BS84" s="1621">
        <v>0.2</v>
      </c>
      <c r="BT84" s="1621">
        <v>0.2</v>
      </c>
      <c r="BU84" s="1621">
        <v>0.2</v>
      </c>
      <c r="BV84" s="1623"/>
      <c r="BW84" s="1621"/>
      <c r="BX84" s="1621"/>
    </row>
    <row r="85" spans="2:76" ht="13.5" customHeight="1">
      <c r="B85" s="1677" t="str">
        <f t="shared" si="70"/>
        <v>2.2.6</v>
      </c>
      <c r="C85" s="1612" t="str">
        <f t="shared" si="71"/>
        <v>主要設備機器の更新必要間隔</v>
      </c>
      <c r="D85" s="1719" t="e">
        <f t="shared" si="90"/>
        <v>#DIV/0!</v>
      </c>
      <c r="E85" s="1689" t="e">
        <f t="shared" si="90"/>
        <v>#DIV/0!</v>
      </c>
      <c r="G85" s="1689" t="e">
        <f t="shared" si="72"/>
        <v>#DIV/0!</v>
      </c>
      <c r="H85" s="1689" t="e">
        <f t="shared" si="72"/>
        <v>#DIV/0!</v>
      </c>
      <c r="I85" s="1689"/>
      <c r="J85" s="1689"/>
      <c r="K85" s="1614">
        <f>IF(スコア表示!X85=0,0,1)</f>
        <v>1</v>
      </c>
      <c r="L85" s="1614">
        <f>IF(スコア表示!AB85=0,0,1)</f>
        <v>0</v>
      </c>
      <c r="N85" s="1719" t="e">
        <f t="shared" si="91"/>
        <v>#DIV/0!</v>
      </c>
      <c r="O85" s="1719" t="e">
        <f t="shared" si="91"/>
        <v>#DIV/0!</v>
      </c>
      <c r="P85" s="1689"/>
      <c r="Q85" s="1689"/>
      <c r="R85" s="1614" t="e">
        <f>IF(スコア入力!R85="EB",重み_対象外!D85,U85)</f>
        <v>#DIV/0!</v>
      </c>
      <c r="S85" s="1614" t="e">
        <f>IF(スコア入力!Y85="EB",重み_対象外!E85,V85)</f>
        <v>#DIV/0!</v>
      </c>
      <c r="T85" s="1558"/>
      <c r="U85" s="1612" t="e">
        <f>X$75*X$79*X85</f>
        <v>#DIV/0!</v>
      </c>
      <c r="V85" s="1612" t="e">
        <f>Y$75*Y$79*Y85</f>
        <v>#DIV/0!</v>
      </c>
      <c r="W85" s="1558"/>
      <c r="X85" s="1689" t="e">
        <f t="shared" si="73"/>
        <v>#DIV/0!</v>
      </c>
      <c r="Y85" s="1689" t="e">
        <f t="shared" si="74"/>
        <v>#DIV/0!</v>
      </c>
      <c r="Z85" s="1715"/>
      <c r="AA85" s="1720" t="str">
        <f t="shared" si="92"/>
        <v>2.2.6</v>
      </c>
      <c r="AB85" s="1691" t="str">
        <f t="shared" ref="AB85:AB116" si="103">IF($AA$3=1,AS85,BJ85)</f>
        <v xml:space="preserve"> Q2 2.2</v>
      </c>
      <c r="AC85" s="1718" t="str">
        <f t="shared" si="93"/>
        <v>主要設備機器の更新必要間隔</v>
      </c>
      <c r="AD85" s="1621">
        <f t="shared" si="94"/>
        <v>0.2</v>
      </c>
      <c r="AE85" s="1621">
        <f t="shared" si="95"/>
        <v>0.2</v>
      </c>
      <c r="AF85" s="1621">
        <f t="shared" si="96"/>
        <v>0.2</v>
      </c>
      <c r="AG85" s="1621">
        <f t="shared" si="97"/>
        <v>0.2</v>
      </c>
      <c r="AH85" s="1621">
        <f t="shared" si="98"/>
        <v>0.2</v>
      </c>
      <c r="AI85" s="1621">
        <f t="shared" si="99"/>
        <v>0.2</v>
      </c>
      <c r="AJ85" s="1621">
        <f t="shared" si="100"/>
        <v>0.2</v>
      </c>
      <c r="AK85" s="1621">
        <f t="shared" si="101"/>
        <v>0.2</v>
      </c>
      <c r="AL85" s="1621">
        <f t="shared" si="102"/>
        <v>0.2</v>
      </c>
      <c r="AM85" s="1621">
        <f t="shared" si="102"/>
        <v>0.2</v>
      </c>
      <c r="AN85" s="1623">
        <f>IF($AA$3=1,BE85,BV85)</f>
        <v>0</v>
      </c>
      <c r="AO85" s="1621">
        <f>IF($AA$3=1,BF85,BW85)</f>
        <v>0</v>
      </c>
      <c r="AP85" s="1621">
        <f>IF($AA$3=1,BG85,BX85)</f>
        <v>0</v>
      </c>
      <c r="AQ85" s="1717"/>
      <c r="AR85" s="1645" t="s">
        <v>1468</v>
      </c>
      <c r="AS85" s="1691" t="s">
        <v>330</v>
      </c>
      <c r="AT85" s="2061" t="s">
        <v>337</v>
      </c>
      <c r="AU85" s="1621">
        <v>0.2</v>
      </c>
      <c r="AV85" s="1621">
        <v>0.2</v>
      </c>
      <c r="AW85" s="1621">
        <v>0.2</v>
      </c>
      <c r="AX85" s="1621">
        <v>0.2</v>
      </c>
      <c r="AY85" s="1621">
        <v>0.2</v>
      </c>
      <c r="AZ85" s="1621">
        <v>0.2</v>
      </c>
      <c r="BA85" s="1621">
        <v>0.2</v>
      </c>
      <c r="BB85" s="1621">
        <v>0.2</v>
      </c>
      <c r="BC85" s="1621">
        <v>0.2</v>
      </c>
      <c r="BD85" s="1621">
        <v>0.2</v>
      </c>
      <c r="BE85" s="1623"/>
      <c r="BF85" s="1621"/>
      <c r="BG85" s="1621"/>
      <c r="BI85" s="1645" t="s">
        <v>1468</v>
      </c>
      <c r="BJ85" s="1691" t="s">
        <v>330</v>
      </c>
      <c r="BK85" s="2061" t="s">
        <v>337</v>
      </c>
      <c r="BL85" s="1621">
        <v>0.2</v>
      </c>
      <c r="BM85" s="1621">
        <v>0.2</v>
      </c>
      <c r="BN85" s="1621">
        <v>0.2</v>
      </c>
      <c r="BO85" s="1621">
        <v>0.2</v>
      </c>
      <c r="BP85" s="1621">
        <v>0.2</v>
      </c>
      <c r="BQ85" s="1621">
        <v>0.2</v>
      </c>
      <c r="BR85" s="1621">
        <v>0.2</v>
      </c>
      <c r="BS85" s="1621">
        <v>0.2</v>
      </c>
      <c r="BT85" s="1621">
        <v>0.2</v>
      </c>
      <c r="BU85" s="1621">
        <v>0.2</v>
      </c>
      <c r="BV85" s="1623"/>
      <c r="BW85" s="1621"/>
      <c r="BX85" s="1621"/>
    </row>
    <row r="86" spans="2:76" ht="13.5" customHeight="1">
      <c r="B86" s="1645">
        <f t="shared" si="70"/>
        <v>2.2999999999999998</v>
      </c>
      <c r="C86" s="1645" t="str">
        <f t="shared" si="71"/>
        <v>適切な更新</v>
      </c>
      <c r="D86" s="1714" t="e">
        <f>IF(I$75=0,0,G86/I$75)</f>
        <v>#DIV/0!</v>
      </c>
      <c r="E86" s="1689" t="e">
        <f>IF(J$75=0,0,H86/J$75)</f>
        <v>#DIV/0!</v>
      </c>
      <c r="G86" s="1689" t="e">
        <f t="shared" si="72"/>
        <v>#DIV/0!</v>
      </c>
      <c r="H86" s="1689" t="e">
        <f t="shared" si="72"/>
        <v>#DIV/0!</v>
      </c>
      <c r="I86" s="1689" t="e">
        <f>G87+G88+G89</f>
        <v>#DIV/0!</v>
      </c>
      <c r="J86" s="1689" t="e">
        <f>H87+H88+H89</f>
        <v>#DIV/0!</v>
      </c>
      <c r="K86" s="1614" t="e">
        <f>IF(スコア表示!X86=0,0,1)</f>
        <v>#DIV/0!</v>
      </c>
      <c r="L86" s="1614" t="e">
        <f>IF(スコア表示!AB86=0,0,1)</f>
        <v>#DIV/0!</v>
      </c>
      <c r="N86" s="1714" t="e">
        <f>IF(P$75=0,0,P86/P$75)</f>
        <v>#DIV/0!</v>
      </c>
      <c r="O86" s="1714" t="e">
        <f>IF(Q$75=0,0,Q86/Q$75)</f>
        <v>#DIV/0!</v>
      </c>
      <c r="P86" s="1689" t="e">
        <f>SUM(R87:R89)</f>
        <v>#DIV/0!</v>
      </c>
      <c r="Q86" s="1689" t="e">
        <f>SUM(S87:S89)</f>
        <v>#DIV/0!</v>
      </c>
      <c r="R86" s="1614">
        <f>IF(スコア入力!R86="EB",重み_対象外!D86,U86)</f>
        <v>0</v>
      </c>
      <c r="S86" s="1614">
        <f>IF(スコア入力!Y86="EB",重み_対象外!E86,V86)</f>
        <v>0</v>
      </c>
      <c r="T86" s="1558"/>
      <c r="U86" s="1612"/>
      <c r="V86" s="1612"/>
      <c r="W86" s="1558"/>
      <c r="X86" s="1689" t="e">
        <f t="shared" si="73"/>
        <v>#DIV/0!</v>
      </c>
      <c r="Y86" s="1689" t="e">
        <f t="shared" si="74"/>
        <v>#DIV/0!</v>
      </c>
      <c r="Z86" s="1715"/>
      <c r="AA86" s="1720">
        <f t="shared" si="92"/>
        <v>2.2999999999999998</v>
      </c>
      <c r="AB86" s="1691" t="str">
        <f t="shared" si="103"/>
        <v xml:space="preserve"> Q2 2</v>
      </c>
      <c r="AC86" s="1718" t="str">
        <f t="shared" si="93"/>
        <v>適切な更新</v>
      </c>
      <c r="AD86" s="1621">
        <f t="shared" si="94"/>
        <v>0</v>
      </c>
      <c r="AE86" s="1621">
        <f t="shared" si="95"/>
        <v>0</v>
      </c>
      <c r="AF86" s="1621">
        <f t="shared" si="96"/>
        <v>0</v>
      </c>
      <c r="AG86" s="1621">
        <f t="shared" si="97"/>
        <v>0</v>
      </c>
      <c r="AH86" s="1621">
        <f t="shared" si="98"/>
        <v>0</v>
      </c>
      <c r="AI86" s="1621">
        <f t="shared" si="99"/>
        <v>0</v>
      </c>
      <c r="AJ86" s="1621">
        <f t="shared" si="100"/>
        <v>0</v>
      </c>
      <c r="AK86" s="1621">
        <f t="shared" si="101"/>
        <v>0</v>
      </c>
      <c r="AL86" s="1621">
        <f t="shared" si="102"/>
        <v>0</v>
      </c>
      <c r="AM86" s="1621">
        <f t="shared" si="102"/>
        <v>0</v>
      </c>
      <c r="AN86" s="1623"/>
      <c r="AO86" s="1621"/>
      <c r="AP86" s="1621"/>
      <c r="AQ86" s="1717"/>
      <c r="AR86" s="2064">
        <v>2.2999999999999998</v>
      </c>
      <c r="AS86" s="2081" t="s">
        <v>327</v>
      </c>
      <c r="AT86" s="2067" t="s">
        <v>415</v>
      </c>
      <c r="AU86" s="2069">
        <v>0</v>
      </c>
      <c r="AV86" s="2069">
        <v>0</v>
      </c>
      <c r="AW86" s="2069">
        <v>0</v>
      </c>
      <c r="AX86" s="2069">
        <v>0</v>
      </c>
      <c r="AY86" s="2069">
        <v>0</v>
      </c>
      <c r="AZ86" s="2069">
        <v>0</v>
      </c>
      <c r="BA86" s="2069">
        <v>0</v>
      </c>
      <c r="BB86" s="2069">
        <v>0</v>
      </c>
      <c r="BC86" s="2069">
        <v>0</v>
      </c>
      <c r="BD86" s="2069">
        <v>0</v>
      </c>
      <c r="BE86" s="2069"/>
      <c r="BF86" s="2069"/>
      <c r="BG86" s="2069"/>
      <c r="BI86" s="2064">
        <v>2.2999999999999998</v>
      </c>
      <c r="BJ86" s="2081" t="s">
        <v>327</v>
      </c>
      <c r="BK86" s="2067" t="s">
        <v>415</v>
      </c>
      <c r="BL86" s="2069">
        <v>0</v>
      </c>
      <c r="BM86" s="2069">
        <v>0</v>
      </c>
      <c r="BN86" s="2069">
        <v>0</v>
      </c>
      <c r="BO86" s="2069">
        <v>0</v>
      </c>
      <c r="BP86" s="2069">
        <v>0</v>
      </c>
      <c r="BQ86" s="2069">
        <v>0</v>
      </c>
      <c r="BR86" s="2069">
        <v>0</v>
      </c>
      <c r="BS86" s="2069">
        <v>0</v>
      </c>
      <c r="BT86" s="2069">
        <v>0</v>
      </c>
      <c r="BU86" s="2069">
        <v>0</v>
      </c>
      <c r="BV86" s="2069"/>
      <c r="BW86" s="2069"/>
      <c r="BX86" s="2069"/>
    </row>
    <row r="87" spans="2:76" ht="13.5" customHeight="1">
      <c r="B87" s="1677" t="str">
        <f t="shared" si="70"/>
        <v>2.3.1</v>
      </c>
      <c r="C87" s="1612" t="str">
        <f t="shared" si="71"/>
        <v>屋上（屋根）・外壁仕上げ材の更新</v>
      </c>
      <c r="D87" s="1719" t="e">
        <f t="shared" ref="D87:E89" si="104">IF(I$79&gt;0,G87/I$79,0)</f>
        <v>#DIV/0!</v>
      </c>
      <c r="E87" s="1689" t="e">
        <f t="shared" si="104"/>
        <v>#DIV/0!</v>
      </c>
      <c r="G87" s="1689" t="e">
        <f t="shared" si="72"/>
        <v>#DIV/0!</v>
      </c>
      <c r="H87" s="1689" t="e">
        <f t="shared" si="72"/>
        <v>#DIV/0!</v>
      </c>
      <c r="I87" s="1689"/>
      <c r="J87" s="1689"/>
      <c r="K87" s="1614">
        <f>IF(スコア表示!X87=0,0,1)</f>
        <v>1</v>
      </c>
      <c r="L87" s="1614">
        <f>IF(スコア表示!AB87=0,0,1)</f>
        <v>0</v>
      </c>
      <c r="N87" s="1719" t="e">
        <f t="shared" ref="N87:O89" si="105">IF(P$86&gt;0,R87/P$86,0)</f>
        <v>#DIV/0!</v>
      </c>
      <c r="O87" s="1719" t="e">
        <f t="shared" si="105"/>
        <v>#DIV/0!</v>
      </c>
      <c r="P87" s="1689"/>
      <c r="Q87" s="1689"/>
      <c r="R87" s="1614" t="e">
        <f>IF(スコア入力!R87="EB",重み_対象外!D87,U87)</f>
        <v>#DIV/0!</v>
      </c>
      <c r="S87" s="1614" t="e">
        <f>IF(スコア入力!Y87="EB",重み_対象外!E87,V87)</f>
        <v>#DIV/0!</v>
      </c>
      <c r="T87" s="1558"/>
      <c r="U87" s="1612" t="e">
        <f t="shared" ref="U87:V89" si="106">X$75*X$86*X87</f>
        <v>#DIV/0!</v>
      </c>
      <c r="V87" s="1612" t="e">
        <f t="shared" si="106"/>
        <v>#DIV/0!</v>
      </c>
      <c r="W87" s="1558"/>
      <c r="X87" s="1689" t="e">
        <f t="shared" si="73"/>
        <v>#DIV/0!</v>
      </c>
      <c r="Y87" s="1689" t="e">
        <f t="shared" si="74"/>
        <v>#DIV/0!</v>
      </c>
      <c r="Z87" s="1715"/>
      <c r="AA87" s="1720" t="str">
        <f t="shared" si="92"/>
        <v>2.3.1</v>
      </c>
      <c r="AB87" s="1691" t="str">
        <f t="shared" si="103"/>
        <v xml:space="preserve"> Q2 2.3</v>
      </c>
      <c r="AC87" s="1718" t="str">
        <f t="shared" si="93"/>
        <v>屋上（屋根）・外壁仕上げ材の更新</v>
      </c>
      <c r="AD87" s="1621">
        <f t="shared" si="94"/>
        <v>0</v>
      </c>
      <c r="AE87" s="1621">
        <f t="shared" si="95"/>
        <v>0</v>
      </c>
      <c r="AF87" s="1621">
        <f t="shared" si="96"/>
        <v>0</v>
      </c>
      <c r="AG87" s="1621">
        <f t="shared" si="97"/>
        <v>0</v>
      </c>
      <c r="AH87" s="1621">
        <f t="shared" si="98"/>
        <v>0</v>
      </c>
      <c r="AI87" s="1621">
        <f t="shared" si="99"/>
        <v>0</v>
      </c>
      <c r="AJ87" s="1621">
        <f t="shared" si="100"/>
        <v>0</v>
      </c>
      <c r="AK87" s="1621">
        <f t="shared" si="101"/>
        <v>0</v>
      </c>
      <c r="AL87" s="1621">
        <f t="shared" si="102"/>
        <v>0</v>
      </c>
      <c r="AM87" s="1621">
        <f t="shared" si="102"/>
        <v>0</v>
      </c>
      <c r="AN87" s="1623"/>
      <c r="AO87" s="1621"/>
      <c r="AP87" s="1621"/>
      <c r="AQ87" s="1717"/>
      <c r="AR87" s="2064" t="s">
        <v>1469</v>
      </c>
      <c r="AS87" s="2082" t="s">
        <v>338</v>
      </c>
      <c r="AT87" s="2067" t="s">
        <v>416</v>
      </c>
      <c r="AU87" s="2069">
        <v>0</v>
      </c>
      <c r="AV87" s="2069">
        <v>0</v>
      </c>
      <c r="AW87" s="2069">
        <v>0</v>
      </c>
      <c r="AX87" s="2069">
        <v>0</v>
      </c>
      <c r="AY87" s="2069">
        <v>0</v>
      </c>
      <c r="AZ87" s="2069">
        <v>0</v>
      </c>
      <c r="BA87" s="2069">
        <v>0</v>
      </c>
      <c r="BB87" s="2069">
        <v>0</v>
      </c>
      <c r="BC87" s="2069">
        <v>0</v>
      </c>
      <c r="BD87" s="2069">
        <v>0</v>
      </c>
      <c r="BE87" s="2069"/>
      <c r="BF87" s="2069"/>
      <c r="BG87" s="2069"/>
      <c r="BI87" s="2064" t="s">
        <v>1469</v>
      </c>
      <c r="BJ87" s="2082" t="s">
        <v>338</v>
      </c>
      <c r="BK87" s="2067" t="s">
        <v>416</v>
      </c>
      <c r="BL87" s="2069">
        <v>0</v>
      </c>
      <c r="BM87" s="2069">
        <v>0</v>
      </c>
      <c r="BN87" s="2069">
        <v>0</v>
      </c>
      <c r="BO87" s="2069">
        <v>0</v>
      </c>
      <c r="BP87" s="2069">
        <v>0</v>
      </c>
      <c r="BQ87" s="2069">
        <v>0</v>
      </c>
      <c r="BR87" s="2069">
        <v>0</v>
      </c>
      <c r="BS87" s="2069">
        <v>0</v>
      </c>
      <c r="BT87" s="2069">
        <v>0</v>
      </c>
      <c r="BU87" s="2069">
        <v>0</v>
      </c>
      <c r="BV87" s="2069"/>
      <c r="BW87" s="2069"/>
      <c r="BX87" s="2069"/>
    </row>
    <row r="88" spans="2:76" ht="13.5" customHeight="1">
      <c r="B88" s="1677" t="str">
        <f t="shared" si="70"/>
        <v>2.3.2</v>
      </c>
      <c r="C88" s="1612" t="str">
        <f t="shared" si="71"/>
        <v>配管・配線材の更新</v>
      </c>
      <c r="D88" s="1719" t="e">
        <f t="shared" si="104"/>
        <v>#DIV/0!</v>
      </c>
      <c r="E88" s="1689" t="e">
        <f t="shared" si="104"/>
        <v>#DIV/0!</v>
      </c>
      <c r="G88" s="1689" t="e">
        <f t="shared" si="72"/>
        <v>#DIV/0!</v>
      </c>
      <c r="H88" s="1689" t="e">
        <f t="shared" si="72"/>
        <v>#DIV/0!</v>
      </c>
      <c r="I88" s="1689"/>
      <c r="J88" s="1689"/>
      <c r="K88" s="1614">
        <f>IF(スコア表示!X88=0,0,1)</f>
        <v>1</v>
      </c>
      <c r="L88" s="1614">
        <f>IF(スコア表示!AB88=0,0,1)</f>
        <v>0</v>
      </c>
      <c r="N88" s="1719" t="e">
        <f t="shared" si="105"/>
        <v>#DIV/0!</v>
      </c>
      <c r="O88" s="1719" t="e">
        <f t="shared" si="105"/>
        <v>#DIV/0!</v>
      </c>
      <c r="P88" s="1689"/>
      <c r="Q88" s="1689"/>
      <c r="R88" s="1614" t="e">
        <f>IF(スコア入力!R88="EB",重み_対象外!D88,U88)</f>
        <v>#DIV/0!</v>
      </c>
      <c r="S88" s="1614" t="e">
        <f>IF(スコア入力!Y88="EB",重み_対象外!E88,V88)</f>
        <v>#DIV/0!</v>
      </c>
      <c r="T88" s="1558"/>
      <c r="U88" s="1612" t="e">
        <f t="shared" si="106"/>
        <v>#DIV/0!</v>
      </c>
      <c r="V88" s="1612" t="e">
        <f t="shared" si="106"/>
        <v>#DIV/0!</v>
      </c>
      <c r="W88" s="1558"/>
      <c r="X88" s="1689" t="e">
        <f t="shared" si="73"/>
        <v>#DIV/0!</v>
      </c>
      <c r="Y88" s="1689" t="e">
        <f t="shared" si="74"/>
        <v>#DIV/0!</v>
      </c>
      <c r="Z88" s="1715"/>
      <c r="AA88" s="1720" t="str">
        <f t="shared" si="92"/>
        <v>2.3.2</v>
      </c>
      <c r="AB88" s="1691" t="str">
        <f t="shared" si="103"/>
        <v xml:space="preserve"> Q2 2.3</v>
      </c>
      <c r="AC88" s="1718" t="str">
        <f t="shared" si="93"/>
        <v>配管・配線材の更新</v>
      </c>
      <c r="AD88" s="1621">
        <f t="shared" si="94"/>
        <v>0</v>
      </c>
      <c r="AE88" s="1621">
        <f t="shared" si="95"/>
        <v>0</v>
      </c>
      <c r="AF88" s="1621">
        <f t="shared" si="96"/>
        <v>0</v>
      </c>
      <c r="AG88" s="1621">
        <f t="shared" si="97"/>
        <v>0</v>
      </c>
      <c r="AH88" s="1621">
        <f t="shared" si="98"/>
        <v>0</v>
      </c>
      <c r="AI88" s="1621">
        <f t="shared" si="99"/>
        <v>0</v>
      </c>
      <c r="AJ88" s="1621">
        <f t="shared" si="100"/>
        <v>0</v>
      </c>
      <c r="AK88" s="1621">
        <f t="shared" si="101"/>
        <v>0</v>
      </c>
      <c r="AL88" s="1621">
        <f t="shared" si="102"/>
        <v>0</v>
      </c>
      <c r="AM88" s="1621">
        <f t="shared" si="102"/>
        <v>0</v>
      </c>
      <c r="AN88" s="1623"/>
      <c r="AO88" s="1621"/>
      <c r="AP88" s="1621"/>
      <c r="AQ88" s="1717"/>
      <c r="AR88" s="2064" t="s">
        <v>1470</v>
      </c>
      <c r="AS88" s="2082" t="s">
        <v>338</v>
      </c>
      <c r="AT88" s="2067" t="s">
        <v>417</v>
      </c>
      <c r="AU88" s="2069">
        <v>0</v>
      </c>
      <c r="AV88" s="2069">
        <v>0</v>
      </c>
      <c r="AW88" s="2069">
        <v>0</v>
      </c>
      <c r="AX88" s="2069">
        <v>0</v>
      </c>
      <c r="AY88" s="2069">
        <v>0</v>
      </c>
      <c r="AZ88" s="2069">
        <v>0</v>
      </c>
      <c r="BA88" s="2069">
        <v>0</v>
      </c>
      <c r="BB88" s="2069">
        <v>0</v>
      </c>
      <c r="BC88" s="2069">
        <v>0</v>
      </c>
      <c r="BD88" s="2069">
        <v>0</v>
      </c>
      <c r="BE88" s="2069"/>
      <c r="BF88" s="2069"/>
      <c r="BG88" s="2069"/>
      <c r="BI88" s="2064" t="s">
        <v>1470</v>
      </c>
      <c r="BJ88" s="2082" t="s">
        <v>338</v>
      </c>
      <c r="BK88" s="2067" t="s">
        <v>417</v>
      </c>
      <c r="BL88" s="2069">
        <v>0</v>
      </c>
      <c r="BM88" s="2069">
        <v>0</v>
      </c>
      <c r="BN88" s="2069">
        <v>0</v>
      </c>
      <c r="BO88" s="2069">
        <v>0</v>
      </c>
      <c r="BP88" s="2069">
        <v>0</v>
      </c>
      <c r="BQ88" s="2069">
        <v>0</v>
      </c>
      <c r="BR88" s="2069">
        <v>0</v>
      </c>
      <c r="BS88" s="2069">
        <v>0</v>
      </c>
      <c r="BT88" s="2069">
        <v>0</v>
      </c>
      <c r="BU88" s="2069">
        <v>0</v>
      </c>
      <c r="BV88" s="2069"/>
      <c r="BW88" s="2069"/>
      <c r="BX88" s="2069"/>
    </row>
    <row r="89" spans="2:76" ht="13.5" customHeight="1">
      <c r="B89" s="1677" t="str">
        <f t="shared" si="70"/>
        <v>2.3.3</v>
      </c>
      <c r="C89" s="1612" t="str">
        <f t="shared" si="71"/>
        <v>主要設備機器の更新</v>
      </c>
      <c r="D89" s="1719" t="e">
        <f t="shared" si="104"/>
        <v>#DIV/0!</v>
      </c>
      <c r="E89" s="1689" t="e">
        <f t="shared" si="104"/>
        <v>#DIV/0!</v>
      </c>
      <c r="G89" s="1689" t="e">
        <f t="shared" si="72"/>
        <v>#DIV/0!</v>
      </c>
      <c r="H89" s="1689" t="e">
        <f t="shared" si="72"/>
        <v>#DIV/0!</v>
      </c>
      <c r="I89" s="1689"/>
      <c r="J89" s="1689"/>
      <c r="K89" s="1614">
        <f>IF(スコア表示!X89=0,0,1)</f>
        <v>1</v>
      </c>
      <c r="L89" s="1614">
        <f>IF(スコア表示!AB89=0,0,1)</f>
        <v>0</v>
      </c>
      <c r="N89" s="1719" t="e">
        <f t="shared" si="105"/>
        <v>#DIV/0!</v>
      </c>
      <c r="O89" s="1719" t="e">
        <f t="shared" si="105"/>
        <v>#DIV/0!</v>
      </c>
      <c r="P89" s="1689"/>
      <c r="Q89" s="1689"/>
      <c r="R89" s="1614" t="e">
        <f>IF(スコア入力!R89="EB",重み_対象外!D89,U89)</f>
        <v>#DIV/0!</v>
      </c>
      <c r="S89" s="1614" t="e">
        <f>IF(スコア入力!Y89="EB",重み_対象外!E89,V89)</f>
        <v>#DIV/0!</v>
      </c>
      <c r="T89" s="1558"/>
      <c r="U89" s="1612" t="e">
        <f t="shared" si="106"/>
        <v>#DIV/0!</v>
      </c>
      <c r="V89" s="1612" t="e">
        <f t="shared" si="106"/>
        <v>#DIV/0!</v>
      </c>
      <c r="W89" s="1558"/>
      <c r="X89" s="1689" t="e">
        <f t="shared" si="73"/>
        <v>#DIV/0!</v>
      </c>
      <c r="Y89" s="1689" t="e">
        <f t="shared" si="74"/>
        <v>#DIV/0!</v>
      </c>
      <c r="Z89" s="1715"/>
      <c r="AA89" s="1720" t="str">
        <f t="shared" si="92"/>
        <v>2.3.3</v>
      </c>
      <c r="AB89" s="1691" t="str">
        <f t="shared" si="103"/>
        <v xml:space="preserve"> Q2 2.3</v>
      </c>
      <c r="AC89" s="1718" t="str">
        <f t="shared" si="93"/>
        <v>主要設備機器の更新</v>
      </c>
      <c r="AD89" s="1621">
        <f t="shared" si="94"/>
        <v>0</v>
      </c>
      <c r="AE89" s="1621">
        <f t="shared" si="95"/>
        <v>0</v>
      </c>
      <c r="AF89" s="1621">
        <f t="shared" si="96"/>
        <v>0</v>
      </c>
      <c r="AG89" s="1621">
        <f t="shared" si="97"/>
        <v>0</v>
      </c>
      <c r="AH89" s="1621">
        <f t="shared" si="98"/>
        <v>0</v>
      </c>
      <c r="AI89" s="1621">
        <f t="shared" si="99"/>
        <v>0</v>
      </c>
      <c r="AJ89" s="1621">
        <f t="shared" si="100"/>
        <v>0</v>
      </c>
      <c r="AK89" s="1621">
        <f t="shared" si="101"/>
        <v>0</v>
      </c>
      <c r="AL89" s="1621">
        <f t="shared" si="102"/>
        <v>0</v>
      </c>
      <c r="AM89" s="1621">
        <f t="shared" si="102"/>
        <v>0</v>
      </c>
      <c r="AN89" s="1623"/>
      <c r="AO89" s="1621"/>
      <c r="AP89" s="1621"/>
      <c r="AQ89" s="1717"/>
      <c r="AR89" s="2064" t="s">
        <v>1471</v>
      </c>
      <c r="AS89" s="2082" t="s">
        <v>338</v>
      </c>
      <c r="AT89" s="2067" t="s">
        <v>418</v>
      </c>
      <c r="AU89" s="2069">
        <v>0</v>
      </c>
      <c r="AV89" s="2069">
        <v>0</v>
      </c>
      <c r="AW89" s="2069">
        <v>0</v>
      </c>
      <c r="AX89" s="2069">
        <v>0</v>
      </c>
      <c r="AY89" s="2069">
        <v>0</v>
      </c>
      <c r="AZ89" s="2069">
        <v>0</v>
      </c>
      <c r="BA89" s="2069">
        <v>0</v>
      </c>
      <c r="BB89" s="2069">
        <v>0</v>
      </c>
      <c r="BC89" s="2069">
        <v>0</v>
      </c>
      <c r="BD89" s="2069">
        <v>0</v>
      </c>
      <c r="BE89" s="2069"/>
      <c r="BF89" s="2069"/>
      <c r="BG89" s="2069"/>
      <c r="BI89" s="2064" t="s">
        <v>1471</v>
      </c>
      <c r="BJ89" s="2082" t="s">
        <v>338</v>
      </c>
      <c r="BK89" s="2067" t="s">
        <v>418</v>
      </c>
      <c r="BL89" s="2069">
        <v>0</v>
      </c>
      <c r="BM89" s="2069">
        <v>0</v>
      </c>
      <c r="BN89" s="2069">
        <v>0</v>
      </c>
      <c r="BO89" s="2069">
        <v>0</v>
      </c>
      <c r="BP89" s="2069">
        <v>0</v>
      </c>
      <c r="BQ89" s="2069">
        <v>0</v>
      </c>
      <c r="BR89" s="2069">
        <v>0</v>
      </c>
      <c r="BS89" s="2069">
        <v>0</v>
      </c>
      <c r="BT89" s="2069">
        <v>0</v>
      </c>
      <c r="BU89" s="2069">
        <v>0</v>
      </c>
      <c r="BV89" s="2069"/>
      <c r="BW89" s="2069"/>
      <c r="BX89" s="2069"/>
    </row>
    <row r="90" spans="2:76" ht="13.5" customHeight="1">
      <c r="B90" s="1611">
        <f t="shared" si="70"/>
        <v>2.4</v>
      </c>
      <c r="C90" s="1645" t="str">
        <f t="shared" si="71"/>
        <v>信頼性</v>
      </c>
      <c r="D90" s="1714" t="e">
        <f>IF(I$75=0,0,G90/I$75)</f>
        <v>#DIV/0!</v>
      </c>
      <c r="E90" s="1689" t="e">
        <f>IF(J$75=0,0,H90/J$75)</f>
        <v>#DIV/0!</v>
      </c>
      <c r="G90" s="1689" t="e">
        <f t="shared" si="72"/>
        <v>#DIV/0!</v>
      </c>
      <c r="H90" s="1689" t="e">
        <f t="shared" si="72"/>
        <v>#DIV/0!</v>
      </c>
      <c r="I90" s="1689" t="e">
        <f>SUM(G91:G95)</f>
        <v>#DIV/0!</v>
      </c>
      <c r="J90" s="1689" t="e">
        <f>SUM(H91:H95)</f>
        <v>#DIV/0!</v>
      </c>
      <c r="K90" s="1614" t="e">
        <f>IF(スコア表示!X90=0,0,1)</f>
        <v>#DIV/0!</v>
      </c>
      <c r="L90" s="1614" t="e">
        <f>IF(スコア表示!AB90=0,0,1)</f>
        <v>#DIV/0!</v>
      </c>
      <c r="N90" s="1711" t="e">
        <f>IF(P$75=0,0,P90/P$75)</f>
        <v>#DIV/0!</v>
      </c>
      <c r="O90" s="1711" t="e">
        <f>IF(Q$75=0,0,Q90/Q$75)</f>
        <v>#DIV/0!</v>
      </c>
      <c r="P90" s="1614" t="e">
        <f>SUM(R91:R95)</f>
        <v>#DIV/0!</v>
      </c>
      <c r="Q90" s="1614" t="e">
        <f>SUM(S91:S95)</f>
        <v>#DIV/0!</v>
      </c>
      <c r="R90" s="1614">
        <f>IF(スコア入力!R90="EB",重み_対象外!D90,U90)</f>
        <v>0</v>
      </c>
      <c r="S90" s="1614">
        <f>IF(スコア入力!Y90="EB",重み_対象外!E90,V90)</f>
        <v>0</v>
      </c>
      <c r="T90" s="1558"/>
      <c r="U90" s="1628"/>
      <c r="V90" s="1628"/>
      <c r="W90" s="1558"/>
      <c r="X90" s="1614" t="e">
        <f t="shared" si="73"/>
        <v>#DIV/0!</v>
      </c>
      <c r="Y90" s="1614" t="e">
        <f t="shared" si="74"/>
        <v>#DIV/0!</v>
      </c>
      <c r="Z90" s="1642"/>
      <c r="AA90" s="1611">
        <f t="shared" si="92"/>
        <v>2.4</v>
      </c>
      <c r="AB90" s="1611" t="str">
        <f t="shared" si="103"/>
        <v xml:space="preserve"> Q2 2</v>
      </c>
      <c r="AC90" s="1611" t="str">
        <f t="shared" si="93"/>
        <v>信頼性</v>
      </c>
      <c r="AD90" s="1757">
        <f t="shared" si="94"/>
        <v>0.2</v>
      </c>
      <c r="AE90" s="1757">
        <f t="shared" si="95"/>
        <v>0.2</v>
      </c>
      <c r="AF90" s="1757">
        <f t="shared" si="96"/>
        <v>0.2</v>
      </c>
      <c r="AG90" s="1757">
        <f t="shared" si="97"/>
        <v>0.2</v>
      </c>
      <c r="AH90" s="1757">
        <f t="shared" si="98"/>
        <v>0.2</v>
      </c>
      <c r="AI90" s="1757">
        <f t="shared" si="99"/>
        <v>0.2</v>
      </c>
      <c r="AJ90" s="1757">
        <f t="shared" si="100"/>
        <v>0.2</v>
      </c>
      <c r="AK90" s="1759">
        <f t="shared" si="101"/>
        <v>0.2</v>
      </c>
      <c r="AL90" s="1757">
        <f t="shared" si="102"/>
        <v>0.2</v>
      </c>
      <c r="AM90" s="1757">
        <f t="shared" si="102"/>
        <v>0.2</v>
      </c>
      <c r="AN90" s="1758">
        <f t="shared" ref="AN90:AN129" si="107">IF($AA$3=1,BE90,BV90)</f>
        <v>0</v>
      </c>
      <c r="AO90" s="1757">
        <f t="shared" ref="AO90:AO129" si="108">IF($AA$3=1,BF90,BW90)</f>
        <v>0</v>
      </c>
      <c r="AP90" s="1757">
        <f t="shared" ref="AP90:AP129" si="109">IF($AA$3=1,BG90,BX90)</f>
        <v>0</v>
      </c>
      <c r="AQ90" s="1618"/>
      <c r="AR90" s="1645">
        <v>2.4</v>
      </c>
      <c r="AS90" s="1691" t="s">
        <v>327</v>
      </c>
      <c r="AT90" s="1735" t="s">
        <v>711</v>
      </c>
      <c r="AU90" s="1621">
        <v>0.2</v>
      </c>
      <c r="AV90" s="1621">
        <v>0.2</v>
      </c>
      <c r="AW90" s="1621">
        <v>0.2</v>
      </c>
      <c r="AX90" s="1621">
        <v>0.2</v>
      </c>
      <c r="AY90" s="1621">
        <v>0.2</v>
      </c>
      <c r="AZ90" s="1621">
        <v>0.2</v>
      </c>
      <c r="BA90" s="1621">
        <v>0.2</v>
      </c>
      <c r="BB90" s="1622">
        <v>0.2</v>
      </c>
      <c r="BC90" s="1621">
        <v>0.2</v>
      </c>
      <c r="BD90" s="1621">
        <v>0.2</v>
      </c>
      <c r="BE90" s="1623"/>
      <c r="BF90" s="1621"/>
      <c r="BG90" s="1621"/>
      <c r="BI90" s="1645">
        <v>2.4</v>
      </c>
      <c r="BJ90" s="1691" t="s">
        <v>327</v>
      </c>
      <c r="BK90" s="1735" t="s">
        <v>711</v>
      </c>
      <c r="BL90" s="1621">
        <v>0.2</v>
      </c>
      <c r="BM90" s="1621">
        <v>0.2</v>
      </c>
      <c r="BN90" s="1621">
        <v>0.2</v>
      </c>
      <c r="BO90" s="1621">
        <v>0.2</v>
      </c>
      <c r="BP90" s="1621">
        <v>0.2</v>
      </c>
      <c r="BQ90" s="1621">
        <v>0.2</v>
      </c>
      <c r="BR90" s="1621">
        <v>0.2</v>
      </c>
      <c r="BS90" s="1622">
        <v>0.2</v>
      </c>
      <c r="BT90" s="1621">
        <v>0.2</v>
      </c>
      <c r="BU90" s="1621">
        <v>0.2</v>
      </c>
      <c r="BV90" s="1623"/>
      <c r="BW90" s="1621"/>
      <c r="BX90" s="1621"/>
    </row>
    <row r="91" spans="2:76" ht="13.5" customHeight="1">
      <c r="B91" s="1619" t="str">
        <f t="shared" si="70"/>
        <v>2.4.1</v>
      </c>
      <c r="C91" s="1612" t="str">
        <f t="shared" si="71"/>
        <v>空調・換気設備</v>
      </c>
      <c r="D91" s="1719" t="e">
        <f t="shared" ref="D91:E95" si="110">IF(I$90&gt;0,G91/I$90,0)</f>
        <v>#DIV/0!</v>
      </c>
      <c r="E91" s="1689" t="e">
        <f t="shared" si="110"/>
        <v>#DIV/0!</v>
      </c>
      <c r="G91" s="1689" t="e">
        <f t="shared" si="72"/>
        <v>#DIV/0!</v>
      </c>
      <c r="H91" s="1689" t="e">
        <f t="shared" si="72"/>
        <v>#DIV/0!</v>
      </c>
      <c r="I91" s="1689"/>
      <c r="J91" s="1689"/>
      <c r="K91" s="1614">
        <f>IF(スコア表示!X91=0,0,1)</f>
        <v>1</v>
      </c>
      <c r="L91" s="1614">
        <f>IF(スコア表示!AB91=0,0,1)</f>
        <v>0</v>
      </c>
      <c r="N91" s="1706" t="e">
        <f t="shared" ref="N91:O95" si="111">IF(P$90&gt;0,R91/P$90,0)</f>
        <v>#DIV/0!</v>
      </c>
      <c r="O91" s="1706" t="e">
        <f t="shared" si="111"/>
        <v>#DIV/0!</v>
      </c>
      <c r="P91" s="1614"/>
      <c r="Q91" s="1614"/>
      <c r="R91" s="1614" t="e">
        <f>IF(スコア入力!R91="EB",重み_対象外!D91,U91)</f>
        <v>#DIV/0!</v>
      </c>
      <c r="S91" s="1614" t="e">
        <f>IF(スコア入力!Y91="EB",重み_対象外!E91,V91)</f>
        <v>#DIV/0!</v>
      </c>
      <c r="T91" s="1558"/>
      <c r="U91" s="1612" t="e">
        <f t="shared" ref="U91:V95" si="112">X$75*X$90*X91</f>
        <v>#DIV/0!</v>
      </c>
      <c r="V91" s="1612" t="e">
        <f t="shared" si="112"/>
        <v>#DIV/0!</v>
      </c>
      <c r="W91" s="1558"/>
      <c r="X91" s="1614" t="e">
        <f t="shared" si="73"/>
        <v>#DIV/0!</v>
      </c>
      <c r="Y91" s="1614" t="e">
        <f t="shared" si="74"/>
        <v>#DIV/0!</v>
      </c>
      <c r="Z91" s="1642"/>
      <c r="AA91" s="1611" t="str">
        <f t="shared" si="92"/>
        <v>2.4.1</v>
      </c>
      <c r="AB91" s="1611" t="str">
        <f t="shared" si="103"/>
        <v xml:space="preserve"> Q2 2.4</v>
      </c>
      <c r="AC91" s="1611" t="str">
        <f t="shared" si="93"/>
        <v>空調・換気設備</v>
      </c>
      <c r="AD91" s="1757">
        <f t="shared" si="94"/>
        <v>0.2</v>
      </c>
      <c r="AE91" s="1757">
        <f t="shared" si="95"/>
        <v>0.2</v>
      </c>
      <c r="AF91" s="1757">
        <f t="shared" si="96"/>
        <v>0.2</v>
      </c>
      <c r="AG91" s="1757">
        <f t="shared" si="97"/>
        <v>0.2</v>
      </c>
      <c r="AH91" s="1757">
        <f t="shared" si="98"/>
        <v>0.2</v>
      </c>
      <c r="AI91" s="1757">
        <f t="shared" si="99"/>
        <v>0.2</v>
      </c>
      <c r="AJ91" s="1757">
        <f t="shared" si="100"/>
        <v>0.2</v>
      </c>
      <c r="AK91" s="1759">
        <f t="shared" si="101"/>
        <v>0.2</v>
      </c>
      <c r="AL91" s="1757">
        <f t="shared" si="102"/>
        <v>0.2</v>
      </c>
      <c r="AM91" s="1757">
        <f t="shared" si="102"/>
        <v>0.2</v>
      </c>
      <c r="AN91" s="1758">
        <f t="shared" si="107"/>
        <v>0</v>
      </c>
      <c r="AO91" s="1757">
        <f t="shared" si="108"/>
        <v>0</v>
      </c>
      <c r="AP91" s="1757">
        <f t="shared" si="109"/>
        <v>0</v>
      </c>
      <c r="AQ91" s="1618"/>
      <c r="AR91" s="1645" t="s">
        <v>1472</v>
      </c>
      <c r="AS91" s="1691" t="s">
        <v>339</v>
      </c>
      <c r="AT91" s="2061" t="s">
        <v>340</v>
      </c>
      <c r="AU91" s="1621">
        <v>0.2</v>
      </c>
      <c r="AV91" s="1621">
        <v>0.2</v>
      </c>
      <c r="AW91" s="1621">
        <v>0.2</v>
      </c>
      <c r="AX91" s="1621">
        <v>0.2</v>
      </c>
      <c r="AY91" s="1621">
        <v>0.2</v>
      </c>
      <c r="AZ91" s="1621">
        <v>0.2</v>
      </c>
      <c r="BA91" s="1621">
        <v>0.2</v>
      </c>
      <c r="BB91" s="1622">
        <v>0.2</v>
      </c>
      <c r="BC91" s="1621">
        <v>0.2</v>
      </c>
      <c r="BD91" s="1621">
        <v>0.2</v>
      </c>
      <c r="BE91" s="1623"/>
      <c r="BF91" s="1621"/>
      <c r="BG91" s="1621"/>
      <c r="BI91" s="1645" t="s">
        <v>1472</v>
      </c>
      <c r="BJ91" s="1691" t="s">
        <v>339</v>
      </c>
      <c r="BK91" s="2061" t="s">
        <v>340</v>
      </c>
      <c r="BL91" s="1621">
        <v>0.2</v>
      </c>
      <c r="BM91" s="1621">
        <v>0.2</v>
      </c>
      <c r="BN91" s="1621">
        <v>0.2</v>
      </c>
      <c r="BO91" s="1621">
        <v>0.2</v>
      </c>
      <c r="BP91" s="1621">
        <v>0.2</v>
      </c>
      <c r="BQ91" s="1621">
        <v>0.2</v>
      </c>
      <c r="BR91" s="1621">
        <v>0.2</v>
      </c>
      <c r="BS91" s="1622">
        <v>0.2</v>
      </c>
      <c r="BT91" s="1621">
        <v>0.2</v>
      </c>
      <c r="BU91" s="1621">
        <v>0.2</v>
      </c>
      <c r="BV91" s="1623"/>
      <c r="BW91" s="1621"/>
      <c r="BX91" s="1621"/>
    </row>
    <row r="92" spans="2:76" ht="13.5" customHeight="1">
      <c r="B92" s="1619" t="str">
        <f t="shared" si="70"/>
        <v>2.4.2</v>
      </c>
      <c r="C92" s="1612" t="str">
        <f t="shared" si="71"/>
        <v>給排水・衛生設備</v>
      </c>
      <c r="D92" s="1719" t="e">
        <f t="shared" si="110"/>
        <v>#DIV/0!</v>
      </c>
      <c r="E92" s="1689" t="e">
        <f t="shared" si="110"/>
        <v>#DIV/0!</v>
      </c>
      <c r="G92" s="1689" t="e">
        <f t="shared" si="72"/>
        <v>#DIV/0!</v>
      </c>
      <c r="H92" s="1689" t="e">
        <f t="shared" si="72"/>
        <v>#DIV/0!</v>
      </c>
      <c r="I92" s="1689"/>
      <c r="J92" s="1689"/>
      <c r="K92" s="1614">
        <f>IF(スコア表示!X92=0,0,1)</f>
        <v>1</v>
      </c>
      <c r="L92" s="1614">
        <f>IF(スコア表示!AB92=0,0,1)</f>
        <v>0</v>
      </c>
      <c r="N92" s="1706" t="e">
        <f t="shared" si="111"/>
        <v>#DIV/0!</v>
      </c>
      <c r="O92" s="1706" t="e">
        <f t="shared" si="111"/>
        <v>#DIV/0!</v>
      </c>
      <c r="P92" s="1614"/>
      <c r="Q92" s="1614"/>
      <c r="R92" s="1614" t="e">
        <f>IF(スコア入力!R92="EB",重み_対象外!D92,U92)</f>
        <v>#DIV/0!</v>
      </c>
      <c r="S92" s="1614" t="e">
        <f>IF(スコア入力!Y92="EB",重み_対象外!E92,V92)</f>
        <v>#DIV/0!</v>
      </c>
      <c r="T92" s="1558"/>
      <c r="U92" s="1612" t="e">
        <f t="shared" si="112"/>
        <v>#DIV/0!</v>
      </c>
      <c r="V92" s="1612" t="e">
        <f t="shared" si="112"/>
        <v>#DIV/0!</v>
      </c>
      <c r="W92" s="1558"/>
      <c r="X92" s="1614" t="e">
        <f t="shared" si="73"/>
        <v>#DIV/0!</v>
      </c>
      <c r="Y92" s="1614" t="e">
        <f t="shared" si="74"/>
        <v>#DIV/0!</v>
      </c>
      <c r="Z92" s="1642"/>
      <c r="AA92" s="1611" t="str">
        <f t="shared" si="92"/>
        <v>2.4.2</v>
      </c>
      <c r="AB92" s="1611" t="str">
        <f t="shared" si="103"/>
        <v xml:space="preserve"> Q2 2.4</v>
      </c>
      <c r="AC92" s="1611" t="str">
        <f t="shared" si="93"/>
        <v>給排水・衛生設備</v>
      </c>
      <c r="AD92" s="1757">
        <f t="shared" si="94"/>
        <v>0.2</v>
      </c>
      <c r="AE92" s="1757">
        <f t="shared" si="95"/>
        <v>0.2</v>
      </c>
      <c r="AF92" s="1757">
        <f t="shared" si="96"/>
        <v>0.2</v>
      </c>
      <c r="AG92" s="1757">
        <f t="shared" si="97"/>
        <v>0.2</v>
      </c>
      <c r="AH92" s="1757">
        <f t="shared" si="98"/>
        <v>0.2</v>
      </c>
      <c r="AI92" s="1757">
        <f t="shared" si="99"/>
        <v>0.2</v>
      </c>
      <c r="AJ92" s="1757">
        <f t="shared" si="100"/>
        <v>0.2</v>
      </c>
      <c r="AK92" s="1759">
        <f t="shared" si="101"/>
        <v>0.2</v>
      </c>
      <c r="AL92" s="1757">
        <f t="shared" si="102"/>
        <v>0.2</v>
      </c>
      <c r="AM92" s="1757">
        <f t="shared" si="102"/>
        <v>0.2</v>
      </c>
      <c r="AN92" s="1758">
        <f t="shared" si="107"/>
        <v>0</v>
      </c>
      <c r="AO92" s="1757">
        <f t="shared" si="108"/>
        <v>0</v>
      </c>
      <c r="AP92" s="1757">
        <f t="shared" si="109"/>
        <v>0</v>
      </c>
      <c r="AQ92" s="1618"/>
      <c r="AR92" s="1645" t="s">
        <v>341</v>
      </c>
      <c r="AS92" s="1691" t="s">
        <v>339</v>
      </c>
      <c r="AT92" s="2061" t="s">
        <v>342</v>
      </c>
      <c r="AU92" s="1621">
        <v>0.2</v>
      </c>
      <c r="AV92" s="1621">
        <v>0.2</v>
      </c>
      <c r="AW92" s="1621">
        <v>0.2</v>
      </c>
      <c r="AX92" s="1621">
        <v>0.2</v>
      </c>
      <c r="AY92" s="1621">
        <v>0.2</v>
      </c>
      <c r="AZ92" s="1621">
        <v>0.2</v>
      </c>
      <c r="BA92" s="1621">
        <v>0.2</v>
      </c>
      <c r="BB92" s="1622">
        <v>0.2</v>
      </c>
      <c r="BC92" s="1621">
        <v>0.2</v>
      </c>
      <c r="BD92" s="1621">
        <v>0.2</v>
      </c>
      <c r="BE92" s="1623"/>
      <c r="BF92" s="1621"/>
      <c r="BG92" s="1621"/>
      <c r="BI92" s="1645" t="s">
        <v>341</v>
      </c>
      <c r="BJ92" s="1691" t="s">
        <v>339</v>
      </c>
      <c r="BK92" s="2061" t="s">
        <v>342</v>
      </c>
      <c r="BL92" s="1621">
        <v>0.2</v>
      </c>
      <c r="BM92" s="1621">
        <v>0.2</v>
      </c>
      <c r="BN92" s="1621">
        <v>0.2</v>
      </c>
      <c r="BO92" s="1621">
        <v>0.2</v>
      </c>
      <c r="BP92" s="1621">
        <v>0.2</v>
      </c>
      <c r="BQ92" s="1621">
        <v>0.2</v>
      </c>
      <c r="BR92" s="1621">
        <v>0.2</v>
      </c>
      <c r="BS92" s="1622">
        <v>0.2</v>
      </c>
      <c r="BT92" s="1621">
        <v>0.2</v>
      </c>
      <c r="BU92" s="1621">
        <v>0.2</v>
      </c>
      <c r="BV92" s="1623"/>
      <c r="BW92" s="1621"/>
      <c r="BX92" s="1621"/>
    </row>
    <row r="93" spans="2:76" ht="13.5" customHeight="1">
      <c r="B93" s="1619" t="str">
        <f t="shared" si="70"/>
        <v>2.4.3</v>
      </c>
      <c r="C93" s="1612" t="str">
        <f t="shared" si="71"/>
        <v>電気設備</v>
      </c>
      <c r="D93" s="1719" t="e">
        <f t="shared" si="110"/>
        <v>#DIV/0!</v>
      </c>
      <c r="E93" s="1689" t="e">
        <f t="shared" si="110"/>
        <v>#DIV/0!</v>
      </c>
      <c r="G93" s="1689" t="e">
        <f t="shared" si="72"/>
        <v>#DIV/0!</v>
      </c>
      <c r="H93" s="1689" t="e">
        <f t="shared" si="72"/>
        <v>#DIV/0!</v>
      </c>
      <c r="I93" s="1689"/>
      <c r="J93" s="1689"/>
      <c r="K93" s="1689">
        <f>IF(スコア表示!X93=0,0,1)</f>
        <v>1</v>
      </c>
      <c r="L93" s="1689">
        <f>IF(スコア表示!AB93=0,0,1)</f>
        <v>0</v>
      </c>
      <c r="N93" s="1706" t="e">
        <f t="shared" si="111"/>
        <v>#DIV/0!</v>
      </c>
      <c r="O93" s="1706" t="e">
        <f t="shared" si="111"/>
        <v>#DIV/0!</v>
      </c>
      <c r="P93" s="1614"/>
      <c r="Q93" s="1614"/>
      <c r="R93" s="1614" t="e">
        <f>IF(スコア入力!R93="EB",重み_対象外!D93,U93)</f>
        <v>#DIV/0!</v>
      </c>
      <c r="S93" s="1614" t="e">
        <f>IF(スコア入力!Y93="EB",重み_対象外!E93,V93)</f>
        <v>#DIV/0!</v>
      </c>
      <c r="T93" s="1558"/>
      <c r="U93" s="1612" t="e">
        <f t="shared" si="112"/>
        <v>#DIV/0!</v>
      </c>
      <c r="V93" s="1612" t="e">
        <f t="shared" si="112"/>
        <v>#DIV/0!</v>
      </c>
      <c r="W93" s="1558"/>
      <c r="X93" s="1614" t="e">
        <f t="shared" si="73"/>
        <v>#DIV/0!</v>
      </c>
      <c r="Y93" s="1614" t="e">
        <f t="shared" si="74"/>
        <v>#DIV/0!</v>
      </c>
      <c r="Z93" s="1642"/>
      <c r="AA93" s="1611" t="str">
        <f t="shared" si="92"/>
        <v>2.4.3</v>
      </c>
      <c r="AB93" s="1611" t="str">
        <f t="shared" si="103"/>
        <v xml:space="preserve"> Q2 2.4</v>
      </c>
      <c r="AC93" s="1611" t="str">
        <f t="shared" si="93"/>
        <v>電気設備</v>
      </c>
      <c r="AD93" s="1757">
        <f t="shared" si="94"/>
        <v>0.2</v>
      </c>
      <c r="AE93" s="1757">
        <f t="shared" si="95"/>
        <v>0.2</v>
      </c>
      <c r="AF93" s="1757">
        <f t="shared" si="96"/>
        <v>0.2</v>
      </c>
      <c r="AG93" s="1757">
        <f t="shared" si="97"/>
        <v>0.2</v>
      </c>
      <c r="AH93" s="1757">
        <f t="shared" si="98"/>
        <v>0.2</v>
      </c>
      <c r="AI93" s="1757">
        <f t="shared" si="99"/>
        <v>0.2</v>
      </c>
      <c r="AJ93" s="1757">
        <f t="shared" si="100"/>
        <v>0.2</v>
      </c>
      <c r="AK93" s="1759">
        <f t="shared" si="101"/>
        <v>0.2</v>
      </c>
      <c r="AL93" s="1757">
        <f t="shared" si="102"/>
        <v>0.2</v>
      </c>
      <c r="AM93" s="1757">
        <f t="shared" si="102"/>
        <v>0.2</v>
      </c>
      <c r="AN93" s="1758">
        <f t="shared" si="107"/>
        <v>0</v>
      </c>
      <c r="AO93" s="1757">
        <f t="shared" si="108"/>
        <v>0</v>
      </c>
      <c r="AP93" s="1757">
        <f t="shared" si="109"/>
        <v>0</v>
      </c>
      <c r="AQ93" s="1618"/>
      <c r="AR93" s="1645" t="s">
        <v>343</v>
      </c>
      <c r="AS93" s="1691" t="s">
        <v>339</v>
      </c>
      <c r="AT93" s="2061" t="s">
        <v>344</v>
      </c>
      <c r="AU93" s="1621">
        <v>0.2</v>
      </c>
      <c r="AV93" s="1621">
        <v>0.2</v>
      </c>
      <c r="AW93" s="1621">
        <v>0.2</v>
      </c>
      <c r="AX93" s="1621">
        <v>0.2</v>
      </c>
      <c r="AY93" s="1621">
        <v>0.2</v>
      </c>
      <c r="AZ93" s="1621">
        <v>0.2</v>
      </c>
      <c r="BA93" s="1621">
        <v>0.2</v>
      </c>
      <c r="BB93" s="1622">
        <v>0.2</v>
      </c>
      <c r="BC93" s="1621">
        <v>0.2</v>
      </c>
      <c r="BD93" s="1621">
        <v>0.2</v>
      </c>
      <c r="BE93" s="1623"/>
      <c r="BF93" s="1621"/>
      <c r="BG93" s="1621"/>
      <c r="BI93" s="1645" t="s">
        <v>343</v>
      </c>
      <c r="BJ93" s="1691" t="s">
        <v>339</v>
      </c>
      <c r="BK93" s="2061" t="s">
        <v>344</v>
      </c>
      <c r="BL93" s="1621">
        <v>0.2</v>
      </c>
      <c r="BM93" s="1621">
        <v>0.2</v>
      </c>
      <c r="BN93" s="1621">
        <v>0.2</v>
      </c>
      <c r="BO93" s="1621">
        <v>0.2</v>
      </c>
      <c r="BP93" s="1621">
        <v>0.2</v>
      </c>
      <c r="BQ93" s="1621">
        <v>0.2</v>
      </c>
      <c r="BR93" s="1621">
        <v>0.2</v>
      </c>
      <c r="BS93" s="1622">
        <v>0.2</v>
      </c>
      <c r="BT93" s="1621">
        <v>0.2</v>
      </c>
      <c r="BU93" s="1621">
        <v>0.2</v>
      </c>
      <c r="BV93" s="1623"/>
      <c r="BW93" s="1621"/>
      <c r="BX93" s="1621"/>
    </row>
    <row r="94" spans="2:76" ht="13.5" customHeight="1">
      <c r="B94" s="1619" t="str">
        <f t="shared" si="70"/>
        <v>2.4.4</v>
      </c>
      <c r="C94" s="1612" t="str">
        <f t="shared" si="71"/>
        <v>機械・配管支持方法</v>
      </c>
      <c r="D94" s="1719" t="e">
        <f t="shared" si="110"/>
        <v>#DIV/0!</v>
      </c>
      <c r="E94" s="1689" t="e">
        <f t="shared" si="110"/>
        <v>#DIV/0!</v>
      </c>
      <c r="G94" s="1689" t="e">
        <f t="shared" si="72"/>
        <v>#DIV/0!</v>
      </c>
      <c r="H94" s="1689" t="e">
        <f t="shared" si="72"/>
        <v>#DIV/0!</v>
      </c>
      <c r="I94" s="1689"/>
      <c r="J94" s="1689"/>
      <c r="K94" s="1614">
        <f>IF(スコア表示!X94=0,0,1)</f>
        <v>1</v>
      </c>
      <c r="L94" s="1614">
        <f>IF(スコア表示!AB94=0,0,1)</f>
        <v>0</v>
      </c>
      <c r="N94" s="1706" t="e">
        <f t="shared" si="111"/>
        <v>#DIV/0!</v>
      </c>
      <c r="O94" s="1706" t="e">
        <f t="shared" si="111"/>
        <v>#DIV/0!</v>
      </c>
      <c r="P94" s="1614"/>
      <c r="Q94" s="1614"/>
      <c r="R94" s="1614" t="e">
        <f>IF(スコア入力!R94="EB",重み_対象外!D94,U94)</f>
        <v>#DIV/0!</v>
      </c>
      <c r="S94" s="1614" t="e">
        <f>IF(スコア入力!Y94="EB",重み_対象外!E94,V94)</f>
        <v>#DIV/0!</v>
      </c>
      <c r="T94" s="1558"/>
      <c r="U94" s="1612" t="e">
        <f t="shared" si="112"/>
        <v>#DIV/0!</v>
      </c>
      <c r="V94" s="1612" t="e">
        <f t="shared" si="112"/>
        <v>#DIV/0!</v>
      </c>
      <c r="W94" s="1558"/>
      <c r="X94" s="1614" t="e">
        <f t="shared" si="73"/>
        <v>#DIV/0!</v>
      </c>
      <c r="Y94" s="1614" t="e">
        <f t="shared" si="74"/>
        <v>#DIV/0!</v>
      </c>
      <c r="Z94" s="1642"/>
      <c r="AA94" s="1611" t="str">
        <f t="shared" si="92"/>
        <v>2.4.4</v>
      </c>
      <c r="AB94" s="1611" t="str">
        <f t="shared" si="103"/>
        <v xml:space="preserve"> Q2 2.4</v>
      </c>
      <c r="AC94" s="1611" t="str">
        <f t="shared" si="93"/>
        <v>機械・配管支持方法</v>
      </c>
      <c r="AD94" s="1757">
        <f t="shared" si="94"/>
        <v>0.2</v>
      </c>
      <c r="AE94" s="1757">
        <f t="shared" si="95"/>
        <v>0.2</v>
      </c>
      <c r="AF94" s="1757">
        <f t="shared" si="96"/>
        <v>0.2</v>
      </c>
      <c r="AG94" s="1757">
        <f t="shared" si="97"/>
        <v>0.2</v>
      </c>
      <c r="AH94" s="1757">
        <f t="shared" si="98"/>
        <v>0.2</v>
      </c>
      <c r="AI94" s="1757">
        <f t="shared" si="99"/>
        <v>0.2</v>
      </c>
      <c r="AJ94" s="1757">
        <f t="shared" si="100"/>
        <v>0.2</v>
      </c>
      <c r="AK94" s="1759">
        <f t="shared" si="101"/>
        <v>0.2</v>
      </c>
      <c r="AL94" s="1757">
        <f t="shared" si="102"/>
        <v>0.2</v>
      </c>
      <c r="AM94" s="1757">
        <f t="shared" si="102"/>
        <v>0.2</v>
      </c>
      <c r="AN94" s="1758">
        <f t="shared" si="107"/>
        <v>0</v>
      </c>
      <c r="AO94" s="1757">
        <f t="shared" si="108"/>
        <v>0</v>
      </c>
      <c r="AP94" s="1757">
        <f t="shared" si="109"/>
        <v>0</v>
      </c>
      <c r="AQ94" s="1618"/>
      <c r="AR94" s="1645" t="s">
        <v>345</v>
      </c>
      <c r="AS94" s="1691" t="s">
        <v>339</v>
      </c>
      <c r="AT94" s="2061" t="s">
        <v>346</v>
      </c>
      <c r="AU94" s="1621">
        <v>0.2</v>
      </c>
      <c r="AV94" s="1621">
        <v>0.2</v>
      </c>
      <c r="AW94" s="1621">
        <v>0.2</v>
      </c>
      <c r="AX94" s="1621">
        <v>0.2</v>
      </c>
      <c r="AY94" s="1621">
        <v>0.2</v>
      </c>
      <c r="AZ94" s="1621">
        <v>0.2</v>
      </c>
      <c r="BA94" s="1621">
        <v>0.2</v>
      </c>
      <c r="BB94" s="1622">
        <v>0.2</v>
      </c>
      <c r="BC94" s="1621">
        <v>0.2</v>
      </c>
      <c r="BD94" s="1621">
        <v>0.2</v>
      </c>
      <c r="BE94" s="1623"/>
      <c r="BF94" s="1621"/>
      <c r="BG94" s="1621"/>
      <c r="BI94" s="1645" t="s">
        <v>345</v>
      </c>
      <c r="BJ94" s="1691" t="s">
        <v>339</v>
      </c>
      <c r="BK94" s="2061" t="s">
        <v>346</v>
      </c>
      <c r="BL94" s="1621">
        <v>0.2</v>
      </c>
      <c r="BM94" s="1621">
        <v>0.2</v>
      </c>
      <c r="BN94" s="1621">
        <v>0.2</v>
      </c>
      <c r="BO94" s="1621">
        <v>0.2</v>
      </c>
      <c r="BP94" s="1621">
        <v>0.2</v>
      </c>
      <c r="BQ94" s="1621">
        <v>0.2</v>
      </c>
      <c r="BR94" s="1621">
        <v>0.2</v>
      </c>
      <c r="BS94" s="1622">
        <v>0.2</v>
      </c>
      <c r="BT94" s="1621">
        <v>0.2</v>
      </c>
      <c r="BU94" s="1621">
        <v>0.2</v>
      </c>
      <c r="BV94" s="1623"/>
      <c r="BW94" s="1621"/>
      <c r="BX94" s="1621"/>
    </row>
    <row r="95" spans="2:76" ht="13.5" customHeight="1">
      <c r="B95" s="1619" t="str">
        <f t="shared" si="70"/>
        <v>2.4.5</v>
      </c>
      <c r="C95" s="1612" t="str">
        <f t="shared" si="71"/>
        <v>通信・情報設備</v>
      </c>
      <c r="D95" s="1719" t="e">
        <f t="shared" si="110"/>
        <v>#DIV/0!</v>
      </c>
      <c r="E95" s="1689" t="e">
        <f t="shared" si="110"/>
        <v>#DIV/0!</v>
      </c>
      <c r="G95" s="1689" t="e">
        <f t="shared" si="72"/>
        <v>#DIV/0!</v>
      </c>
      <c r="H95" s="1689" t="e">
        <f t="shared" si="72"/>
        <v>#DIV/0!</v>
      </c>
      <c r="I95" s="1689"/>
      <c r="J95" s="1689"/>
      <c r="K95" s="1614">
        <f>IF(スコア表示!X95=0,0,1)</f>
        <v>1</v>
      </c>
      <c r="L95" s="1614">
        <f>IF(スコア表示!AB95=0,0,1)</f>
        <v>0</v>
      </c>
      <c r="N95" s="1706" t="e">
        <f t="shared" si="111"/>
        <v>#DIV/0!</v>
      </c>
      <c r="O95" s="1706" t="e">
        <f t="shared" si="111"/>
        <v>#DIV/0!</v>
      </c>
      <c r="P95" s="1614"/>
      <c r="Q95" s="1614"/>
      <c r="R95" s="1614" t="e">
        <f>IF(スコア入力!R95="EB",重み_対象外!D95,U95)</f>
        <v>#DIV/0!</v>
      </c>
      <c r="S95" s="1614" t="e">
        <f>IF(スコア入力!Y95="EB",重み_対象外!E95,V95)</f>
        <v>#DIV/0!</v>
      </c>
      <c r="T95" s="1558"/>
      <c r="U95" s="1612" t="e">
        <f t="shared" si="112"/>
        <v>#DIV/0!</v>
      </c>
      <c r="V95" s="1612" t="e">
        <f t="shared" si="112"/>
        <v>#DIV/0!</v>
      </c>
      <c r="W95" s="1558"/>
      <c r="X95" s="1614" t="e">
        <f t="shared" si="73"/>
        <v>#DIV/0!</v>
      </c>
      <c r="Y95" s="1614" t="e">
        <f t="shared" si="74"/>
        <v>#DIV/0!</v>
      </c>
      <c r="Z95" s="1642"/>
      <c r="AA95" s="1611" t="str">
        <f t="shared" si="92"/>
        <v>2.4.5</v>
      </c>
      <c r="AB95" s="1611" t="str">
        <f t="shared" si="103"/>
        <v xml:space="preserve"> Q2 2.4</v>
      </c>
      <c r="AC95" s="1611" t="str">
        <f t="shared" si="93"/>
        <v>通信・情報設備</v>
      </c>
      <c r="AD95" s="1757">
        <f t="shared" si="94"/>
        <v>0.2</v>
      </c>
      <c r="AE95" s="1757">
        <f t="shared" si="95"/>
        <v>0.2</v>
      </c>
      <c r="AF95" s="1757">
        <f t="shared" si="96"/>
        <v>0.2</v>
      </c>
      <c r="AG95" s="1757">
        <f t="shared" si="97"/>
        <v>0.2</v>
      </c>
      <c r="AH95" s="1757">
        <f t="shared" si="98"/>
        <v>0.2</v>
      </c>
      <c r="AI95" s="1757">
        <f t="shared" si="99"/>
        <v>0.2</v>
      </c>
      <c r="AJ95" s="1757">
        <f t="shared" si="100"/>
        <v>0.2</v>
      </c>
      <c r="AK95" s="1759">
        <f t="shared" si="101"/>
        <v>0.2</v>
      </c>
      <c r="AL95" s="1757">
        <f t="shared" si="102"/>
        <v>0.2</v>
      </c>
      <c r="AM95" s="1757">
        <f t="shared" si="102"/>
        <v>0.2</v>
      </c>
      <c r="AN95" s="1758">
        <f t="shared" si="107"/>
        <v>0</v>
      </c>
      <c r="AO95" s="1757">
        <f t="shared" si="108"/>
        <v>0</v>
      </c>
      <c r="AP95" s="1757">
        <f t="shared" si="109"/>
        <v>0</v>
      </c>
      <c r="AQ95" s="1618"/>
      <c r="AR95" s="1645" t="s">
        <v>347</v>
      </c>
      <c r="AS95" s="1691" t="s">
        <v>339</v>
      </c>
      <c r="AT95" s="2061" t="s">
        <v>348</v>
      </c>
      <c r="AU95" s="1621">
        <v>0.2</v>
      </c>
      <c r="AV95" s="1621">
        <v>0.2</v>
      </c>
      <c r="AW95" s="1621">
        <v>0.2</v>
      </c>
      <c r="AX95" s="1621">
        <v>0.2</v>
      </c>
      <c r="AY95" s="1621">
        <v>0.2</v>
      </c>
      <c r="AZ95" s="1621">
        <v>0.2</v>
      </c>
      <c r="BA95" s="1621">
        <v>0.2</v>
      </c>
      <c r="BB95" s="1622">
        <v>0.2</v>
      </c>
      <c r="BC95" s="1621">
        <v>0.2</v>
      </c>
      <c r="BD95" s="1621">
        <v>0.2</v>
      </c>
      <c r="BE95" s="1623"/>
      <c r="BF95" s="1621"/>
      <c r="BG95" s="1621"/>
      <c r="BI95" s="1645" t="s">
        <v>347</v>
      </c>
      <c r="BJ95" s="1691" t="s">
        <v>339</v>
      </c>
      <c r="BK95" s="2061" t="s">
        <v>348</v>
      </c>
      <c r="BL95" s="1621">
        <v>0.2</v>
      </c>
      <c r="BM95" s="1621">
        <v>0.2</v>
      </c>
      <c r="BN95" s="1621">
        <v>0.2</v>
      </c>
      <c r="BO95" s="1621">
        <v>0.2</v>
      </c>
      <c r="BP95" s="1621">
        <v>0.2</v>
      </c>
      <c r="BQ95" s="1621">
        <v>0.2</v>
      </c>
      <c r="BR95" s="1621">
        <v>0.2</v>
      </c>
      <c r="BS95" s="1622">
        <v>0.2</v>
      </c>
      <c r="BT95" s="1621">
        <v>0.2</v>
      </c>
      <c r="BU95" s="1621">
        <v>0.2</v>
      </c>
      <c r="BV95" s="1623"/>
      <c r="BW95" s="1621"/>
      <c r="BX95" s="1621"/>
    </row>
    <row r="96" spans="2:76" ht="13.5" hidden="1" customHeight="1">
      <c r="B96" s="1647">
        <f t="shared" si="70"/>
        <v>0</v>
      </c>
      <c r="C96" s="1648">
        <f t="shared" si="71"/>
        <v>0</v>
      </c>
      <c r="D96" s="1719"/>
      <c r="E96" s="1689"/>
      <c r="G96" s="1689">
        <f t="shared" si="72"/>
        <v>0</v>
      </c>
      <c r="H96" s="1689">
        <f t="shared" si="72"/>
        <v>0</v>
      </c>
      <c r="I96" s="1689"/>
      <c r="J96" s="1689"/>
      <c r="K96" s="1650">
        <f>IF(スコア表示!X96=0,0,1)</f>
        <v>0</v>
      </c>
      <c r="L96" s="1650">
        <f>IF(スコア表示!AB96=0,0,1)</f>
        <v>0</v>
      </c>
      <c r="N96" s="1721"/>
      <c r="O96" s="1721"/>
      <c r="P96" s="1650"/>
      <c r="Q96" s="1650"/>
      <c r="R96" s="1650">
        <f>IF(スコア入力!R96="EB",重み_対象外!D96,U96)</f>
        <v>0</v>
      </c>
      <c r="S96" s="1650">
        <f>IF(スコア入力!Y96="EB",重み_対象外!E96,V96)</f>
        <v>0</v>
      </c>
      <c r="T96" s="1558"/>
      <c r="U96" s="1648"/>
      <c r="V96" s="1648"/>
      <c r="W96" s="1558"/>
      <c r="X96" s="1650" t="e">
        <f t="shared" si="73"/>
        <v>#DIV/0!</v>
      </c>
      <c r="Y96" s="1650" t="e">
        <f t="shared" si="74"/>
        <v>#DIV/0!</v>
      </c>
      <c r="Z96" s="1642"/>
      <c r="AA96" s="1651">
        <f t="shared" si="92"/>
        <v>0</v>
      </c>
      <c r="AB96" s="1651" t="str">
        <f t="shared" si="103"/>
        <v xml:space="preserve"> Q</v>
      </c>
      <c r="AC96" s="1651">
        <f t="shared" si="93"/>
        <v>0</v>
      </c>
      <c r="AD96" s="1767">
        <f t="shared" si="94"/>
        <v>0</v>
      </c>
      <c r="AE96" s="1767">
        <f t="shared" si="95"/>
        <v>0</v>
      </c>
      <c r="AF96" s="1767">
        <f t="shared" si="96"/>
        <v>0</v>
      </c>
      <c r="AG96" s="1767">
        <f t="shared" si="97"/>
        <v>0</v>
      </c>
      <c r="AH96" s="1767">
        <f t="shared" si="98"/>
        <v>0</v>
      </c>
      <c r="AI96" s="1767">
        <f t="shared" si="99"/>
        <v>0</v>
      </c>
      <c r="AJ96" s="1767">
        <f t="shared" si="100"/>
        <v>0</v>
      </c>
      <c r="AK96" s="1768">
        <f t="shared" si="101"/>
        <v>0</v>
      </c>
      <c r="AL96" s="1767">
        <f t="shared" si="102"/>
        <v>0</v>
      </c>
      <c r="AM96" s="1767">
        <f t="shared" si="102"/>
        <v>0</v>
      </c>
      <c r="AN96" s="1769">
        <f t="shared" si="107"/>
        <v>0</v>
      </c>
      <c r="AO96" s="1767">
        <f t="shared" si="108"/>
        <v>0</v>
      </c>
      <c r="AP96" s="1767">
        <f t="shared" si="109"/>
        <v>0</v>
      </c>
      <c r="AQ96" s="1618"/>
      <c r="AR96" s="1645"/>
      <c r="AS96" s="1691" t="s">
        <v>270</v>
      </c>
      <c r="AT96" s="2061"/>
      <c r="AU96" s="1621"/>
      <c r="AV96" s="1621"/>
      <c r="AW96" s="1621"/>
      <c r="AX96" s="1621"/>
      <c r="AY96" s="1621"/>
      <c r="AZ96" s="1621"/>
      <c r="BA96" s="1621"/>
      <c r="BB96" s="1622"/>
      <c r="BC96" s="1621"/>
      <c r="BD96" s="1621"/>
      <c r="BE96" s="1623"/>
      <c r="BF96" s="1621"/>
      <c r="BG96" s="1621"/>
      <c r="BI96" s="1645"/>
      <c r="BJ96" s="1691" t="s">
        <v>270</v>
      </c>
      <c r="BK96" s="2061"/>
      <c r="BL96" s="1621"/>
      <c r="BM96" s="1621"/>
      <c r="BN96" s="1621"/>
      <c r="BO96" s="1621"/>
      <c r="BP96" s="1621"/>
      <c r="BQ96" s="1621"/>
      <c r="BR96" s="1621"/>
      <c r="BS96" s="1622"/>
      <c r="BT96" s="1621"/>
      <c r="BU96" s="1621"/>
      <c r="BV96" s="1623"/>
      <c r="BW96" s="1621"/>
      <c r="BX96" s="1621"/>
    </row>
    <row r="97" spans="1:77" s="1603" customFormat="1" ht="13.5" customHeight="1">
      <c r="A97"/>
      <c r="B97" s="1604">
        <f t="shared" si="70"/>
        <v>3</v>
      </c>
      <c r="C97" s="1655" t="str">
        <f t="shared" si="71"/>
        <v>対応性・更新性</v>
      </c>
      <c r="D97" s="2059" t="e">
        <f>IF(I$61=0,0,G97/I$61)</f>
        <v>#DIV/0!</v>
      </c>
      <c r="E97" s="1741" t="e">
        <f>IF(J$61=0,0,H97/J$61)</f>
        <v>#DIV/0!</v>
      </c>
      <c r="F97"/>
      <c r="G97" s="1741" t="e">
        <f t="shared" si="72"/>
        <v>#DIV/0!</v>
      </c>
      <c r="H97" s="1741" t="e">
        <f t="shared" si="72"/>
        <v>#DIV/0!</v>
      </c>
      <c r="I97" s="1741" t="e">
        <f>G98+G101+G102</f>
        <v>#DIV/0!</v>
      </c>
      <c r="J97" s="1741" t="e">
        <f>H98+H101+H102</f>
        <v>#DIV/0!</v>
      </c>
      <c r="K97" s="1607" t="e">
        <f>IF(スコア表示!X97=0,0,1)</f>
        <v>#DIV/0!</v>
      </c>
      <c r="L97" s="1607" t="e">
        <f>IF(スコア表示!AB97=0,0,1)</f>
        <v>#DIV/0!</v>
      </c>
      <c r="M97"/>
      <c r="N97" s="1705" t="e">
        <f>IF(P$61=0,0,R97/P$61)</f>
        <v>#DIV/0!</v>
      </c>
      <c r="O97" s="1705" t="e">
        <f>IF(Q$61=0,0,S97/Q$61)</f>
        <v>#DIV/0!</v>
      </c>
      <c r="P97" s="1708" t="e">
        <f>SUM(R98:R108)</f>
        <v>#DIV/0!</v>
      </c>
      <c r="Q97" s="1708" t="e">
        <f>SUM(S98:S108)</f>
        <v>#DIV/0!</v>
      </c>
      <c r="R97" s="1607" t="e">
        <f>IF(スコア入力!R97="EB",重み_対象外!D97,U97)</f>
        <v>#DIV/0!</v>
      </c>
      <c r="S97" s="1607" t="e">
        <f>IF(スコア入力!Y97="EB",重み_対象外!E97,V97)</f>
        <v>#DIV/0!</v>
      </c>
      <c r="T97" s="1558"/>
      <c r="U97" s="1605" t="e">
        <f>SUM(U98:U108)</f>
        <v>#DIV/0!</v>
      </c>
      <c r="V97" s="1605" t="e">
        <f>SUM(V98:V108)</f>
        <v>#DIV/0!</v>
      </c>
      <c r="W97" s="1558"/>
      <c r="X97" s="1607" t="e">
        <f t="shared" si="73"/>
        <v>#DIV/0!</v>
      </c>
      <c r="Y97" s="1607">
        <v>1</v>
      </c>
      <c r="Z97" s="1640"/>
      <c r="AA97" s="1604">
        <f t="shared" si="92"/>
        <v>3</v>
      </c>
      <c r="AB97" s="1604" t="str">
        <f t="shared" si="103"/>
        <v xml:space="preserve"> Q2</v>
      </c>
      <c r="AC97" s="1604" t="str">
        <f t="shared" si="93"/>
        <v>対応性・更新性</v>
      </c>
      <c r="AD97" s="1754">
        <f t="shared" si="94"/>
        <v>0.3</v>
      </c>
      <c r="AE97" s="1754">
        <f t="shared" si="95"/>
        <v>0.3</v>
      </c>
      <c r="AF97" s="1754">
        <f t="shared" si="96"/>
        <v>0.3</v>
      </c>
      <c r="AG97" s="1754">
        <f t="shared" si="97"/>
        <v>0.3</v>
      </c>
      <c r="AH97" s="1754">
        <f t="shared" si="98"/>
        <v>0.3</v>
      </c>
      <c r="AI97" s="1754">
        <f t="shared" si="99"/>
        <v>0.3</v>
      </c>
      <c r="AJ97" s="1754">
        <f t="shared" si="100"/>
        <v>0.3</v>
      </c>
      <c r="AK97" s="1766">
        <f t="shared" si="101"/>
        <v>0.3</v>
      </c>
      <c r="AL97" s="1754">
        <f t="shared" si="102"/>
        <v>0.3</v>
      </c>
      <c r="AM97" s="1754">
        <f t="shared" si="102"/>
        <v>0.3</v>
      </c>
      <c r="AN97" s="1756">
        <f t="shared" si="107"/>
        <v>0</v>
      </c>
      <c r="AO97" s="1754">
        <f t="shared" si="108"/>
        <v>0</v>
      </c>
      <c r="AP97" s="1754">
        <f t="shared" si="109"/>
        <v>0</v>
      </c>
      <c r="AQ97" s="1610"/>
      <c r="AR97" s="1639">
        <v>3</v>
      </c>
      <c r="AS97" s="1742" t="s">
        <v>312</v>
      </c>
      <c r="AT97" s="1785" t="s">
        <v>349</v>
      </c>
      <c r="AU97" s="1709">
        <v>0.3</v>
      </c>
      <c r="AV97" s="1709">
        <v>0.3</v>
      </c>
      <c r="AW97" s="1709">
        <v>0.3</v>
      </c>
      <c r="AX97" s="1709">
        <v>0.3</v>
      </c>
      <c r="AY97" s="1709">
        <v>0.3</v>
      </c>
      <c r="AZ97" s="1709">
        <v>0.3</v>
      </c>
      <c r="BA97" s="1709">
        <v>0.3</v>
      </c>
      <c r="BB97" s="2080">
        <v>0.3</v>
      </c>
      <c r="BC97" s="1709">
        <v>0.3</v>
      </c>
      <c r="BD97" s="1709">
        <v>0.3</v>
      </c>
      <c r="BE97" s="2060"/>
      <c r="BF97" s="1709"/>
      <c r="BG97" s="1709"/>
      <c r="BH97"/>
      <c r="BI97" s="1639">
        <v>3</v>
      </c>
      <c r="BJ97" s="1742" t="s">
        <v>312</v>
      </c>
      <c r="BK97" s="1785" t="s">
        <v>349</v>
      </c>
      <c r="BL97" s="1709">
        <v>0.3</v>
      </c>
      <c r="BM97" s="1709">
        <v>0.3</v>
      </c>
      <c r="BN97" s="1709">
        <v>0.3</v>
      </c>
      <c r="BO97" s="1709">
        <v>0.3</v>
      </c>
      <c r="BP97" s="1709">
        <v>0.3</v>
      </c>
      <c r="BQ97" s="1709">
        <v>0.3</v>
      </c>
      <c r="BR97" s="1709">
        <v>0.3</v>
      </c>
      <c r="BS97" s="2080">
        <v>0.3</v>
      </c>
      <c r="BT97" s="1709">
        <v>0.3</v>
      </c>
      <c r="BU97" s="1709">
        <v>0.3</v>
      </c>
      <c r="BV97" s="2060"/>
      <c r="BW97" s="1709"/>
      <c r="BX97" s="1709"/>
      <c r="BY97"/>
    </row>
    <row r="98" spans="1:77" ht="13.5" customHeight="1">
      <c r="B98" s="1611">
        <f t="shared" si="70"/>
        <v>3.1</v>
      </c>
      <c r="C98" s="1645" t="str">
        <f t="shared" si="71"/>
        <v>空間のゆとり</v>
      </c>
      <c r="D98" s="1714" t="e">
        <f>IF(I$97=0,0,G98/I$97)</f>
        <v>#DIV/0!</v>
      </c>
      <c r="E98" s="1689" t="e">
        <f>IF(J$97=0,0,H98/J$97)</f>
        <v>#DIV/0!</v>
      </c>
      <c r="G98" s="1689" t="e">
        <f t="shared" si="72"/>
        <v>#DIV/0!</v>
      </c>
      <c r="H98" s="1689" t="e">
        <f t="shared" si="72"/>
        <v>#DIV/0!</v>
      </c>
      <c r="I98" s="1689" t="e">
        <f>SUM(G99:G100)</f>
        <v>#DIV/0!</v>
      </c>
      <c r="J98" s="1689" t="e">
        <f>SUM(H99:H100)</f>
        <v>#DIV/0!</v>
      </c>
      <c r="K98" s="1614" t="e">
        <f>IF(スコア表示!X98=0,0,1)</f>
        <v>#DIV/0!</v>
      </c>
      <c r="L98" s="1614" t="e">
        <f>IF(スコア表示!AB98=0,0,1)</f>
        <v>#DIV/0!</v>
      </c>
      <c r="N98" s="1711" t="e">
        <f>IF(P$97=0,0,P98/P$97)</f>
        <v>#DIV/0!</v>
      </c>
      <c r="O98" s="1711" t="e">
        <f>IF(Q$97=0,0,Q98/Q$97)</f>
        <v>#DIV/0!</v>
      </c>
      <c r="P98" s="1614" t="e">
        <f>SUM(R99:R100)</f>
        <v>#DIV/0!</v>
      </c>
      <c r="Q98" s="1614" t="e">
        <f>SUM(S99:S100)</f>
        <v>#DIV/0!</v>
      </c>
      <c r="R98" s="1614">
        <f>IF(スコア入力!R98="EB",重み_対象外!D98,U98)</f>
        <v>0</v>
      </c>
      <c r="S98" s="1614">
        <f>IF(スコア入力!Y98="EB",重み_対象外!E98,V98)</f>
        <v>0</v>
      </c>
      <c r="T98" s="1558"/>
      <c r="U98" s="1605"/>
      <c r="V98" s="1605"/>
      <c r="W98" s="1558"/>
      <c r="X98" s="1614" t="e">
        <f t="shared" si="73"/>
        <v>#DIV/0!</v>
      </c>
      <c r="Y98" s="1614" t="e">
        <f t="shared" si="74"/>
        <v>#DIV/0!</v>
      </c>
      <c r="Z98" s="1642"/>
      <c r="AA98" s="1611">
        <f t="shared" si="92"/>
        <v>3.1</v>
      </c>
      <c r="AB98" s="1611" t="str">
        <f t="shared" si="103"/>
        <v xml:space="preserve"> Q2 3</v>
      </c>
      <c r="AC98" s="1611" t="str">
        <f t="shared" si="93"/>
        <v>空間のゆとり</v>
      </c>
      <c r="AD98" s="1757">
        <f t="shared" si="94"/>
        <v>0.3</v>
      </c>
      <c r="AE98" s="1757">
        <f t="shared" si="95"/>
        <v>0.3</v>
      </c>
      <c r="AF98" s="1757">
        <f t="shared" si="96"/>
        <v>0.3</v>
      </c>
      <c r="AG98" s="1757">
        <f t="shared" si="97"/>
        <v>0.3</v>
      </c>
      <c r="AH98" s="1757">
        <f t="shared" si="98"/>
        <v>0.3</v>
      </c>
      <c r="AI98" s="1757">
        <f t="shared" si="99"/>
        <v>0</v>
      </c>
      <c r="AJ98" s="1757">
        <f t="shared" si="100"/>
        <v>0</v>
      </c>
      <c r="AK98" s="1759">
        <f t="shared" si="101"/>
        <v>0.3</v>
      </c>
      <c r="AL98" s="1757">
        <f t="shared" si="102"/>
        <v>0.3</v>
      </c>
      <c r="AM98" s="1757">
        <f t="shared" si="102"/>
        <v>0.3</v>
      </c>
      <c r="AN98" s="1758">
        <f t="shared" si="107"/>
        <v>0.5</v>
      </c>
      <c r="AO98" s="1757">
        <f t="shared" si="108"/>
        <v>0.5</v>
      </c>
      <c r="AP98" s="1757">
        <f t="shared" si="109"/>
        <v>0.5</v>
      </c>
      <c r="AQ98" s="1618"/>
      <c r="AR98" s="1645">
        <v>3.1</v>
      </c>
      <c r="AS98" s="1691" t="s">
        <v>350</v>
      </c>
      <c r="AT98" s="1735" t="s">
        <v>720</v>
      </c>
      <c r="AU98" s="1621">
        <v>0.3</v>
      </c>
      <c r="AV98" s="1621">
        <v>0.3</v>
      </c>
      <c r="AW98" s="1621">
        <v>0.3</v>
      </c>
      <c r="AX98" s="1621">
        <v>0.3</v>
      </c>
      <c r="AY98" s="1621">
        <v>0.3</v>
      </c>
      <c r="AZ98" s="1621"/>
      <c r="BA98" s="1621"/>
      <c r="BB98" s="1622">
        <v>0.3</v>
      </c>
      <c r="BC98" s="1621">
        <v>0.3</v>
      </c>
      <c r="BD98" s="1621">
        <v>0.3</v>
      </c>
      <c r="BE98" s="1623">
        <v>0.5</v>
      </c>
      <c r="BF98" s="1621">
        <v>0.5</v>
      </c>
      <c r="BG98" s="1621">
        <v>0.5</v>
      </c>
      <c r="BI98" s="1645">
        <v>3.1</v>
      </c>
      <c r="BJ98" s="1691" t="s">
        <v>350</v>
      </c>
      <c r="BK98" s="1735" t="s">
        <v>720</v>
      </c>
      <c r="BL98" s="1621">
        <v>0.3</v>
      </c>
      <c r="BM98" s="1621">
        <v>0.3</v>
      </c>
      <c r="BN98" s="1621">
        <v>0.3</v>
      </c>
      <c r="BO98" s="1621">
        <v>0.3</v>
      </c>
      <c r="BP98" s="1621">
        <v>0.3</v>
      </c>
      <c r="BQ98" s="1621"/>
      <c r="BR98" s="1621"/>
      <c r="BS98" s="1622">
        <v>0.3</v>
      </c>
      <c r="BT98" s="1621">
        <v>0.3</v>
      </c>
      <c r="BU98" s="1621">
        <v>0.3</v>
      </c>
      <c r="BV98" s="1623">
        <v>0.5</v>
      </c>
      <c r="BW98" s="1621">
        <v>0.5</v>
      </c>
      <c r="BX98" s="1621">
        <v>0.5</v>
      </c>
    </row>
    <row r="99" spans="1:77" ht="13.5" customHeight="1">
      <c r="B99" s="1619" t="str">
        <f t="shared" si="70"/>
        <v>3.1.1</v>
      </c>
      <c r="C99" s="1612" t="str">
        <f t="shared" si="71"/>
        <v>階高のゆとり</v>
      </c>
      <c r="D99" s="1719" t="e">
        <f>IF(I$98&gt;0,G99/I$98,0)</f>
        <v>#DIV/0!</v>
      </c>
      <c r="E99" s="1689" t="e">
        <f>IF(J$98&gt;0,H99/J$98,0)</f>
        <v>#DIV/0!</v>
      </c>
      <c r="G99" s="1689" t="e">
        <f t="shared" si="72"/>
        <v>#DIV/0!</v>
      </c>
      <c r="H99" s="1689" t="e">
        <f t="shared" si="72"/>
        <v>#DIV/0!</v>
      </c>
      <c r="I99" s="1689"/>
      <c r="J99" s="1689"/>
      <c r="K99" s="1614">
        <f>IF(スコア表示!X99=0,0,1)</f>
        <v>1</v>
      </c>
      <c r="L99" s="1614">
        <f>IF(スコア表示!AB99=0,0,1)</f>
        <v>1</v>
      </c>
      <c r="N99" s="1706" t="e">
        <f>IF(P$98&gt;0,R99/P$98,0)</f>
        <v>#DIV/0!</v>
      </c>
      <c r="O99" s="1706" t="e">
        <f>IF(Q$98&gt;0,S99/Q$98,0)</f>
        <v>#DIV/0!</v>
      </c>
      <c r="P99" s="1614"/>
      <c r="Q99" s="1614"/>
      <c r="R99" s="1614" t="e">
        <f>IF(スコア入力!R99="EB",重み_対象外!D99,U99)</f>
        <v>#DIV/0!</v>
      </c>
      <c r="S99" s="1614" t="e">
        <f>IF(スコア入力!Y99="EB",重み_対象外!E99,V99)</f>
        <v>#DIV/0!</v>
      </c>
      <c r="T99" s="1558"/>
      <c r="U99" s="1612" t="e">
        <f>X$97*X$98*X99</f>
        <v>#DIV/0!</v>
      </c>
      <c r="V99" s="1612" t="e">
        <f>Y$97*Y$98*Y99</f>
        <v>#DIV/0!</v>
      </c>
      <c r="W99" s="1558"/>
      <c r="X99" s="1614" t="e">
        <f t="shared" si="73"/>
        <v>#DIV/0!</v>
      </c>
      <c r="Y99" s="1614" t="e">
        <f t="shared" si="74"/>
        <v>#DIV/0!</v>
      </c>
      <c r="Z99" s="1642"/>
      <c r="AA99" s="1611" t="str">
        <f t="shared" si="92"/>
        <v>3.1.1</v>
      </c>
      <c r="AB99" s="1611" t="str">
        <f t="shared" si="103"/>
        <v xml:space="preserve"> Q2 3.1</v>
      </c>
      <c r="AC99" s="1611" t="str">
        <f t="shared" si="93"/>
        <v>階高のゆとり</v>
      </c>
      <c r="AD99" s="1757">
        <f t="shared" si="94"/>
        <v>0.6</v>
      </c>
      <c r="AE99" s="1757">
        <f t="shared" si="95"/>
        <v>0.6</v>
      </c>
      <c r="AF99" s="1757">
        <f t="shared" si="96"/>
        <v>0.6</v>
      </c>
      <c r="AG99" s="1757">
        <f t="shared" si="97"/>
        <v>0.6</v>
      </c>
      <c r="AH99" s="1757">
        <f t="shared" si="98"/>
        <v>0.6</v>
      </c>
      <c r="AI99" s="1757">
        <f t="shared" si="99"/>
        <v>0</v>
      </c>
      <c r="AJ99" s="1757">
        <f t="shared" si="100"/>
        <v>0</v>
      </c>
      <c r="AK99" s="1759">
        <f t="shared" si="101"/>
        <v>0</v>
      </c>
      <c r="AL99" s="1757">
        <f t="shared" si="102"/>
        <v>0.6</v>
      </c>
      <c r="AM99" s="1757">
        <f t="shared" si="102"/>
        <v>0.6</v>
      </c>
      <c r="AN99" s="1758">
        <f t="shared" si="107"/>
        <v>0.6</v>
      </c>
      <c r="AO99" s="1757">
        <f t="shared" si="108"/>
        <v>0.6</v>
      </c>
      <c r="AP99" s="1757">
        <f t="shared" si="109"/>
        <v>0.6</v>
      </c>
      <c r="AQ99" s="1618"/>
      <c r="AR99" s="1645" t="s">
        <v>1473</v>
      </c>
      <c r="AS99" s="1691" t="s">
        <v>351</v>
      </c>
      <c r="AT99" s="2061" t="s">
        <v>352</v>
      </c>
      <c r="AU99" s="1621">
        <v>0.6</v>
      </c>
      <c r="AV99" s="1621">
        <v>0.6</v>
      </c>
      <c r="AW99" s="1621">
        <v>0.6</v>
      </c>
      <c r="AX99" s="1621">
        <v>0.6</v>
      </c>
      <c r="AY99" s="1621">
        <v>0.6</v>
      </c>
      <c r="AZ99" s="1621"/>
      <c r="BA99" s="1621"/>
      <c r="BB99" s="1622">
        <v>0</v>
      </c>
      <c r="BC99" s="1621">
        <v>0.6</v>
      </c>
      <c r="BD99" s="1621">
        <v>0.6</v>
      </c>
      <c r="BE99" s="1623">
        <v>0.6</v>
      </c>
      <c r="BF99" s="1621">
        <v>0.6</v>
      </c>
      <c r="BG99" s="1621">
        <v>0.6</v>
      </c>
      <c r="BI99" s="1645" t="s">
        <v>1473</v>
      </c>
      <c r="BJ99" s="1691" t="s">
        <v>351</v>
      </c>
      <c r="BK99" s="2061" t="s">
        <v>352</v>
      </c>
      <c r="BL99" s="1621">
        <v>0.6</v>
      </c>
      <c r="BM99" s="1621">
        <v>0.6</v>
      </c>
      <c r="BN99" s="1621">
        <v>0.6</v>
      </c>
      <c r="BO99" s="1621">
        <v>0.6</v>
      </c>
      <c r="BP99" s="1621">
        <v>0.6</v>
      </c>
      <c r="BQ99" s="1621"/>
      <c r="BR99" s="1621"/>
      <c r="BS99" s="1622">
        <v>0</v>
      </c>
      <c r="BT99" s="1621">
        <v>0.6</v>
      </c>
      <c r="BU99" s="1621">
        <v>0.6</v>
      </c>
      <c r="BV99" s="1623">
        <v>0.6</v>
      </c>
      <c r="BW99" s="1621">
        <v>0.6</v>
      </c>
      <c r="BX99" s="1621">
        <v>0.6</v>
      </c>
    </row>
    <row r="100" spans="1:77" ht="13.5" customHeight="1">
      <c r="B100" s="1619" t="str">
        <f t="shared" si="70"/>
        <v>3.1.2</v>
      </c>
      <c r="C100" s="1612" t="str">
        <f t="shared" si="71"/>
        <v>空間の形状・自由さ</v>
      </c>
      <c r="D100" s="1719" t="e">
        <f>IF(I$98&gt;0,G100/I$98,0)</f>
        <v>#DIV/0!</v>
      </c>
      <c r="E100" s="1689" t="e">
        <f>IF(J$98&gt;0,H100/J$98,0)</f>
        <v>#DIV/0!</v>
      </c>
      <c r="G100" s="1689" t="e">
        <f t="shared" si="72"/>
        <v>#DIV/0!</v>
      </c>
      <c r="H100" s="1689" t="e">
        <f t="shared" si="72"/>
        <v>#DIV/0!</v>
      </c>
      <c r="I100" s="1689"/>
      <c r="J100" s="1689"/>
      <c r="K100" s="1614">
        <f>IF(スコア表示!X100=0,0,1)</f>
        <v>1</v>
      </c>
      <c r="L100" s="1614">
        <f>IF(スコア表示!AB100=0,0,1)</f>
        <v>1</v>
      </c>
      <c r="N100" s="1706" t="e">
        <f>IF(P$98&gt;0,R100/P$98,0)</f>
        <v>#DIV/0!</v>
      </c>
      <c r="O100" s="1706" t="e">
        <f>IF(Q$98&gt;0,S100/Q$98,0)</f>
        <v>#DIV/0!</v>
      </c>
      <c r="P100" s="1614"/>
      <c r="Q100" s="1614"/>
      <c r="R100" s="1614" t="e">
        <f>IF(スコア入力!R100="EB",重み_対象外!D100,U100)</f>
        <v>#DIV/0!</v>
      </c>
      <c r="S100" s="1614" t="e">
        <f>IF(スコア入力!Y100="EB",重み_対象外!E100,V100)</f>
        <v>#DIV/0!</v>
      </c>
      <c r="T100" s="1558"/>
      <c r="U100" s="1612" t="e">
        <f>X$97*X$98*X100</f>
        <v>#DIV/0!</v>
      </c>
      <c r="V100" s="1612" t="e">
        <f>Y$97*Y$98*Y100</f>
        <v>#DIV/0!</v>
      </c>
      <c r="W100" s="1558"/>
      <c r="X100" s="1614" t="e">
        <f t="shared" si="73"/>
        <v>#DIV/0!</v>
      </c>
      <c r="Y100" s="1614" t="e">
        <f t="shared" si="74"/>
        <v>#DIV/0!</v>
      </c>
      <c r="Z100" s="1642"/>
      <c r="AA100" s="1611" t="str">
        <f t="shared" si="92"/>
        <v>3.1.2</v>
      </c>
      <c r="AB100" s="1611" t="str">
        <f t="shared" si="103"/>
        <v xml:space="preserve"> Q2 3.1</v>
      </c>
      <c r="AC100" s="1611" t="str">
        <f t="shared" si="93"/>
        <v>空間の形状・自由さ</v>
      </c>
      <c r="AD100" s="1757">
        <f t="shared" si="94"/>
        <v>0.4</v>
      </c>
      <c r="AE100" s="1757">
        <f t="shared" si="95"/>
        <v>0.4</v>
      </c>
      <c r="AF100" s="1757">
        <f t="shared" si="96"/>
        <v>0.4</v>
      </c>
      <c r="AG100" s="1757">
        <f t="shared" si="97"/>
        <v>0.4</v>
      </c>
      <c r="AH100" s="1757">
        <f t="shared" si="98"/>
        <v>0.4</v>
      </c>
      <c r="AI100" s="1757">
        <f t="shared" si="99"/>
        <v>0</v>
      </c>
      <c r="AJ100" s="1757">
        <f t="shared" si="100"/>
        <v>0</v>
      </c>
      <c r="AK100" s="1759">
        <f t="shared" si="101"/>
        <v>1</v>
      </c>
      <c r="AL100" s="1757">
        <f t="shared" si="102"/>
        <v>0.4</v>
      </c>
      <c r="AM100" s="1757">
        <f t="shared" si="102"/>
        <v>0.4</v>
      </c>
      <c r="AN100" s="1758">
        <f t="shared" si="107"/>
        <v>0.4</v>
      </c>
      <c r="AO100" s="1757">
        <f t="shared" si="108"/>
        <v>0.4</v>
      </c>
      <c r="AP100" s="1757">
        <f t="shared" si="109"/>
        <v>0.4</v>
      </c>
      <c r="AQ100" s="1618"/>
      <c r="AR100" s="1645" t="s">
        <v>1474</v>
      </c>
      <c r="AS100" s="1691" t="s">
        <v>351</v>
      </c>
      <c r="AT100" s="2061" t="s">
        <v>353</v>
      </c>
      <c r="AU100" s="1621">
        <v>0.4</v>
      </c>
      <c r="AV100" s="1621">
        <v>0.4</v>
      </c>
      <c r="AW100" s="1621">
        <v>0.4</v>
      </c>
      <c r="AX100" s="1621">
        <v>0.4</v>
      </c>
      <c r="AY100" s="1621">
        <v>0.4</v>
      </c>
      <c r="AZ100" s="1621"/>
      <c r="BA100" s="1621"/>
      <c r="BB100" s="1622">
        <v>1</v>
      </c>
      <c r="BC100" s="1621">
        <v>0.4</v>
      </c>
      <c r="BD100" s="1621">
        <v>0.4</v>
      </c>
      <c r="BE100" s="1623">
        <v>0.4</v>
      </c>
      <c r="BF100" s="1621">
        <v>0.4</v>
      </c>
      <c r="BG100" s="1621">
        <v>0.4</v>
      </c>
      <c r="BI100" s="1645" t="s">
        <v>1474</v>
      </c>
      <c r="BJ100" s="1691" t="s">
        <v>351</v>
      </c>
      <c r="BK100" s="2061" t="s">
        <v>353</v>
      </c>
      <c r="BL100" s="1621">
        <v>0.4</v>
      </c>
      <c r="BM100" s="1621">
        <v>0.4</v>
      </c>
      <c r="BN100" s="1621">
        <v>0.4</v>
      </c>
      <c r="BO100" s="1621">
        <v>0.4</v>
      </c>
      <c r="BP100" s="1621">
        <v>0.4</v>
      </c>
      <c r="BQ100" s="1621"/>
      <c r="BR100" s="1621"/>
      <c r="BS100" s="1622">
        <v>1</v>
      </c>
      <c r="BT100" s="1621">
        <v>0.4</v>
      </c>
      <c r="BU100" s="1621">
        <v>0.4</v>
      </c>
      <c r="BV100" s="1623">
        <v>0.4</v>
      </c>
      <c r="BW100" s="1621">
        <v>0.4</v>
      </c>
      <c r="BX100" s="1621">
        <v>0.4</v>
      </c>
    </row>
    <row r="101" spans="1:77" ht="13.5" customHeight="1">
      <c r="B101" s="1611">
        <f t="shared" si="70"/>
        <v>3.2</v>
      </c>
      <c r="C101" s="1645" t="str">
        <f t="shared" si="71"/>
        <v>荷重のゆとり</v>
      </c>
      <c r="D101" s="1714" t="e">
        <f>IF(I$97=0,0,G101/I$97)</f>
        <v>#DIV/0!</v>
      </c>
      <c r="E101" s="1689" t="e">
        <f>IF(J$97=0,0,H101/J$97)</f>
        <v>#DIV/0!</v>
      </c>
      <c r="G101" s="1689" t="e">
        <f t="shared" si="72"/>
        <v>#DIV/0!</v>
      </c>
      <c r="H101" s="1689" t="e">
        <f t="shared" si="72"/>
        <v>#DIV/0!</v>
      </c>
      <c r="I101" s="1689"/>
      <c r="J101" s="1689"/>
      <c r="K101" s="1614">
        <f>IF(スコア表示!X101=0,0,1)</f>
        <v>1</v>
      </c>
      <c r="L101" s="1614">
        <f>IF(スコア表示!AB101=0,0,1)</f>
        <v>1</v>
      </c>
      <c r="N101" s="1711" t="e">
        <f>IF(P$97=0,0,R101/P$97)</f>
        <v>#DIV/0!</v>
      </c>
      <c r="O101" s="1711" t="e">
        <f>IF(Q$97=0,0,S101/Q$97)</f>
        <v>#DIV/0!</v>
      </c>
      <c r="P101" s="1722"/>
      <c r="Q101" s="1722"/>
      <c r="R101" s="1614" t="e">
        <f>IF(スコア入力!R101="EB",重み_対象外!D101,U101)</f>
        <v>#DIV/0!</v>
      </c>
      <c r="S101" s="1614" t="e">
        <f>IF(スコア入力!Y101="EB",重み_対象外!E101,V101)</f>
        <v>#DIV/0!</v>
      </c>
      <c r="T101" s="1558"/>
      <c r="U101" s="1612" t="e">
        <f>X$97*X101</f>
        <v>#DIV/0!</v>
      </c>
      <c r="V101" s="1612" t="e">
        <f>Y$97*Y101</f>
        <v>#DIV/0!</v>
      </c>
      <c r="W101" s="1558"/>
      <c r="X101" s="1614" t="e">
        <f t="shared" si="73"/>
        <v>#DIV/0!</v>
      </c>
      <c r="Y101" s="1614" t="e">
        <f t="shared" si="74"/>
        <v>#DIV/0!</v>
      </c>
      <c r="Z101" s="1642"/>
      <c r="AA101" s="1611">
        <f t="shared" si="92"/>
        <v>3.2</v>
      </c>
      <c r="AB101" s="1611" t="str">
        <f t="shared" si="103"/>
        <v xml:space="preserve"> Q2 3</v>
      </c>
      <c r="AC101" s="1611" t="str">
        <f t="shared" si="93"/>
        <v>荷重のゆとり</v>
      </c>
      <c r="AD101" s="1757">
        <f t="shared" si="94"/>
        <v>0.3</v>
      </c>
      <c r="AE101" s="1757">
        <f t="shared" si="95"/>
        <v>0.3</v>
      </c>
      <c r="AF101" s="1757">
        <f t="shared" si="96"/>
        <v>0.3</v>
      </c>
      <c r="AG101" s="1757">
        <f t="shared" si="97"/>
        <v>0.3</v>
      </c>
      <c r="AH101" s="1757">
        <f t="shared" si="98"/>
        <v>0.3</v>
      </c>
      <c r="AI101" s="1757">
        <f t="shared" si="99"/>
        <v>0</v>
      </c>
      <c r="AJ101" s="1757">
        <f t="shared" si="100"/>
        <v>0</v>
      </c>
      <c r="AK101" s="1759">
        <f t="shared" si="101"/>
        <v>0.3</v>
      </c>
      <c r="AL101" s="1757">
        <f t="shared" si="102"/>
        <v>0.3</v>
      </c>
      <c r="AM101" s="1757">
        <f t="shared" si="102"/>
        <v>0.3</v>
      </c>
      <c r="AN101" s="1758">
        <f t="shared" si="107"/>
        <v>0.5</v>
      </c>
      <c r="AO101" s="1757">
        <f t="shared" si="108"/>
        <v>0.5</v>
      </c>
      <c r="AP101" s="1757">
        <f t="shared" si="109"/>
        <v>0.5</v>
      </c>
      <c r="AQ101" s="1618"/>
      <c r="AR101" s="1645">
        <v>3.2</v>
      </c>
      <c r="AS101" s="1691" t="s">
        <v>350</v>
      </c>
      <c r="AT101" s="1735" t="s">
        <v>724</v>
      </c>
      <c r="AU101" s="1621">
        <v>0.3</v>
      </c>
      <c r="AV101" s="1621">
        <v>0.3</v>
      </c>
      <c r="AW101" s="1621">
        <v>0.3</v>
      </c>
      <c r="AX101" s="1621">
        <v>0.3</v>
      </c>
      <c r="AY101" s="1621">
        <v>0.3</v>
      </c>
      <c r="AZ101" s="1621"/>
      <c r="BA101" s="1621"/>
      <c r="BB101" s="1622">
        <v>0.3</v>
      </c>
      <c r="BC101" s="1621">
        <v>0.3</v>
      </c>
      <c r="BD101" s="1621">
        <v>0.3</v>
      </c>
      <c r="BE101" s="1623">
        <v>0.5</v>
      </c>
      <c r="BF101" s="1621">
        <v>0.5</v>
      </c>
      <c r="BG101" s="1621">
        <v>0.5</v>
      </c>
      <c r="BI101" s="1645">
        <v>3.2</v>
      </c>
      <c r="BJ101" s="1691" t="s">
        <v>350</v>
      </c>
      <c r="BK101" s="1735" t="s">
        <v>724</v>
      </c>
      <c r="BL101" s="1621">
        <v>0.3</v>
      </c>
      <c r="BM101" s="1621">
        <v>0.3</v>
      </c>
      <c r="BN101" s="1621">
        <v>0.3</v>
      </c>
      <c r="BO101" s="1621">
        <v>0.3</v>
      </c>
      <c r="BP101" s="1621">
        <v>0.3</v>
      </c>
      <c r="BQ101" s="1621"/>
      <c r="BR101" s="1621"/>
      <c r="BS101" s="1622">
        <v>0.3</v>
      </c>
      <c r="BT101" s="1621">
        <v>0.3</v>
      </c>
      <c r="BU101" s="1621">
        <v>0.3</v>
      </c>
      <c r="BV101" s="1623">
        <v>0.5</v>
      </c>
      <c r="BW101" s="1621">
        <v>0.5</v>
      </c>
      <c r="BX101" s="1621">
        <v>0.5</v>
      </c>
    </row>
    <row r="102" spans="1:77" ht="13.5" customHeight="1">
      <c r="B102" s="1611">
        <f t="shared" si="70"/>
        <v>3.3</v>
      </c>
      <c r="C102" s="1645" t="str">
        <f t="shared" si="71"/>
        <v>設備の更新性</v>
      </c>
      <c r="D102" s="1714" t="e">
        <f>IF(I$97=0,0,G102/I$97)</f>
        <v>#DIV/0!</v>
      </c>
      <c r="E102" s="1689" t="e">
        <f>IF(J$97=0,0,H102/J$97)</f>
        <v>#DIV/0!</v>
      </c>
      <c r="G102" s="1689" t="e">
        <f t="shared" si="72"/>
        <v>#DIV/0!</v>
      </c>
      <c r="H102" s="1689" t="e">
        <f t="shared" si="72"/>
        <v>#DIV/0!</v>
      </c>
      <c r="I102" s="1689" t="e">
        <f>SUM(G103:G108)</f>
        <v>#DIV/0!</v>
      </c>
      <c r="J102" s="1689" t="e">
        <f>SUM(H103:H108)</f>
        <v>#DIV/0!</v>
      </c>
      <c r="K102" s="1614" t="e">
        <f>IF(スコア表示!X102=0,0,1)</f>
        <v>#DIV/0!</v>
      </c>
      <c r="L102" s="1614" t="e">
        <f>IF(スコア表示!AB102=0,0,1)</f>
        <v>#DIV/0!</v>
      </c>
      <c r="N102" s="1711" t="e">
        <f>IF(P$97=0,0,P102/P$97)</f>
        <v>#DIV/0!</v>
      </c>
      <c r="O102" s="1711" t="e">
        <f>IF(Q$97=0,0,Q102/Q$97)</f>
        <v>#DIV/0!</v>
      </c>
      <c r="P102" s="1614" t="e">
        <f>SUM(R103:R108)</f>
        <v>#DIV/0!</v>
      </c>
      <c r="Q102" s="1614" t="e">
        <f>SUM(S103:S108)</f>
        <v>#DIV/0!</v>
      </c>
      <c r="R102" s="1614">
        <f>IF(スコア入力!R102="EB",重み_対象外!D102,U102)</f>
        <v>0</v>
      </c>
      <c r="S102" s="1614">
        <f>IF(スコア入力!Y102="EB",重み_対象外!E102,V102)</f>
        <v>0</v>
      </c>
      <c r="T102" s="1558"/>
      <c r="U102" s="1628"/>
      <c r="V102" s="1628"/>
      <c r="W102" s="1558"/>
      <c r="X102" s="1614" t="e">
        <f t="shared" si="73"/>
        <v>#DIV/0!</v>
      </c>
      <c r="Y102" s="1614" t="e">
        <f t="shared" si="74"/>
        <v>#DIV/0!</v>
      </c>
      <c r="Z102" s="1642"/>
      <c r="AA102" s="1611">
        <f t="shared" si="92"/>
        <v>3.3</v>
      </c>
      <c r="AB102" s="1611" t="str">
        <f t="shared" si="103"/>
        <v xml:space="preserve"> Q2 3</v>
      </c>
      <c r="AC102" s="1611" t="str">
        <f t="shared" si="93"/>
        <v>設備の更新性</v>
      </c>
      <c r="AD102" s="1757">
        <f t="shared" si="94"/>
        <v>0.4</v>
      </c>
      <c r="AE102" s="1757">
        <f t="shared" si="95"/>
        <v>0.4</v>
      </c>
      <c r="AF102" s="1757">
        <f t="shared" si="96"/>
        <v>0.4</v>
      </c>
      <c r="AG102" s="1757">
        <f t="shared" si="97"/>
        <v>0.4</v>
      </c>
      <c r="AH102" s="1757">
        <f t="shared" si="98"/>
        <v>0.4</v>
      </c>
      <c r="AI102" s="1757">
        <f t="shared" si="99"/>
        <v>1</v>
      </c>
      <c r="AJ102" s="1757">
        <f t="shared" si="100"/>
        <v>1</v>
      </c>
      <c r="AK102" s="1759">
        <f t="shared" si="101"/>
        <v>0.4</v>
      </c>
      <c r="AL102" s="1757">
        <f t="shared" si="102"/>
        <v>0.4</v>
      </c>
      <c r="AM102" s="1757">
        <f t="shared" si="102"/>
        <v>0.4</v>
      </c>
      <c r="AN102" s="1758">
        <f t="shared" si="107"/>
        <v>0</v>
      </c>
      <c r="AO102" s="1757">
        <f t="shared" si="108"/>
        <v>0</v>
      </c>
      <c r="AP102" s="1757">
        <f t="shared" si="109"/>
        <v>0</v>
      </c>
      <c r="AQ102" s="1618"/>
      <c r="AR102" s="1645">
        <v>3.3</v>
      </c>
      <c r="AS102" s="1691" t="s">
        <v>350</v>
      </c>
      <c r="AT102" s="1735" t="s">
        <v>725</v>
      </c>
      <c r="AU102" s="1621">
        <v>0.4</v>
      </c>
      <c r="AV102" s="1621">
        <v>0.4</v>
      </c>
      <c r="AW102" s="1621">
        <v>0.4</v>
      </c>
      <c r="AX102" s="1621">
        <v>0.4</v>
      </c>
      <c r="AY102" s="1621">
        <v>0.4</v>
      </c>
      <c r="AZ102" s="1621">
        <v>1</v>
      </c>
      <c r="BA102" s="1621">
        <v>1</v>
      </c>
      <c r="BB102" s="1622">
        <v>0.4</v>
      </c>
      <c r="BC102" s="1621">
        <v>0.4</v>
      </c>
      <c r="BD102" s="1621">
        <v>0.4</v>
      </c>
      <c r="BE102" s="1623"/>
      <c r="BF102" s="1621"/>
      <c r="BG102" s="1621"/>
      <c r="BI102" s="1645">
        <v>3.3</v>
      </c>
      <c r="BJ102" s="1691" t="s">
        <v>350</v>
      </c>
      <c r="BK102" s="1735" t="s">
        <v>725</v>
      </c>
      <c r="BL102" s="1621">
        <v>0.4</v>
      </c>
      <c r="BM102" s="1621">
        <v>0.4</v>
      </c>
      <c r="BN102" s="1621">
        <v>0.4</v>
      </c>
      <c r="BO102" s="1621">
        <v>0.4</v>
      </c>
      <c r="BP102" s="1621">
        <v>0.4</v>
      </c>
      <c r="BQ102" s="1621">
        <v>1</v>
      </c>
      <c r="BR102" s="1621">
        <v>1</v>
      </c>
      <c r="BS102" s="1622">
        <v>0.4</v>
      </c>
      <c r="BT102" s="1621">
        <v>0.4</v>
      </c>
      <c r="BU102" s="1621">
        <v>0.4</v>
      </c>
      <c r="BV102" s="1623"/>
      <c r="BW102" s="1621"/>
      <c r="BX102" s="1621"/>
    </row>
    <row r="103" spans="1:77" ht="13.5" customHeight="1">
      <c r="B103" s="1619" t="str">
        <f t="shared" si="70"/>
        <v>3.3.1</v>
      </c>
      <c r="C103" s="1612" t="str">
        <f t="shared" si="71"/>
        <v>空調配管の更新性</v>
      </c>
      <c r="D103" s="1719" t="e">
        <f t="shared" ref="D103:E108" si="113">IF(I$102&gt;0,G103/I$102,0)</f>
        <v>#DIV/0!</v>
      </c>
      <c r="E103" s="1689" t="e">
        <f t="shared" si="113"/>
        <v>#DIV/0!</v>
      </c>
      <c r="G103" s="1689" t="e">
        <f t="shared" si="72"/>
        <v>#DIV/0!</v>
      </c>
      <c r="H103" s="1689" t="e">
        <f t="shared" si="72"/>
        <v>#DIV/0!</v>
      </c>
      <c r="I103" s="1689"/>
      <c r="J103" s="1689"/>
      <c r="K103" s="1614">
        <f>IF(スコア表示!X103=0,0,1)</f>
        <v>1</v>
      </c>
      <c r="L103" s="1614">
        <f>IF(スコア表示!AB103=0,0,1)</f>
        <v>0</v>
      </c>
      <c r="N103" s="1706" t="e">
        <f t="shared" ref="N103:O108" si="114">IF(P$102&gt;0,R103/P$102,0)</f>
        <v>#DIV/0!</v>
      </c>
      <c r="O103" s="1706" t="e">
        <f t="shared" si="114"/>
        <v>#DIV/0!</v>
      </c>
      <c r="P103" s="1614"/>
      <c r="Q103" s="1614"/>
      <c r="R103" s="1614" t="e">
        <f>IF(スコア入力!R103="EB",重み_対象外!D103,U103)</f>
        <v>#DIV/0!</v>
      </c>
      <c r="S103" s="1614" t="e">
        <f>IF(スコア入力!Y103="EB",重み_対象外!E103,V103)</f>
        <v>#DIV/0!</v>
      </c>
      <c r="T103" s="1558"/>
      <c r="U103" s="1612" t="e">
        <f t="shared" ref="U103:V108" si="115">X$97*X$102*X103</f>
        <v>#DIV/0!</v>
      </c>
      <c r="V103" s="1612" t="e">
        <f t="shared" si="115"/>
        <v>#DIV/0!</v>
      </c>
      <c r="W103" s="1558"/>
      <c r="X103" s="1614" t="e">
        <f t="shared" si="73"/>
        <v>#DIV/0!</v>
      </c>
      <c r="Y103" s="1614" t="e">
        <f t="shared" si="74"/>
        <v>#DIV/0!</v>
      </c>
      <c r="Z103" s="1642"/>
      <c r="AA103" s="1611" t="str">
        <f t="shared" si="92"/>
        <v>3.3.1</v>
      </c>
      <c r="AB103" s="1611" t="str">
        <f t="shared" si="103"/>
        <v xml:space="preserve"> Q2 3.3</v>
      </c>
      <c r="AC103" s="1611" t="str">
        <f t="shared" si="93"/>
        <v>空調配管の更新性</v>
      </c>
      <c r="AD103" s="1757">
        <f t="shared" si="94"/>
        <v>0.2</v>
      </c>
      <c r="AE103" s="1757">
        <f t="shared" si="95"/>
        <v>0.2</v>
      </c>
      <c r="AF103" s="1757">
        <f t="shared" si="96"/>
        <v>0.2</v>
      </c>
      <c r="AG103" s="1757">
        <f t="shared" si="97"/>
        <v>0.2</v>
      </c>
      <c r="AH103" s="1757">
        <f t="shared" si="98"/>
        <v>0.2</v>
      </c>
      <c r="AI103" s="1757">
        <f t="shared" si="99"/>
        <v>0.2</v>
      </c>
      <c r="AJ103" s="1757">
        <f t="shared" si="100"/>
        <v>0.2</v>
      </c>
      <c r="AK103" s="1759">
        <f t="shared" si="101"/>
        <v>0.2</v>
      </c>
      <c r="AL103" s="1757">
        <f t="shared" si="102"/>
        <v>0.2</v>
      </c>
      <c r="AM103" s="1757">
        <f t="shared" si="102"/>
        <v>0.2</v>
      </c>
      <c r="AN103" s="1758">
        <f t="shared" si="107"/>
        <v>0</v>
      </c>
      <c r="AO103" s="1757">
        <f t="shared" si="108"/>
        <v>0</v>
      </c>
      <c r="AP103" s="1757">
        <f t="shared" si="109"/>
        <v>0</v>
      </c>
      <c r="AQ103" s="1618"/>
      <c r="AR103" s="1645" t="s">
        <v>1475</v>
      </c>
      <c r="AS103" s="1691" t="s">
        <v>354</v>
      </c>
      <c r="AT103" s="2061" t="s">
        <v>355</v>
      </c>
      <c r="AU103" s="1621">
        <v>0.2</v>
      </c>
      <c r="AV103" s="1621">
        <v>0.2</v>
      </c>
      <c r="AW103" s="1621">
        <v>0.2</v>
      </c>
      <c r="AX103" s="1621">
        <v>0.2</v>
      </c>
      <c r="AY103" s="1621">
        <v>0.2</v>
      </c>
      <c r="AZ103" s="1621">
        <v>0.2</v>
      </c>
      <c r="BA103" s="1621">
        <v>0.2</v>
      </c>
      <c r="BB103" s="1622">
        <v>0.2</v>
      </c>
      <c r="BC103" s="1621">
        <v>0.2</v>
      </c>
      <c r="BD103" s="1621">
        <v>0.2</v>
      </c>
      <c r="BE103" s="1623"/>
      <c r="BF103" s="1621"/>
      <c r="BG103" s="1621"/>
      <c r="BI103" s="1645" t="s">
        <v>1475</v>
      </c>
      <c r="BJ103" s="1691" t="s">
        <v>354</v>
      </c>
      <c r="BK103" s="2061" t="s">
        <v>355</v>
      </c>
      <c r="BL103" s="1621">
        <v>0.2</v>
      </c>
      <c r="BM103" s="1621">
        <v>0.2</v>
      </c>
      <c r="BN103" s="1621">
        <v>0.2</v>
      </c>
      <c r="BO103" s="1621">
        <v>0.2</v>
      </c>
      <c r="BP103" s="1621">
        <v>0.2</v>
      </c>
      <c r="BQ103" s="1621">
        <v>0.2</v>
      </c>
      <c r="BR103" s="1621">
        <v>0.2</v>
      </c>
      <c r="BS103" s="1622">
        <v>0.2</v>
      </c>
      <c r="BT103" s="1621">
        <v>0.2</v>
      </c>
      <c r="BU103" s="1621">
        <v>0.2</v>
      </c>
      <c r="BV103" s="1623"/>
      <c r="BW103" s="1621"/>
      <c r="BX103" s="1621"/>
    </row>
    <row r="104" spans="1:77" ht="13.5" customHeight="1">
      <c r="B104" s="1619" t="str">
        <f t="shared" si="70"/>
        <v>3.3.2</v>
      </c>
      <c r="C104" s="1612" t="str">
        <f t="shared" si="71"/>
        <v>給排水管の更新性</v>
      </c>
      <c r="D104" s="1719" t="e">
        <f t="shared" si="113"/>
        <v>#DIV/0!</v>
      </c>
      <c r="E104" s="1689" t="e">
        <f t="shared" si="113"/>
        <v>#DIV/0!</v>
      </c>
      <c r="G104" s="1689" t="e">
        <f t="shared" si="72"/>
        <v>#DIV/0!</v>
      </c>
      <c r="H104" s="1689" t="e">
        <f t="shared" si="72"/>
        <v>#DIV/0!</v>
      </c>
      <c r="I104" s="1689"/>
      <c r="J104" s="1689"/>
      <c r="K104" s="1614">
        <f>IF(スコア表示!X104=0,0,1)</f>
        <v>1</v>
      </c>
      <c r="L104" s="1614">
        <f>IF(スコア表示!AB104=0,0,1)</f>
        <v>0</v>
      </c>
      <c r="N104" s="1706" t="e">
        <f t="shared" si="114"/>
        <v>#DIV/0!</v>
      </c>
      <c r="O104" s="1706" t="e">
        <f t="shared" si="114"/>
        <v>#DIV/0!</v>
      </c>
      <c r="P104" s="1614"/>
      <c r="Q104" s="1614"/>
      <c r="R104" s="1614" t="e">
        <f>IF(スコア入力!R104="EB",重み_対象外!D104,U104)</f>
        <v>#DIV/0!</v>
      </c>
      <c r="S104" s="1614" t="e">
        <f>IF(スコア入力!Y104="EB",重み_対象外!E104,V104)</f>
        <v>#DIV/0!</v>
      </c>
      <c r="T104" s="1558"/>
      <c r="U104" s="1612" t="e">
        <f t="shared" si="115"/>
        <v>#DIV/0!</v>
      </c>
      <c r="V104" s="1612" t="e">
        <f t="shared" si="115"/>
        <v>#DIV/0!</v>
      </c>
      <c r="W104" s="1558"/>
      <c r="X104" s="1614" t="e">
        <f t="shared" si="73"/>
        <v>#DIV/0!</v>
      </c>
      <c r="Y104" s="1614" t="e">
        <f t="shared" si="74"/>
        <v>#DIV/0!</v>
      </c>
      <c r="Z104" s="1642"/>
      <c r="AA104" s="1611" t="str">
        <f t="shared" si="92"/>
        <v>3.3.2</v>
      </c>
      <c r="AB104" s="1611" t="str">
        <f t="shared" si="103"/>
        <v xml:space="preserve"> Q2 3.3</v>
      </c>
      <c r="AC104" s="1611" t="str">
        <f t="shared" si="93"/>
        <v>給排水管の更新性</v>
      </c>
      <c r="AD104" s="1757">
        <f t="shared" si="94"/>
        <v>0.2</v>
      </c>
      <c r="AE104" s="1757">
        <f t="shared" si="95"/>
        <v>0.2</v>
      </c>
      <c r="AF104" s="1757">
        <f t="shared" si="96"/>
        <v>0.2</v>
      </c>
      <c r="AG104" s="1757">
        <f t="shared" si="97"/>
        <v>0.2</v>
      </c>
      <c r="AH104" s="1757">
        <f t="shared" si="98"/>
        <v>0.2</v>
      </c>
      <c r="AI104" s="1757">
        <f t="shared" si="99"/>
        <v>0.2</v>
      </c>
      <c r="AJ104" s="1757">
        <f t="shared" si="100"/>
        <v>0.2</v>
      </c>
      <c r="AK104" s="1759">
        <f t="shared" si="101"/>
        <v>0.2</v>
      </c>
      <c r="AL104" s="1757">
        <f t="shared" si="102"/>
        <v>0.2</v>
      </c>
      <c r="AM104" s="1757">
        <f t="shared" si="102"/>
        <v>0.2</v>
      </c>
      <c r="AN104" s="1758">
        <f t="shared" si="107"/>
        <v>0</v>
      </c>
      <c r="AO104" s="1757">
        <f t="shared" si="108"/>
        <v>0</v>
      </c>
      <c r="AP104" s="1757">
        <f t="shared" si="109"/>
        <v>0</v>
      </c>
      <c r="AQ104" s="1618"/>
      <c r="AR104" s="1645" t="s">
        <v>1477</v>
      </c>
      <c r="AS104" s="1691" t="s">
        <v>354</v>
      </c>
      <c r="AT104" s="2061" t="s">
        <v>356</v>
      </c>
      <c r="AU104" s="1621">
        <v>0.2</v>
      </c>
      <c r="AV104" s="1621">
        <v>0.2</v>
      </c>
      <c r="AW104" s="1621">
        <v>0.2</v>
      </c>
      <c r="AX104" s="1621">
        <v>0.2</v>
      </c>
      <c r="AY104" s="1621">
        <v>0.2</v>
      </c>
      <c r="AZ104" s="1621">
        <v>0.2</v>
      </c>
      <c r="BA104" s="1621">
        <v>0.2</v>
      </c>
      <c r="BB104" s="1622">
        <v>0.2</v>
      </c>
      <c r="BC104" s="1621">
        <v>0.2</v>
      </c>
      <c r="BD104" s="1621">
        <v>0.2</v>
      </c>
      <c r="BE104" s="1623"/>
      <c r="BF104" s="1621"/>
      <c r="BG104" s="1621"/>
      <c r="BI104" s="1645" t="s">
        <v>1477</v>
      </c>
      <c r="BJ104" s="1691" t="s">
        <v>354</v>
      </c>
      <c r="BK104" s="2061" t="s">
        <v>356</v>
      </c>
      <c r="BL104" s="1621">
        <v>0.2</v>
      </c>
      <c r="BM104" s="1621">
        <v>0.2</v>
      </c>
      <c r="BN104" s="1621">
        <v>0.2</v>
      </c>
      <c r="BO104" s="1621">
        <v>0.2</v>
      </c>
      <c r="BP104" s="1621">
        <v>0.2</v>
      </c>
      <c r="BQ104" s="1621">
        <v>0.2</v>
      </c>
      <c r="BR104" s="1621">
        <v>0.2</v>
      </c>
      <c r="BS104" s="1622">
        <v>0.2</v>
      </c>
      <c r="BT104" s="1621">
        <v>0.2</v>
      </c>
      <c r="BU104" s="1621">
        <v>0.2</v>
      </c>
      <c r="BV104" s="1623"/>
      <c r="BW104" s="1621"/>
      <c r="BX104" s="1621"/>
    </row>
    <row r="105" spans="1:77" ht="13.5" customHeight="1">
      <c r="B105" s="1619" t="str">
        <f t="shared" ref="B105:B140" si="116">AA105</f>
        <v>3.3.3</v>
      </c>
      <c r="C105" s="1612" t="str">
        <f t="shared" ref="C105:C140" si="117">AC105</f>
        <v>電気配線の更新性</v>
      </c>
      <c r="D105" s="1719" t="e">
        <f t="shared" si="113"/>
        <v>#DIV/0!</v>
      </c>
      <c r="E105" s="1689" t="e">
        <f t="shared" si="113"/>
        <v>#DIV/0!</v>
      </c>
      <c r="G105" s="1689" t="e">
        <f t="shared" ref="G105:H140" si="118">K105*N105</f>
        <v>#DIV/0!</v>
      </c>
      <c r="H105" s="1689" t="e">
        <f t="shared" si="118"/>
        <v>#DIV/0!</v>
      </c>
      <c r="I105" s="1689"/>
      <c r="J105" s="1689"/>
      <c r="K105" s="1614">
        <f>IF(スコア表示!X105=0,0,1)</f>
        <v>1</v>
      </c>
      <c r="L105" s="1614">
        <f>IF(スコア表示!AB105=0,0,1)</f>
        <v>0</v>
      </c>
      <c r="N105" s="1706" t="e">
        <f t="shared" si="114"/>
        <v>#DIV/0!</v>
      </c>
      <c r="O105" s="1706" t="e">
        <f t="shared" si="114"/>
        <v>#DIV/0!</v>
      </c>
      <c r="P105" s="1614"/>
      <c r="Q105" s="1614"/>
      <c r="R105" s="1614" t="e">
        <f>IF(スコア入力!R105="EB",重み_対象外!D105,U105)</f>
        <v>#DIV/0!</v>
      </c>
      <c r="S105" s="1614" t="e">
        <f>IF(スコア入力!Y105="EB",重み_対象外!E105,V105)</f>
        <v>#DIV/0!</v>
      </c>
      <c r="T105" s="1558"/>
      <c r="U105" s="1612" t="e">
        <f t="shared" si="115"/>
        <v>#DIV/0!</v>
      </c>
      <c r="V105" s="1612" t="e">
        <f t="shared" si="115"/>
        <v>#DIV/0!</v>
      </c>
      <c r="W105" s="1558"/>
      <c r="X105" s="1614" t="e">
        <f t="shared" si="73"/>
        <v>#DIV/0!</v>
      </c>
      <c r="Y105" s="1614" t="e">
        <f t="shared" si="74"/>
        <v>#DIV/0!</v>
      </c>
      <c r="Z105" s="1642"/>
      <c r="AA105" s="1611" t="str">
        <f t="shared" si="92"/>
        <v>3.3.3</v>
      </c>
      <c r="AB105" s="1611" t="str">
        <f t="shared" si="103"/>
        <v xml:space="preserve"> Q2 3.3</v>
      </c>
      <c r="AC105" s="1611" t="str">
        <f t="shared" si="93"/>
        <v>電気配線の更新性</v>
      </c>
      <c r="AD105" s="1757">
        <f t="shared" si="94"/>
        <v>0.1</v>
      </c>
      <c r="AE105" s="1757">
        <f t="shared" si="95"/>
        <v>0.1</v>
      </c>
      <c r="AF105" s="1757">
        <f t="shared" si="96"/>
        <v>0.1</v>
      </c>
      <c r="AG105" s="1757">
        <f t="shared" si="97"/>
        <v>0.1</v>
      </c>
      <c r="AH105" s="1757">
        <f t="shared" si="98"/>
        <v>0.1</v>
      </c>
      <c r="AI105" s="1757">
        <f t="shared" si="99"/>
        <v>0.1</v>
      </c>
      <c r="AJ105" s="1757">
        <f t="shared" si="100"/>
        <v>0.1</v>
      </c>
      <c r="AK105" s="1759">
        <f t="shared" si="101"/>
        <v>0.1</v>
      </c>
      <c r="AL105" s="1757">
        <f t="shared" si="102"/>
        <v>0.1</v>
      </c>
      <c r="AM105" s="1757">
        <f t="shared" si="102"/>
        <v>0.1</v>
      </c>
      <c r="AN105" s="1758">
        <f t="shared" si="107"/>
        <v>0</v>
      </c>
      <c r="AO105" s="1757">
        <f t="shared" si="108"/>
        <v>0</v>
      </c>
      <c r="AP105" s="1757">
        <f t="shared" si="109"/>
        <v>0</v>
      </c>
      <c r="AQ105" s="1618"/>
      <c r="AR105" s="1645" t="s">
        <v>1479</v>
      </c>
      <c r="AS105" s="1691" t="s">
        <v>354</v>
      </c>
      <c r="AT105" s="2061" t="s">
        <v>357</v>
      </c>
      <c r="AU105" s="1621">
        <v>0.1</v>
      </c>
      <c r="AV105" s="1621">
        <v>0.1</v>
      </c>
      <c r="AW105" s="1621">
        <v>0.1</v>
      </c>
      <c r="AX105" s="1621">
        <v>0.1</v>
      </c>
      <c r="AY105" s="1621">
        <v>0.1</v>
      </c>
      <c r="AZ105" s="1621">
        <v>0.1</v>
      </c>
      <c r="BA105" s="1621">
        <v>0.1</v>
      </c>
      <c r="BB105" s="1622">
        <v>0.1</v>
      </c>
      <c r="BC105" s="1621">
        <v>0.1</v>
      </c>
      <c r="BD105" s="1621">
        <v>0.1</v>
      </c>
      <c r="BE105" s="1623"/>
      <c r="BF105" s="1621"/>
      <c r="BG105" s="1621"/>
      <c r="BI105" s="1645" t="s">
        <v>1479</v>
      </c>
      <c r="BJ105" s="1691" t="s">
        <v>354</v>
      </c>
      <c r="BK105" s="2061" t="s">
        <v>357</v>
      </c>
      <c r="BL105" s="1621">
        <v>0.1</v>
      </c>
      <c r="BM105" s="1621">
        <v>0.1</v>
      </c>
      <c r="BN105" s="1621">
        <v>0.1</v>
      </c>
      <c r="BO105" s="1621">
        <v>0.1</v>
      </c>
      <c r="BP105" s="1621">
        <v>0.1</v>
      </c>
      <c r="BQ105" s="1621">
        <v>0.1</v>
      </c>
      <c r="BR105" s="1621">
        <v>0.1</v>
      </c>
      <c r="BS105" s="1622">
        <v>0.1</v>
      </c>
      <c r="BT105" s="1621">
        <v>0.1</v>
      </c>
      <c r="BU105" s="1621">
        <v>0.1</v>
      </c>
      <c r="BV105" s="1623"/>
      <c r="BW105" s="1621"/>
      <c r="BX105" s="1621"/>
    </row>
    <row r="106" spans="1:77" ht="13.5" customHeight="1">
      <c r="B106" s="1619" t="str">
        <f t="shared" si="116"/>
        <v>3.3.4</v>
      </c>
      <c r="C106" s="1612" t="str">
        <f t="shared" si="117"/>
        <v>通信配線の更新性</v>
      </c>
      <c r="D106" s="1719" t="e">
        <f t="shared" si="113"/>
        <v>#DIV/0!</v>
      </c>
      <c r="E106" s="1689" t="e">
        <f t="shared" si="113"/>
        <v>#DIV/0!</v>
      </c>
      <c r="G106" s="1689" t="e">
        <f t="shared" si="118"/>
        <v>#DIV/0!</v>
      </c>
      <c r="H106" s="1689" t="e">
        <f t="shared" si="118"/>
        <v>#DIV/0!</v>
      </c>
      <c r="I106" s="1689"/>
      <c r="J106" s="1689"/>
      <c r="K106" s="1614">
        <f>IF(スコア表示!X106=0,0,1)</f>
        <v>1</v>
      </c>
      <c r="L106" s="1614">
        <f>IF(スコア表示!AB106=0,0,1)</f>
        <v>0</v>
      </c>
      <c r="N106" s="1706" t="e">
        <f t="shared" si="114"/>
        <v>#DIV/0!</v>
      </c>
      <c r="O106" s="1706" t="e">
        <f t="shared" si="114"/>
        <v>#DIV/0!</v>
      </c>
      <c r="P106" s="1614"/>
      <c r="Q106" s="1614"/>
      <c r="R106" s="1614" t="e">
        <f>IF(スコア入力!R106="EB",重み_対象外!D106,U106)</f>
        <v>#DIV/0!</v>
      </c>
      <c r="S106" s="1614" t="e">
        <f>IF(スコア入力!Y106="EB",重み_対象外!E106,V106)</f>
        <v>#DIV/0!</v>
      </c>
      <c r="T106" s="1558"/>
      <c r="U106" s="1612" t="e">
        <f t="shared" si="115"/>
        <v>#DIV/0!</v>
      </c>
      <c r="V106" s="1612" t="e">
        <f t="shared" si="115"/>
        <v>#DIV/0!</v>
      </c>
      <c r="W106" s="1558"/>
      <c r="X106" s="1614" t="e">
        <f t="shared" si="73"/>
        <v>#DIV/0!</v>
      </c>
      <c r="Y106" s="1614" t="e">
        <f t="shared" si="74"/>
        <v>#DIV/0!</v>
      </c>
      <c r="Z106" s="1642"/>
      <c r="AA106" s="1611" t="str">
        <f t="shared" si="92"/>
        <v>3.3.4</v>
      </c>
      <c r="AB106" s="1611" t="str">
        <f t="shared" si="103"/>
        <v xml:space="preserve"> Q2 3.3</v>
      </c>
      <c r="AC106" s="1611" t="str">
        <f t="shared" si="93"/>
        <v>通信配線の更新性</v>
      </c>
      <c r="AD106" s="1757">
        <f t="shared" si="94"/>
        <v>0.1</v>
      </c>
      <c r="AE106" s="1757">
        <f t="shared" si="95"/>
        <v>0.1</v>
      </c>
      <c r="AF106" s="1757">
        <f t="shared" si="96"/>
        <v>0.1</v>
      </c>
      <c r="AG106" s="1757">
        <f t="shared" si="97"/>
        <v>0.1</v>
      </c>
      <c r="AH106" s="1757">
        <f t="shared" si="98"/>
        <v>0.1</v>
      </c>
      <c r="AI106" s="1757">
        <f t="shared" si="99"/>
        <v>0.1</v>
      </c>
      <c r="AJ106" s="1757">
        <f t="shared" si="100"/>
        <v>0.1</v>
      </c>
      <c r="AK106" s="1759">
        <f t="shared" si="101"/>
        <v>0.1</v>
      </c>
      <c r="AL106" s="1757">
        <f t="shared" si="102"/>
        <v>0.1</v>
      </c>
      <c r="AM106" s="1757">
        <f t="shared" si="102"/>
        <v>0.1</v>
      </c>
      <c r="AN106" s="1758">
        <f t="shared" si="107"/>
        <v>0</v>
      </c>
      <c r="AO106" s="1757">
        <f t="shared" si="108"/>
        <v>0</v>
      </c>
      <c r="AP106" s="1757">
        <f t="shared" si="109"/>
        <v>0</v>
      </c>
      <c r="AQ106" s="1618"/>
      <c r="AR106" s="1645" t="s">
        <v>1480</v>
      </c>
      <c r="AS106" s="1691" t="s">
        <v>354</v>
      </c>
      <c r="AT106" s="2061" t="s">
        <v>358</v>
      </c>
      <c r="AU106" s="1621">
        <v>0.1</v>
      </c>
      <c r="AV106" s="1621">
        <v>0.1</v>
      </c>
      <c r="AW106" s="1621">
        <v>0.1</v>
      </c>
      <c r="AX106" s="1621">
        <v>0.1</v>
      </c>
      <c r="AY106" s="1621">
        <v>0.1</v>
      </c>
      <c r="AZ106" s="1621">
        <v>0.1</v>
      </c>
      <c r="BA106" s="1621">
        <v>0.1</v>
      </c>
      <c r="BB106" s="1622">
        <v>0.1</v>
      </c>
      <c r="BC106" s="1621">
        <v>0.1</v>
      </c>
      <c r="BD106" s="1621">
        <v>0.1</v>
      </c>
      <c r="BE106" s="1623"/>
      <c r="BF106" s="1621"/>
      <c r="BG106" s="1621"/>
      <c r="BI106" s="1645" t="s">
        <v>1480</v>
      </c>
      <c r="BJ106" s="1691" t="s">
        <v>354</v>
      </c>
      <c r="BK106" s="2061" t="s">
        <v>358</v>
      </c>
      <c r="BL106" s="1621">
        <v>0.1</v>
      </c>
      <c r="BM106" s="1621">
        <v>0.1</v>
      </c>
      <c r="BN106" s="1621">
        <v>0.1</v>
      </c>
      <c r="BO106" s="1621">
        <v>0.1</v>
      </c>
      <c r="BP106" s="1621">
        <v>0.1</v>
      </c>
      <c r="BQ106" s="1621">
        <v>0.1</v>
      </c>
      <c r="BR106" s="1621">
        <v>0.1</v>
      </c>
      <c r="BS106" s="1622">
        <v>0.1</v>
      </c>
      <c r="BT106" s="1621">
        <v>0.1</v>
      </c>
      <c r="BU106" s="1621">
        <v>0.1</v>
      </c>
      <c r="BV106" s="1623"/>
      <c r="BW106" s="1621"/>
      <c r="BX106" s="1621"/>
    </row>
    <row r="107" spans="1:77" ht="13.5" customHeight="1">
      <c r="B107" s="1619" t="str">
        <f t="shared" si="116"/>
        <v>3.3.5</v>
      </c>
      <c r="C107" s="1612" t="str">
        <f t="shared" si="117"/>
        <v>設備機器の更新性</v>
      </c>
      <c r="D107" s="1719" t="e">
        <f t="shared" si="113"/>
        <v>#DIV/0!</v>
      </c>
      <c r="E107" s="1689" t="e">
        <f t="shared" si="113"/>
        <v>#DIV/0!</v>
      </c>
      <c r="G107" s="1689" t="e">
        <f t="shared" si="118"/>
        <v>#DIV/0!</v>
      </c>
      <c r="H107" s="1689" t="e">
        <f t="shared" si="118"/>
        <v>#DIV/0!</v>
      </c>
      <c r="I107" s="1689"/>
      <c r="J107" s="1689"/>
      <c r="K107" s="1614">
        <f>IF(スコア表示!X107=0,0,1)</f>
        <v>1</v>
      </c>
      <c r="L107" s="1614">
        <f>IF(スコア表示!AB107=0,0,1)</f>
        <v>0</v>
      </c>
      <c r="N107" s="1706" t="e">
        <f t="shared" si="114"/>
        <v>#DIV/0!</v>
      </c>
      <c r="O107" s="1706" t="e">
        <f t="shared" si="114"/>
        <v>#DIV/0!</v>
      </c>
      <c r="P107" s="1614"/>
      <c r="Q107" s="1614"/>
      <c r="R107" s="1614" t="e">
        <f>IF(スコア入力!R107="EB",重み_対象外!D107,U107)</f>
        <v>#DIV/0!</v>
      </c>
      <c r="S107" s="1614" t="e">
        <f>IF(スコア入力!Y107="EB",重み_対象外!E107,V107)</f>
        <v>#DIV/0!</v>
      </c>
      <c r="T107" s="1558"/>
      <c r="U107" s="1612" t="e">
        <f t="shared" si="115"/>
        <v>#DIV/0!</v>
      </c>
      <c r="V107" s="1612" t="e">
        <f t="shared" si="115"/>
        <v>#DIV/0!</v>
      </c>
      <c r="W107" s="1558"/>
      <c r="X107" s="1614" t="e">
        <f t="shared" si="73"/>
        <v>#DIV/0!</v>
      </c>
      <c r="Y107" s="1614" t="e">
        <f t="shared" si="74"/>
        <v>#DIV/0!</v>
      </c>
      <c r="Z107" s="1642"/>
      <c r="AA107" s="1611" t="str">
        <f t="shared" si="92"/>
        <v>3.3.5</v>
      </c>
      <c r="AB107" s="1611" t="str">
        <f t="shared" si="103"/>
        <v xml:space="preserve"> Q2 3.3</v>
      </c>
      <c r="AC107" s="1611" t="str">
        <f t="shared" si="93"/>
        <v>設備機器の更新性</v>
      </c>
      <c r="AD107" s="1757">
        <f t="shared" si="94"/>
        <v>0.2</v>
      </c>
      <c r="AE107" s="1757">
        <f t="shared" si="95"/>
        <v>0.2</v>
      </c>
      <c r="AF107" s="1757">
        <f t="shared" si="96"/>
        <v>0.2</v>
      </c>
      <c r="AG107" s="1757">
        <f t="shared" si="97"/>
        <v>0.2</v>
      </c>
      <c r="AH107" s="1757">
        <f t="shared" si="98"/>
        <v>0.2</v>
      </c>
      <c r="AI107" s="1757">
        <f t="shared" si="99"/>
        <v>0.2</v>
      </c>
      <c r="AJ107" s="1757">
        <f t="shared" si="100"/>
        <v>0.2</v>
      </c>
      <c r="AK107" s="1759">
        <f t="shared" si="101"/>
        <v>0.2</v>
      </c>
      <c r="AL107" s="1757">
        <f t="shared" si="102"/>
        <v>0.2</v>
      </c>
      <c r="AM107" s="1757">
        <f t="shared" si="102"/>
        <v>0.2</v>
      </c>
      <c r="AN107" s="1758">
        <f t="shared" si="107"/>
        <v>0</v>
      </c>
      <c r="AO107" s="1757">
        <f t="shared" si="108"/>
        <v>0</v>
      </c>
      <c r="AP107" s="1757">
        <f t="shared" si="109"/>
        <v>0</v>
      </c>
      <c r="AQ107" s="1618"/>
      <c r="AR107" s="1645" t="s">
        <v>1482</v>
      </c>
      <c r="AS107" s="1691" t="s">
        <v>354</v>
      </c>
      <c r="AT107" s="2061" t="s">
        <v>359</v>
      </c>
      <c r="AU107" s="1621">
        <v>0.2</v>
      </c>
      <c r="AV107" s="1621">
        <v>0.2</v>
      </c>
      <c r="AW107" s="1621">
        <v>0.2</v>
      </c>
      <c r="AX107" s="1621">
        <v>0.2</v>
      </c>
      <c r="AY107" s="1621">
        <v>0.2</v>
      </c>
      <c r="AZ107" s="1621">
        <v>0.2</v>
      </c>
      <c r="BA107" s="1621">
        <v>0.2</v>
      </c>
      <c r="BB107" s="1622">
        <v>0.2</v>
      </c>
      <c r="BC107" s="1621">
        <v>0.2</v>
      </c>
      <c r="BD107" s="1621">
        <v>0.2</v>
      </c>
      <c r="BE107" s="1623"/>
      <c r="BF107" s="1621"/>
      <c r="BG107" s="1621"/>
      <c r="BI107" s="1645" t="s">
        <v>1482</v>
      </c>
      <c r="BJ107" s="1691" t="s">
        <v>354</v>
      </c>
      <c r="BK107" s="2061" t="s">
        <v>359</v>
      </c>
      <c r="BL107" s="1621">
        <v>0.2</v>
      </c>
      <c r="BM107" s="1621">
        <v>0.2</v>
      </c>
      <c r="BN107" s="1621">
        <v>0.2</v>
      </c>
      <c r="BO107" s="1621">
        <v>0.2</v>
      </c>
      <c r="BP107" s="1621">
        <v>0.2</v>
      </c>
      <c r="BQ107" s="1621">
        <v>0.2</v>
      </c>
      <c r="BR107" s="1621">
        <v>0.2</v>
      </c>
      <c r="BS107" s="1622">
        <v>0.2</v>
      </c>
      <c r="BT107" s="1621">
        <v>0.2</v>
      </c>
      <c r="BU107" s="1621">
        <v>0.2</v>
      </c>
      <c r="BV107" s="1623"/>
      <c r="BW107" s="1621"/>
      <c r="BX107" s="1621"/>
    </row>
    <row r="108" spans="1:77" ht="13.5" customHeight="1">
      <c r="B108" s="1619" t="str">
        <f t="shared" si="116"/>
        <v>3.3.6</v>
      </c>
      <c r="C108" s="1612" t="str">
        <f t="shared" si="117"/>
        <v>バックアップスペースの確保</v>
      </c>
      <c r="D108" s="1719" t="e">
        <f t="shared" si="113"/>
        <v>#DIV/0!</v>
      </c>
      <c r="E108" s="1689" t="e">
        <f t="shared" si="113"/>
        <v>#DIV/0!</v>
      </c>
      <c r="G108" s="1689" t="e">
        <f t="shared" si="118"/>
        <v>#DIV/0!</v>
      </c>
      <c r="H108" s="1689" t="e">
        <f t="shared" si="118"/>
        <v>#DIV/0!</v>
      </c>
      <c r="I108" s="1689"/>
      <c r="J108" s="1689"/>
      <c r="K108" s="1614">
        <f>IF(スコア表示!X108=0,0,1)</f>
        <v>1</v>
      </c>
      <c r="L108" s="1614">
        <f>IF(スコア表示!AB108=0,0,1)</f>
        <v>0</v>
      </c>
      <c r="N108" s="1706" t="e">
        <f t="shared" si="114"/>
        <v>#DIV/0!</v>
      </c>
      <c r="O108" s="1706" t="e">
        <f t="shared" si="114"/>
        <v>#DIV/0!</v>
      </c>
      <c r="P108" s="1614"/>
      <c r="Q108" s="1614"/>
      <c r="R108" s="1614" t="e">
        <f>IF(スコア入力!R108="EB",重み_対象外!D108,U108)</f>
        <v>#DIV/0!</v>
      </c>
      <c r="S108" s="1614" t="e">
        <f>IF(スコア入力!Y108="EB",重み_対象外!E108,V108)</f>
        <v>#DIV/0!</v>
      </c>
      <c r="T108" s="1558"/>
      <c r="U108" s="1612" t="e">
        <f t="shared" si="115"/>
        <v>#DIV/0!</v>
      </c>
      <c r="V108" s="1612" t="e">
        <f t="shared" si="115"/>
        <v>#DIV/0!</v>
      </c>
      <c r="W108" s="1558"/>
      <c r="X108" s="1614" t="e">
        <f t="shared" si="73"/>
        <v>#DIV/0!</v>
      </c>
      <c r="Y108" s="1614" t="e">
        <f t="shared" si="74"/>
        <v>#DIV/0!</v>
      </c>
      <c r="Z108" s="1642"/>
      <c r="AA108" s="1611" t="str">
        <f t="shared" si="92"/>
        <v>3.3.6</v>
      </c>
      <c r="AB108" s="1611" t="str">
        <f t="shared" si="103"/>
        <v xml:space="preserve"> Q2 3.3</v>
      </c>
      <c r="AC108" s="1611" t="str">
        <f t="shared" si="93"/>
        <v>バックアップスペースの確保</v>
      </c>
      <c r="AD108" s="1757">
        <f t="shared" si="94"/>
        <v>0.2</v>
      </c>
      <c r="AE108" s="1757">
        <f t="shared" si="95"/>
        <v>0.2</v>
      </c>
      <c r="AF108" s="1757">
        <f t="shared" si="96"/>
        <v>0.2</v>
      </c>
      <c r="AG108" s="1757">
        <f t="shared" si="97"/>
        <v>0.2</v>
      </c>
      <c r="AH108" s="1757">
        <f t="shared" si="98"/>
        <v>0.2</v>
      </c>
      <c r="AI108" s="1757">
        <f t="shared" si="99"/>
        <v>0.2</v>
      </c>
      <c r="AJ108" s="1757">
        <f t="shared" si="100"/>
        <v>0.2</v>
      </c>
      <c r="AK108" s="1759">
        <f t="shared" si="101"/>
        <v>0.2</v>
      </c>
      <c r="AL108" s="1757">
        <f t="shared" si="102"/>
        <v>0.2</v>
      </c>
      <c r="AM108" s="1757">
        <f t="shared" si="102"/>
        <v>0.2</v>
      </c>
      <c r="AN108" s="1758">
        <f t="shared" si="107"/>
        <v>0</v>
      </c>
      <c r="AO108" s="1757">
        <f t="shared" si="108"/>
        <v>0</v>
      </c>
      <c r="AP108" s="1757">
        <f t="shared" si="109"/>
        <v>0</v>
      </c>
      <c r="AQ108" s="1618"/>
      <c r="AR108" s="1645" t="s">
        <v>1483</v>
      </c>
      <c r="AS108" s="1691" t="s">
        <v>354</v>
      </c>
      <c r="AT108" s="2061" t="s">
        <v>733</v>
      </c>
      <c r="AU108" s="1621">
        <v>0.2</v>
      </c>
      <c r="AV108" s="1621">
        <v>0.2</v>
      </c>
      <c r="AW108" s="1621">
        <v>0.2</v>
      </c>
      <c r="AX108" s="1621">
        <v>0.2</v>
      </c>
      <c r="AY108" s="1621">
        <v>0.2</v>
      </c>
      <c r="AZ108" s="1621">
        <v>0.2</v>
      </c>
      <c r="BA108" s="1621">
        <v>0.2</v>
      </c>
      <c r="BB108" s="1622">
        <v>0.2</v>
      </c>
      <c r="BC108" s="1621">
        <v>0.2</v>
      </c>
      <c r="BD108" s="1621">
        <v>0.2</v>
      </c>
      <c r="BE108" s="1623"/>
      <c r="BF108" s="1621"/>
      <c r="BG108" s="1621"/>
      <c r="BI108" s="1645" t="s">
        <v>1483</v>
      </c>
      <c r="BJ108" s="1691" t="s">
        <v>354</v>
      </c>
      <c r="BK108" s="2061" t="s">
        <v>733</v>
      </c>
      <c r="BL108" s="1621">
        <v>0.2</v>
      </c>
      <c r="BM108" s="1621">
        <v>0.2</v>
      </c>
      <c r="BN108" s="1621">
        <v>0.2</v>
      </c>
      <c r="BO108" s="1621">
        <v>0.2</v>
      </c>
      <c r="BP108" s="1621">
        <v>0.2</v>
      </c>
      <c r="BQ108" s="1621">
        <v>0.2</v>
      </c>
      <c r="BR108" s="1621">
        <v>0.2</v>
      </c>
      <c r="BS108" s="1622">
        <v>0.2</v>
      </c>
      <c r="BT108" s="1621">
        <v>0.2</v>
      </c>
      <c r="BU108" s="1621">
        <v>0.2</v>
      </c>
      <c r="BV108" s="1623"/>
      <c r="BW108" s="1621"/>
      <c r="BX108" s="1621"/>
    </row>
    <row r="109" spans="1:77" s="1603" customFormat="1" ht="13.5" customHeight="1">
      <c r="A109"/>
      <c r="B109" s="1595" t="str">
        <f t="shared" si="116"/>
        <v>Q3</v>
      </c>
      <c r="C109" s="1595" t="str">
        <f t="shared" si="117"/>
        <v>室外環境（敷地内）</v>
      </c>
      <c r="D109" s="2053" t="e">
        <f>IF(I$8=0,0,G109/I$8)</f>
        <v>#DIV/0!</v>
      </c>
      <c r="E109" s="2054" t="e">
        <f>IF(J$8=0,0,H109/J$8)</f>
        <v>#DIV/0!</v>
      </c>
      <c r="F109"/>
      <c r="G109" s="2054" t="e">
        <f t="shared" si="118"/>
        <v>#DIV/0!</v>
      </c>
      <c r="H109" s="2054" t="e">
        <f t="shared" si="118"/>
        <v>#DIV/0!</v>
      </c>
      <c r="I109" s="2054" t="e">
        <f>G110+G111+G112</f>
        <v>#DIV/0!</v>
      </c>
      <c r="J109" s="2054" t="e">
        <f>H110+H111+H112</f>
        <v>#DIV/0!</v>
      </c>
      <c r="K109" s="1598" t="e">
        <f>IF(スコア表示!X109=0,0,1)</f>
        <v>#DIV/0!</v>
      </c>
      <c r="L109" s="1598">
        <f>IF(スコア表示!AB109=0,0,1)</f>
        <v>0</v>
      </c>
      <c r="M109"/>
      <c r="N109" s="1704" t="e">
        <f>IF(P$8=0,0,R109/P$8)</f>
        <v>#DIV/0!</v>
      </c>
      <c r="O109" s="1704" t="e">
        <f>IF(Q$8=0,0,S109/Q$8)</f>
        <v>#DIV/0!</v>
      </c>
      <c r="P109" s="1598" t="e">
        <f>R110+R111+R112</f>
        <v>#DIV/0!</v>
      </c>
      <c r="Q109" s="1598" t="e">
        <f>S110+S111+S112</f>
        <v>#DIV/0!</v>
      </c>
      <c r="R109" s="1598" t="e">
        <f>IF(スコア入力!R109="EB",重み_対象外!D109,U109)</f>
        <v>#DIV/0!</v>
      </c>
      <c r="S109" s="1598" t="e">
        <f>IF(スコア入力!Y109="EB",重み_対象外!E109,V109)</f>
        <v>#DIV/0!</v>
      </c>
      <c r="T109" s="1558"/>
      <c r="U109" s="1751" t="e">
        <f t="shared" ref="U109:V111" si="119">X109</f>
        <v>#DIV/0!</v>
      </c>
      <c r="V109" s="1751" t="e">
        <f t="shared" si="119"/>
        <v>#DIV/0!</v>
      </c>
      <c r="W109" s="1558"/>
      <c r="X109" s="1598" t="e">
        <f t="shared" si="73"/>
        <v>#DIV/0!</v>
      </c>
      <c r="Y109" s="1598" t="e">
        <f>(AN$7*AN109)+(AO$7*AO109)+(AP$7*AP109)</f>
        <v>#DIV/0!</v>
      </c>
      <c r="Z109" s="1638"/>
      <c r="AA109" s="1600" t="str">
        <f t="shared" si="92"/>
        <v>Q3</v>
      </c>
      <c r="AB109" s="1600" t="str">
        <f t="shared" si="103"/>
        <v xml:space="preserve"> Q</v>
      </c>
      <c r="AC109" s="1600" t="str">
        <f t="shared" si="93"/>
        <v>室外環境（敷地内）</v>
      </c>
      <c r="AD109" s="1752">
        <f t="shared" si="94"/>
        <v>0.3</v>
      </c>
      <c r="AE109" s="1752">
        <f t="shared" si="95"/>
        <v>0.3</v>
      </c>
      <c r="AF109" s="1752">
        <f t="shared" si="96"/>
        <v>0.3</v>
      </c>
      <c r="AG109" s="1752">
        <f t="shared" si="97"/>
        <v>0.3</v>
      </c>
      <c r="AH109" s="1752">
        <f t="shared" si="98"/>
        <v>0.3</v>
      </c>
      <c r="AI109" s="1752">
        <f t="shared" si="99"/>
        <v>0.3</v>
      </c>
      <c r="AJ109" s="1752">
        <f t="shared" si="100"/>
        <v>0.3</v>
      </c>
      <c r="AK109" s="1752">
        <f t="shared" si="101"/>
        <v>0.3</v>
      </c>
      <c r="AL109" s="1752">
        <f t="shared" si="102"/>
        <v>0.4</v>
      </c>
      <c r="AM109" s="1752">
        <f t="shared" si="102"/>
        <v>0.3</v>
      </c>
      <c r="AN109" s="1753">
        <f t="shared" si="107"/>
        <v>0</v>
      </c>
      <c r="AO109" s="1752">
        <f t="shared" si="108"/>
        <v>0</v>
      </c>
      <c r="AP109" s="1752">
        <f t="shared" si="109"/>
        <v>0</v>
      </c>
      <c r="AQ109" s="1602"/>
      <c r="AR109" s="1595" t="s">
        <v>1485</v>
      </c>
      <c r="AS109" s="2056" t="s">
        <v>270</v>
      </c>
      <c r="AT109" s="2055" t="s">
        <v>1487</v>
      </c>
      <c r="AU109" s="2057">
        <v>0.3</v>
      </c>
      <c r="AV109" s="2057">
        <v>0.3</v>
      </c>
      <c r="AW109" s="2057">
        <v>0.3</v>
      </c>
      <c r="AX109" s="2057">
        <v>0.3</v>
      </c>
      <c r="AY109" s="2057">
        <v>0.3</v>
      </c>
      <c r="AZ109" s="2057">
        <v>0.3</v>
      </c>
      <c r="BA109" s="2057">
        <v>0.3</v>
      </c>
      <c r="BB109" s="2057">
        <v>0.3</v>
      </c>
      <c r="BC109" s="2057">
        <v>0.4</v>
      </c>
      <c r="BD109" s="2057">
        <v>0.3</v>
      </c>
      <c r="BE109" s="2058"/>
      <c r="BF109" s="2057"/>
      <c r="BG109" s="2057"/>
      <c r="BH109"/>
      <c r="BI109" s="1595" t="s">
        <v>1485</v>
      </c>
      <c r="BJ109" s="2056" t="s">
        <v>270</v>
      </c>
      <c r="BK109" s="2055" t="s">
        <v>1487</v>
      </c>
      <c r="BL109" s="2057">
        <v>0.3</v>
      </c>
      <c r="BM109" s="2057">
        <v>0.3</v>
      </c>
      <c r="BN109" s="2057">
        <v>0.3</v>
      </c>
      <c r="BO109" s="2057">
        <v>0.3</v>
      </c>
      <c r="BP109" s="2057">
        <v>0.3</v>
      </c>
      <c r="BQ109" s="2057">
        <v>0.3</v>
      </c>
      <c r="BR109" s="2057">
        <v>0.3</v>
      </c>
      <c r="BS109" s="2057">
        <v>0.3</v>
      </c>
      <c r="BT109" s="2057">
        <v>0.4</v>
      </c>
      <c r="BU109" s="2057">
        <v>0.3</v>
      </c>
      <c r="BV109" s="2058"/>
      <c r="BW109" s="2057"/>
      <c r="BX109" s="2057"/>
      <c r="BY109"/>
    </row>
    <row r="110" spans="1:77" s="1603" customFormat="1" ht="13.5" customHeight="1">
      <c r="A110"/>
      <c r="B110" s="1625">
        <f t="shared" si="116"/>
        <v>1</v>
      </c>
      <c r="C110" s="1626" t="str">
        <f t="shared" si="117"/>
        <v>生物資源の保全と創出</v>
      </c>
      <c r="D110" s="2059" t="e">
        <f t="shared" ref="D110:E112" si="120">IF(I$109=0,0,G110/I$109)</f>
        <v>#DIV/0!</v>
      </c>
      <c r="E110" s="1741" t="e">
        <f t="shared" si="120"/>
        <v>#DIV/0!</v>
      </c>
      <c r="F110"/>
      <c r="G110" s="1741" t="e">
        <f t="shared" si="118"/>
        <v>#DIV/0!</v>
      </c>
      <c r="H110" s="1741" t="e">
        <f t="shared" si="118"/>
        <v>#DIV/0!</v>
      </c>
      <c r="I110" s="1741"/>
      <c r="J110" s="1741"/>
      <c r="K110" s="1607">
        <f>IF(スコア表示!X110=0,0,1)</f>
        <v>1</v>
      </c>
      <c r="L110" s="1607">
        <f>IF(スコア表示!AB110=0,0,1)</f>
        <v>0</v>
      </c>
      <c r="M110"/>
      <c r="N110" s="1705" t="e">
        <f t="shared" ref="N110:O112" si="121">IF(P$109=0,0,P110/P$109)</f>
        <v>#DIV/0!</v>
      </c>
      <c r="O110" s="1705" t="e">
        <f t="shared" si="121"/>
        <v>#DIV/0!</v>
      </c>
      <c r="P110" s="1708" t="e">
        <f>R110</f>
        <v>#DIV/0!</v>
      </c>
      <c r="Q110" s="1708" t="e">
        <f>S110</f>
        <v>#DIV/0!</v>
      </c>
      <c r="R110" s="1607" t="e">
        <f>IF(スコア入力!R110="EB",重み_対象外!D110,U110)</f>
        <v>#DIV/0!</v>
      </c>
      <c r="S110" s="1607" t="e">
        <f>IF(スコア入力!Y110="EB",重み_対象外!E110,V110)</f>
        <v>#DIV/0!</v>
      </c>
      <c r="T110" s="1558"/>
      <c r="U110" s="1708" t="e">
        <f t="shared" si="119"/>
        <v>#DIV/0!</v>
      </c>
      <c r="V110" s="1708" t="e">
        <f t="shared" si="119"/>
        <v>#DIV/0!</v>
      </c>
      <c r="W110" s="1558"/>
      <c r="X110" s="1607" t="e">
        <f t="shared" si="73"/>
        <v>#DIV/0!</v>
      </c>
      <c r="Y110" s="1607" t="e">
        <f t="shared" si="74"/>
        <v>#DIV/0!</v>
      </c>
      <c r="Z110" s="1640"/>
      <c r="AA110" s="1604">
        <f t="shared" si="92"/>
        <v>1</v>
      </c>
      <c r="AB110" s="1604" t="str">
        <f t="shared" si="103"/>
        <v xml:space="preserve"> Q3</v>
      </c>
      <c r="AC110" s="1604" t="str">
        <f t="shared" si="93"/>
        <v>生物資源の保全と創出</v>
      </c>
      <c r="AD110" s="1754">
        <f t="shared" si="94"/>
        <v>0.3</v>
      </c>
      <c r="AE110" s="1754">
        <f t="shared" si="95"/>
        <v>0.3</v>
      </c>
      <c r="AF110" s="1754">
        <f t="shared" si="96"/>
        <v>0.3</v>
      </c>
      <c r="AG110" s="1754">
        <f t="shared" si="97"/>
        <v>0.3</v>
      </c>
      <c r="AH110" s="1754">
        <f t="shared" si="98"/>
        <v>0.3</v>
      </c>
      <c r="AI110" s="1754">
        <f t="shared" si="99"/>
        <v>0.3</v>
      </c>
      <c r="AJ110" s="1754">
        <f t="shared" si="100"/>
        <v>0.3</v>
      </c>
      <c r="AK110" s="1766">
        <f t="shared" si="101"/>
        <v>0.3</v>
      </c>
      <c r="AL110" s="1754">
        <f t="shared" si="102"/>
        <v>0.3</v>
      </c>
      <c r="AM110" s="1754">
        <f t="shared" si="102"/>
        <v>0.3</v>
      </c>
      <c r="AN110" s="1756">
        <f t="shared" si="107"/>
        <v>0</v>
      </c>
      <c r="AO110" s="1754">
        <f t="shared" si="108"/>
        <v>0</v>
      </c>
      <c r="AP110" s="1754">
        <f t="shared" si="109"/>
        <v>0</v>
      </c>
      <c r="AQ110" s="1610"/>
      <c r="AR110" s="1639">
        <v>1</v>
      </c>
      <c r="AS110" s="1742" t="s">
        <v>360</v>
      </c>
      <c r="AT110" s="1785" t="s">
        <v>900</v>
      </c>
      <c r="AU110" s="1709">
        <v>0.3</v>
      </c>
      <c r="AV110" s="1709">
        <v>0.3</v>
      </c>
      <c r="AW110" s="1709">
        <v>0.3</v>
      </c>
      <c r="AX110" s="1709">
        <v>0.3</v>
      </c>
      <c r="AY110" s="1709">
        <v>0.3</v>
      </c>
      <c r="AZ110" s="1709">
        <v>0.3</v>
      </c>
      <c r="BA110" s="1709">
        <v>0.3</v>
      </c>
      <c r="BB110" s="2080">
        <v>0.3</v>
      </c>
      <c r="BC110" s="1709">
        <v>0.3</v>
      </c>
      <c r="BD110" s="1709">
        <v>0.3</v>
      </c>
      <c r="BE110" s="2060"/>
      <c r="BF110" s="1709"/>
      <c r="BG110" s="1709"/>
      <c r="BH110"/>
      <c r="BI110" s="1639">
        <v>1</v>
      </c>
      <c r="BJ110" s="1742" t="s">
        <v>360</v>
      </c>
      <c r="BK110" s="1785" t="s">
        <v>900</v>
      </c>
      <c r="BL110" s="1709">
        <v>0.3</v>
      </c>
      <c r="BM110" s="1709">
        <v>0.3</v>
      </c>
      <c r="BN110" s="1709">
        <v>0.3</v>
      </c>
      <c r="BO110" s="1709">
        <v>0.3</v>
      </c>
      <c r="BP110" s="1709">
        <v>0.3</v>
      </c>
      <c r="BQ110" s="1709">
        <v>0.3</v>
      </c>
      <c r="BR110" s="1709">
        <v>0.3</v>
      </c>
      <c r="BS110" s="2080">
        <v>0.3</v>
      </c>
      <c r="BT110" s="1709">
        <v>0.3</v>
      </c>
      <c r="BU110" s="1709">
        <v>0.3</v>
      </c>
      <c r="BV110" s="2060"/>
      <c r="BW110" s="1709"/>
      <c r="BX110" s="1709"/>
      <c r="BY110"/>
    </row>
    <row r="111" spans="1:77" s="1603" customFormat="1" ht="13.5" customHeight="1">
      <c r="A111"/>
      <c r="B111" s="1625">
        <f t="shared" si="116"/>
        <v>2</v>
      </c>
      <c r="C111" s="1626" t="str">
        <f t="shared" si="117"/>
        <v>まちなみ・景観への配慮</v>
      </c>
      <c r="D111" s="2059" t="e">
        <f t="shared" si="120"/>
        <v>#DIV/0!</v>
      </c>
      <c r="E111" s="1741" t="e">
        <f t="shared" si="120"/>
        <v>#DIV/0!</v>
      </c>
      <c r="F111"/>
      <c r="G111" s="1741" t="e">
        <f t="shared" si="118"/>
        <v>#DIV/0!</v>
      </c>
      <c r="H111" s="1741" t="e">
        <f t="shared" si="118"/>
        <v>#DIV/0!</v>
      </c>
      <c r="I111" s="1741"/>
      <c r="J111" s="1741"/>
      <c r="K111" s="1607">
        <f>IF(スコア表示!X111=0,0,1)</f>
        <v>1</v>
      </c>
      <c r="L111" s="1607">
        <f>IF(スコア表示!AB111=0,0,1)</f>
        <v>0</v>
      </c>
      <c r="M111"/>
      <c r="N111" s="1705" t="e">
        <f t="shared" si="121"/>
        <v>#DIV/0!</v>
      </c>
      <c r="O111" s="1705" t="e">
        <f t="shared" si="121"/>
        <v>#DIV/0!</v>
      </c>
      <c r="P111" s="1708" t="e">
        <f>R111</f>
        <v>#DIV/0!</v>
      </c>
      <c r="Q111" s="1708" t="e">
        <f>S111</f>
        <v>#DIV/0!</v>
      </c>
      <c r="R111" s="1607" t="e">
        <f>IF(スコア入力!R111="EB",重み_対象外!D111,U111)</f>
        <v>#DIV/0!</v>
      </c>
      <c r="S111" s="1607" t="e">
        <f>IF(スコア入力!Y111="EB",重み_対象外!E111,V111)</f>
        <v>#DIV/0!</v>
      </c>
      <c r="T111" s="1558"/>
      <c r="U111" s="1708" t="e">
        <f t="shared" si="119"/>
        <v>#DIV/0!</v>
      </c>
      <c r="V111" s="1708" t="e">
        <f t="shared" si="119"/>
        <v>#DIV/0!</v>
      </c>
      <c r="W111" s="1558"/>
      <c r="X111" s="1607" t="e">
        <f t="shared" si="73"/>
        <v>#DIV/0!</v>
      </c>
      <c r="Y111" s="1607" t="e">
        <f t="shared" si="74"/>
        <v>#DIV/0!</v>
      </c>
      <c r="Z111" s="1640"/>
      <c r="AA111" s="1604">
        <f t="shared" si="92"/>
        <v>2</v>
      </c>
      <c r="AB111" s="1604" t="str">
        <f t="shared" si="103"/>
        <v xml:space="preserve"> Q3</v>
      </c>
      <c r="AC111" s="1604" t="str">
        <f t="shared" si="93"/>
        <v>まちなみ・景観への配慮</v>
      </c>
      <c r="AD111" s="1754">
        <f t="shared" si="94"/>
        <v>0.4</v>
      </c>
      <c r="AE111" s="1754">
        <f t="shared" si="95"/>
        <v>0.4</v>
      </c>
      <c r="AF111" s="1754">
        <f t="shared" si="96"/>
        <v>0.4</v>
      </c>
      <c r="AG111" s="1754">
        <f t="shared" si="97"/>
        <v>0.4</v>
      </c>
      <c r="AH111" s="1754">
        <f t="shared" si="98"/>
        <v>0.4</v>
      </c>
      <c r="AI111" s="1754">
        <f t="shared" si="99"/>
        <v>0.4</v>
      </c>
      <c r="AJ111" s="1754">
        <f t="shared" si="100"/>
        <v>0.4</v>
      </c>
      <c r="AK111" s="1766">
        <f t="shared" si="101"/>
        <v>0.4</v>
      </c>
      <c r="AL111" s="1754">
        <f t="shared" si="102"/>
        <v>0.4</v>
      </c>
      <c r="AM111" s="1754">
        <f t="shared" si="102"/>
        <v>0.4</v>
      </c>
      <c r="AN111" s="1756">
        <f t="shared" si="107"/>
        <v>0</v>
      </c>
      <c r="AO111" s="1754">
        <f t="shared" si="108"/>
        <v>0</v>
      </c>
      <c r="AP111" s="1754">
        <f t="shared" si="109"/>
        <v>0</v>
      </c>
      <c r="AQ111" s="1610"/>
      <c r="AR111" s="1639">
        <v>2</v>
      </c>
      <c r="AS111" s="1742" t="s">
        <v>360</v>
      </c>
      <c r="AT111" s="1785" t="s">
        <v>1489</v>
      </c>
      <c r="AU111" s="1709">
        <v>0.4</v>
      </c>
      <c r="AV111" s="1709">
        <v>0.4</v>
      </c>
      <c r="AW111" s="1709">
        <v>0.4</v>
      </c>
      <c r="AX111" s="1709">
        <v>0.4</v>
      </c>
      <c r="AY111" s="1709">
        <v>0.4</v>
      </c>
      <c r="AZ111" s="1709">
        <v>0.4</v>
      </c>
      <c r="BA111" s="1709">
        <v>0.4</v>
      </c>
      <c r="BB111" s="2080">
        <v>0.4</v>
      </c>
      <c r="BC111" s="1709">
        <v>0.4</v>
      </c>
      <c r="BD111" s="1709">
        <v>0.4</v>
      </c>
      <c r="BE111" s="2060"/>
      <c r="BF111" s="1709"/>
      <c r="BG111" s="1709"/>
      <c r="BH111"/>
      <c r="BI111" s="1639">
        <v>2</v>
      </c>
      <c r="BJ111" s="1742" t="s">
        <v>360</v>
      </c>
      <c r="BK111" s="1785" t="s">
        <v>1489</v>
      </c>
      <c r="BL111" s="1709">
        <v>0.4</v>
      </c>
      <c r="BM111" s="1709">
        <v>0.4</v>
      </c>
      <c r="BN111" s="1709">
        <v>0.4</v>
      </c>
      <c r="BO111" s="1709">
        <v>0.4</v>
      </c>
      <c r="BP111" s="1709">
        <v>0.4</v>
      </c>
      <c r="BQ111" s="1709">
        <v>0.4</v>
      </c>
      <c r="BR111" s="1709">
        <v>0.4</v>
      </c>
      <c r="BS111" s="2080">
        <v>0.4</v>
      </c>
      <c r="BT111" s="1709">
        <v>0.4</v>
      </c>
      <c r="BU111" s="1709">
        <v>0.4</v>
      </c>
      <c r="BV111" s="2060"/>
      <c r="BW111" s="1709"/>
      <c r="BX111" s="1709"/>
      <c r="BY111"/>
    </row>
    <row r="112" spans="1:77" s="1603" customFormat="1" ht="13.5" customHeight="1">
      <c r="A112"/>
      <c r="B112" s="1625">
        <f t="shared" si="116"/>
        <v>3</v>
      </c>
      <c r="C112" s="1626" t="str">
        <f t="shared" si="117"/>
        <v>地域性・アメニティへの配慮</v>
      </c>
      <c r="D112" s="2059" t="e">
        <f t="shared" si="120"/>
        <v>#DIV/0!</v>
      </c>
      <c r="E112" s="1741" t="e">
        <f t="shared" si="120"/>
        <v>#DIV/0!</v>
      </c>
      <c r="F112"/>
      <c r="G112" s="1741" t="e">
        <f t="shared" si="118"/>
        <v>#DIV/0!</v>
      </c>
      <c r="H112" s="1741" t="e">
        <f t="shared" si="118"/>
        <v>#DIV/0!</v>
      </c>
      <c r="I112" s="1723" t="e">
        <f>SUM(G113:G114)</f>
        <v>#DIV/0!</v>
      </c>
      <c r="J112" s="1723" t="e">
        <f>SUM(H113:H114)</f>
        <v>#DIV/0!</v>
      </c>
      <c r="K112" s="1723" t="e">
        <f>IF(スコア表示!X112=0,0,1)</f>
        <v>#DIV/0!</v>
      </c>
      <c r="L112" s="1723" t="e">
        <f>IF(スコア表示!AB112=0,0,1)</f>
        <v>#DIV/0!</v>
      </c>
      <c r="M112"/>
      <c r="N112" s="1705" t="e">
        <f t="shared" si="121"/>
        <v>#DIV/0!</v>
      </c>
      <c r="O112" s="1705" t="e">
        <f t="shared" si="121"/>
        <v>#DIV/0!</v>
      </c>
      <c r="P112" s="1708" t="e">
        <f>SUM(R113:R114)</f>
        <v>#DIV/0!</v>
      </c>
      <c r="Q112" s="1708" t="e">
        <f>SUM(S113:S114)</f>
        <v>#DIV/0!</v>
      </c>
      <c r="R112" s="1607" t="e">
        <f>IF(スコア入力!R112="EB",重み_対象外!D112,U112)</f>
        <v>#DIV/0!</v>
      </c>
      <c r="S112" s="1607" t="e">
        <f>IF(スコア入力!Y112="EB",重み_対象外!E112,V112)</f>
        <v>#DIV/0!</v>
      </c>
      <c r="T112" s="1558"/>
      <c r="U112" s="1605" t="e">
        <f>SUM(U113:U114)</f>
        <v>#DIV/0!</v>
      </c>
      <c r="V112" s="1605" t="e">
        <f>SUM(V113:V114)</f>
        <v>#DIV/0!</v>
      </c>
      <c r="W112" s="1558"/>
      <c r="X112" s="1607" t="e">
        <f t="shared" si="73"/>
        <v>#DIV/0!</v>
      </c>
      <c r="Y112" s="1607" t="e">
        <f t="shared" si="74"/>
        <v>#DIV/0!</v>
      </c>
      <c r="Z112" s="1640"/>
      <c r="AA112" s="1604">
        <f t="shared" si="92"/>
        <v>3</v>
      </c>
      <c r="AB112" s="1604" t="str">
        <f t="shared" si="103"/>
        <v xml:space="preserve"> Q3</v>
      </c>
      <c r="AC112" s="1604" t="str">
        <f t="shared" si="93"/>
        <v>地域性・アメニティへの配慮</v>
      </c>
      <c r="AD112" s="1754">
        <f t="shared" si="94"/>
        <v>0.3</v>
      </c>
      <c r="AE112" s="1754">
        <f t="shared" si="95"/>
        <v>0.3</v>
      </c>
      <c r="AF112" s="1754">
        <f t="shared" si="96"/>
        <v>0.3</v>
      </c>
      <c r="AG112" s="1754">
        <f t="shared" si="97"/>
        <v>0.3</v>
      </c>
      <c r="AH112" s="1754">
        <f t="shared" si="98"/>
        <v>0.3</v>
      </c>
      <c r="AI112" s="1754">
        <f t="shared" si="99"/>
        <v>0.3</v>
      </c>
      <c r="AJ112" s="1754">
        <f t="shared" si="100"/>
        <v>0.3</v>
      </c>
      <c r="AK112" s="1766">
        <f t="shared" si="101"/>
        <v>0.3</v>
      </c>
      <c r="AL112" s="1754">
        <f t="shared" si="102"/>
        <v>0.3</v>
      </c>
      <c r="AM112" s="1754">
        <f t="shared" si="102"/>
        <v>0.3</v>
      </c>
      <c r="AN112" s="1756">
        <f t="shared" si="107"/>
        <v>0</v>
      </c>
      <c r="AO112" s="1754">
        <f t="shared" si="108"/>
        <v>0</v>
      </c>
      <c r="AP112" s="1754">
        <f t="shared" si="109"/>
        <v>0</v>
      </c>
      <c r="AQ112" s="1610"/>
      <c r="AR112" s="1639">
        <v>3</v>
      </c>
      <c r="AS112" s="1742" t="s">
        <v>360</v>
      </c>
      <c r="AT112" s="1785" t="s">
        <v>1490</v>
      </c>
      <c r="AU112" s="1709">
        <v>0.3</v>
      </c>
      <c r="AV112" s="1709">
        <v>0.3</v>
      </c>
      <c r="AW112" s="1709">
        <v>0.3</v>
      </c>
      <c r="AX112" s="1709">
        <v>0.3</v>
      </c>
      <c r="AY112" s="1709">
        <v>0.3</v>
      </c>
      <c r="AZ112" s="1709">
        <v>0.3</v>
      </c>
      <c r="BA112" s="1709">
        <v>0.3</v>
      </c>
      <c r="BB112" s="2080">
        <v>0.3</v>
      </c>
      <c r="BC112" s="1709">
        <v>0.3</v>
      </c>
      <c r="BD112" s="1709">
        <v>0.3</v>
      </c>
      <c r="BE112" s="2060"/>
      <c r="BF112" s="1709"/>
      <c r="BG112" s="1709"/>
      <c r="BH112"/>
      <c r="BI112" s="1639">
        <v>3</v>
      </c>
      <c r="BJ112" s="1742" t="s">
        <v>360</v>
      </c>
      <c r="BK112" s="1785" t="s">
        <v>1490</v>
      </c>
      <c r="BL112" s="1709">
        <v>0.3</v>
      </c>
      <c r="BM112" s="1709">
        <v>0.3</v>
      </c>
      <c r="BN112" s="1709">
        <v>0.3</v>
      </c>
      <c r="BO112" s="1709">
        <v>0.3</v>
      </c>
      <c r="BP112" s="1709">
        <v>0.3</v>
      </c>
      <c r="BQ112" s="1709">
        <v>0.3</v>
      </c>
      <c r="BR112" s="1709">
        <v>0.3</v>
      </c>
      <c r="BS112" s="2080">
        <v>0.3</v>
      </c>
      <c r="BT112" s="1709">
        <v>0.3</v>
      </c>
      <c r="BU112" s="1709">
        <v>0.3</v>
      </c>
      <c r="BV112" s="2060"/>
      <c r="BW112" s="1709"/>
      <c r="BX112" s="1709"/>
      <c r="BY112"/>
    </row>
    <row r="113" spans="1:77" s="1603" customFormat="1" ht="13.5" customHeight="1">
      <c r="A113"/>
      <c r="B113" s="1615" t="str">
        <f t="shared" si="116"/>
        <v>3.1</v>
      </c>
      <c r="C113" s="1658" t="str">
        <f t="shared" si="117"/>
        <v>地域性への配慮，快適性の向上</v>
      </c>
      <c r="D113" s="1714" t="e">
        <f>IF(I$112=0,0,G113/I$112)</f>
        <v>#DIV/0!</v>
      </c>
      <c r="E113" s="1689" t="e">
        <f>IF(J$112=0,0,H113/J$112)</f>
        <v>#DIV/0!</v>
      </c>
      <c r="F113"/>
      <c r="G113" s="1689" t="e">
        <f t="shared" si="118"/>
        <v>#DIV/0!</v>
      </c>
      <c r="H113" s="1689" t="e">
        <f t="shared" si="118"/>
        <v>#DIV/0!</v>
      </c>
      <c r="I113" s="514"/>
      <c r="J113" s="1689"/>
      <c r="K113" s="514">
        <f>IF(スコア表示!X113=0,0,1)</f>
        <v>1</v>
      </c>
      <c r="L113" s="1614">
        <f>IF(スコア表示!AB113=0,0,1)</f>
        <v>0</v>
      </c>
      <c r="M113"/>
      <c r="N113" s="1711" t="e">
        <f>IF(P$112=0,0,R113/P$112)</f>
        <v>#DIV/0!</v>
      </c>
      <c r="O113" s="1711" t="e">
        <f>IF(Q$112=0,0,S113/Q$112)</f>
        <v>#DIV/0!</v>
      </c>
      <c r="P113" s="1722"/>
      <c r="Q113" s="1722"/>
      <c r="R113" s="1614" t="e">
        <f>IF(スコア入力!R113="EB",重み_対象外!D113,U113)</f>
        <v>#DIV/0!</v>
      </c>
      <c r="S113" s="1614" t="e">
        <f>IF(スコア入力!Y113="EB",重み_対象外!E113,V113)</f>
        <v>#DIV/0!</v>
      </c>
      <c r="T113" s="1558"/>
      <c r="U113" s="1612" t="e">
        <f>X$112*X113</f>
        <v>#DIV/0!</v>
      </c>
      <c r="V113" s="1612" t="e">
        <f>Y$112*Y113</f>
        <v>#DIV/0!</v>
      </c>
      <c r="W113" s="1558"/>
      <c r="X113" s="1614" t="e">
        <f t="shared" si="73"/>
        <v>#DIV/0!</v>
      </c>
      <c r="Y113" s="1614" t="e">
        <f t="shared" si="74"/>
        <v>#DIV/0!</v>
      </c>
      <c r="Z113" s="1640"/>
      <c r="AA113" s="1611" t="str">
        <f t="shared" si="92"/>
        <v>3.1</v>
      </c>
      <c r="AB113" s="1611" t="str">
        <f t="shared" si="103"/>
        <v xml:space="preserve"> Q3 3</v>
      </c>
      <c r="AC113" s="1611" t="str">
        <f t="shared" si="93"/>
        <v>地域性への配慮，快適性の向上</v>
      </c>
      <c r="AD113" s="1770">
        <f t="shared" si="94"/>
        <v>0.5</v>
      </c>
      <c r="AE113" s="1770">
        <f t="shared" si="95"/>
        <v>0.5</v>
      </c>
      <c r="AF113" s="1770">
        <f t="shared" si="96"/>
        <v>0.5</v>
      </c>
      <c r="AG113" s="1770">
        <f t="shared" si="97"/>
        <v>0.5</v>
      </c>
      <c r="AH113" s="1770">
        <f t="shared" si="98"/>
        <v>0.5</v>
      </c>
      <c r="AI113" s="1770">
        <f t="shared" si="99"/>
        <v>0.5</v>
      </c>
      <c r="AJ113" s="1770">
        <f t="shared" si="100"/>
        <v>0.5</v>
      </c>
      <c r="AK113" s="1770">
        <f t="shared" si="101"/>
        <v>0.5</v>
      </c>
      <c r="AL113" s="1770">
        <f t="shared" si="102"/>
        <v>0.5</v>
      </c>
      <c r="AM113" s="1770">
        <f t="shared" si="102"/>
        <v>0.5</v>
      </c>
      <c r="AN113" s="1771">
        <f t="shared" si="107"/>
        <v>0</v>
      </c>
      <c r="AO113" s="1770">
        <f t="shared" si="108"/>
        <v>0</v>
      </c>
      <c r="AP113" s="1770">
        <f t="shared" si="109"/>
        <v>0</v>
      </c>
      <c r="AQ113" s="1610"/>
      <c r="AR113" s="1645" t="s">
        <v>1492</v>
      </c>
      <c r="AS113" s="1691" t="s">
        <v>361</v>
      </c>
      <c r="AT113" s="2083" t="s">
        <v>1826</v>
      </c>
      <c r="AU113" s="2084">
        <v>0.5</v>
      </c>
      <c r="AV113" s="2084">
        <v>0.5</v>
      </c>
      <c r="AW113" s="2084">
        <v>0.5</v>
      </c>
      <c r="AX113" s="2084">
        <v>0.5</v>
      </c>
      <c r="AY113" s="2084">
        <v>0.5</v>
      </c>
      <c r="AZ113" s="2084">
        <v>0.5</v>
      </c>
      <c r="BA113" s="2084">
        <v>0.5</v>
      </c>
      <c r="BB113" s="2084">
        <v>0.5</v>
      </c>
      <c r="BC113" s="2084">
        <v>0.5</v>
      </c>
      <c r="BD113" s="2084">
        <v>0.5</v>
      </c>
      <c r="BE113" s="2085"/>
      <c r="BF113" s="2084"/>
      <c r="BG113" s="2084"/>
      <c r="BH113"/>
      <c r="BI113" s="1645" t="s">
        <v>1492</v>
      </c>
      <c r="BJ113" s="1691" t="s">
        <v>361</v>
      </c>
      <c r="BK113" s="2083" t="s">
        <v>1826</v>
      </c>
      <c r="BL113" s="2084">
        <v>0.5</v>
      </c>
      <c r="BM113" s="2084">
        <v>0.5</v>
      </c>
      <c r="BN113" s="2084">
        <v>0.5</v>
      </c>
      <c r="BO113" s="2084">
        <v>0.5</v>
      </c>
      <c r="BP113" s="2084">
        <v>0.5</v>
      </c>
      <c r="BQ113" s="2084">
        <v>0.5</v>
      </c>
      <c r="BR113" s="2084">
        <v>0.5</v>
      </c>
      <c r="BS113" s="2084">
        <v>0.5</v>
      </c>
      <c r="BT113" s="2084">
        <v>0.5</v>
      </c>
      <c r="BU113" s="2084">
        <v>0.5</v>
      </c>
      <c r="BV113" s="2085"/>
      <c r="BW113" s="2084"/>
      <c r="BX113" s="2084"/>
      <c r="BY113"/>
    </row>
    <row r="114" spans="1:77" s="1603" customFormat="1" ht="13.5" customHeight="1">
      <c r="A114"/>
      <c r="B114" s="1615" t="str">
        <f t="shared" si="116"/>
        <v>3.2</v>
      </c>
      <c r="C114" s="1658" t="str">
        <f t="shared" si="117"/>
        <v>敷地内温熱環境の向上</v>
      </c>
      <c r="D114" s="1714" t="e">
        <f>IF(I$112=0,0,G114/I$112)</f>
        <v>#DIV/0!</v>
      </c>
      <c r="E114" s="1689" t="e">
        <f>IF(J$112=0,0,H114/J$112)</f>
        <v>#DIV/0!</v>
      </c>
      <c r="F114"/>
      <c r="G114" s="1689" t="e">
        <f t="shared" si="118"/>
        <v>#DIV/0!</v>
      </c>
      <c r="H114" s="1689" t="e">
        <f t="shared" si="118"/>
        <v>#DIV/0!</v>
      </c>
      <c r="I114" s="514"/>
      <c r="J114" s="1689"/>
      <c r="K114" s="514">
        <f>IF(スコア表示!X114=0,0,1)</f>
        <v>1</v>
      </c>
      <c r="L114" s="1614">
        <f>IF(スコア表示!AB114=0,0,1)</f>
        <v>0</v>
      </c>
      <c r="M114"/>
      <c r="N114" s="1711" t="e">
        <f>IF(P$112=0,0,R114/P$112)</f>
        <v>#DIV/0!</v>
      </c>
      <c r="O114" s="1711" t="e">
        <f>IF(Q$112=0,0,S114/Q$112)</f>
        <v>#DIV/0!</v>
      </c>
      <c r="P114" s="1722"/>
      <c r="Q114" s="1722"/>
      <c r="R114" s="1614" t="e">
        <f>IF(スコア入力!R114="EB",重み_対象外!D114,U114)</f>
        <v>#DIV/0!</v>
      </c>
      <c r="S114" s="1614" t="e">
        <f>IF(スコア入力!Y114="EB",重み_対象外!E114,V114)</f>
        <v>#DIV/0!</v>
      </c>
      <c r="T114" s="1558"/>
      <c r="U114" s="1612" t="e">
        <f>X$112*X114</f>
        <v>#DIV/0!</v>
      </c>
      <c r="V114" s="1612" t="e">
        <f>Y$112*Y114</f>
        <v>#DIV/0!</v>
      </c>
      <c r="W114" s="1558"/>
      <c r="X114" s="1614" t="e">
        <f t="shared" si="73"/>
        <v>#DIV/0!</v>
      </c>
      <c r="Y114" s="1614" t="e">
        <f t="shared" si="74"/>
        <v>#DIV/0!</v>
      </c>
      <c r="Z114" s="1640"/>
      <c r="AA114" s="1611" t="str">
        <f t="shared" si="92"/>
        <v>3.2</v>
      </c>
      <c r="AB114" s="1611" t="str">
        <f t="shared" si="103"/>
        <v xml:space="preserve"> Q3 3</v>
      </c>
      <c r="AC114" s="1611" t="str">
        <f t="shared" si="93"/>
        <v>敷地内温熱環境の向上</v>
      </c>
      <c r="AD114" s="1770">
        <f t="shared" si="94"/>
        <v>0.5</v>
      </c>
      <c r="AE114" s="1770">
        <f t="shared" si="95"/>
        <v>0.5</v>
      </c>
      <c r="AF114" s="1770">
        <f t="shared" si="96"/>
        <v>0.5</v>
      </c>
      <c r="AG114" s="1770">
        <f t="shared" si="97"/>
        <v>0.5</v>
      </c>
      <c r="AH114" s="1770">
        <f t="shared" si="98"/>
        <v>0.5</v>
      </c>
      <c r="AI114" s="1770">
        <f t="shared" si="99"/>
        <v>0.5</v>
      </c>
      <c r="AJ114" s="1770">
        <f t="shared" si="100"/>
        <v>0.5</v>
      </c>
      <c r="AK114" s="1770">
        <f t="shared" si="101"/>
        <v>0.5</v>
      </c>
      <c r="AL114" s="1770">
        <f t="shared" si="102"/>
        <v>0.5</v>
      </c>
      <c r="AM114" s="1770">
        <f t="shared" si="102"/>
        <v>0.5</v>
      </c>
      <c r="AN114" s="1771">
        <f t="shared" si="107"/>
        <v>0</v>
      </c>
      <c r="AO114" s="1770">
        <f t="shared" si="108"/>
        <v>0</v>
      </c>
      <c r="AP114" s="1770">
        <f t="shared" si="109"/>
        <v>0</v>
      </c>
      <c r="AQ114" s="1610"/>
      <c r="AR114" s="1645" t="s">
        <v>1494</v>
      </c>
      <c r="AS114" s="1691" t="s">
        <v>361</v>
      </c>
      <c r="AT114" s="2083" t="s">
        <v>1496</v>
      </c>
      <c r="AU114" s="2084">
        <v>0.5</v>
      </c>
      <c r="AV114" s="2084">
        <v>0.5</v>
      </c>
      <c r="AW114" s="2084">
        <v>0.5</v>
      </c>
      <c r="AX114" s="2084">
        <v>0.5</v>
      </c>
      <c r="AY114" s="2084">
        <v>0.5</v>
      </c>
      <c r="AZ114" s="2084">
        <v>0.5</v>
      </c>
      <c r="BA114" s="2084">
        <v>0.5</v>
      </c>
      <c r="BB114" s="2084">
        <v>0.5</v>
      </c>
      <c r="BC114" s="2084">
        <v>0.5</v>
      </c>
      <c r="BD114" s="2084">
        <v>0.5</v>
      </c>
      <c r="BE114" s="2085"/>
      <c r="BF114" s="2084"/>
      <c r="BG114" s="2084"/>
      <c r="BH114"/>
      <c r="BI114" s="1645" t="s">
        <v>1494</v>
      </c>
      <c r="BJ114" s="1691" t="s">
        <v>361</v>
      </c>
      <c r="BK114" s="2083" t="s">
        <v>1496</v>
      </c>
      <c r="BL114" s="2084">
        <v>0.5</v>
      </c>
      <c r="BM114" s="2084">
        <v>0.5</v>
      </c>
      <c r="BN114" s="2084">
        <v>0.5</v>
      </c>
      <c r="BO114" s="2084">
        <v>0.5</v>
      </c>
      <c r="BP114" s="2084">
        <v>0.5</v>
      </c>
      <c r="BQ114" s="2084">
        <v>0.5</v>
      </c>
      <c r="BR114" s="2084">
        <v>0.5</v>
      </c>
      <c r="BS114" s="2084">
        <v>0.5</v>
      </c>
      <c r="BT114" s="2084">
        <v>0.5</v>
      </c>
      <c r="BU114" s="2084">
        <v>0.5</v>
      </c>
      <c r="BV114" s="2085"/>
      <c r="BW114" s="2084"/>
      <c r="BX114" s="2084"/>
      <c r="BY114"/>
    </row>
    <row r="115" spans="1:77" s="1603" customFormat="1" ht="13.5" hidden="1" customHeight="1">
      <c r="A115"/>
      <c r="B115" s="1661">
        <f t="shared" si="116"/>
        <v>0</v>
      </c>
      <c r="C115" s="1662">
        <f t="shared" si="117"/>
        <v>0</v>
      </c>
      <c r="D115" s="2059"/>
      <c r="E115" s="1741"/>
      <c r="F115"/>
      <c r="G115" s="1741">
        <f t="shared" si="118"/>
        <v>0</v>
      </c>
      <c r="H115" s="1741">
        <f t="shared" si="118"/>
        <v>0</v>
      </c>
      <c r="I115" s="1741"/>
      <c r="J115" s="1741"/>
      <c r="K115" s="1663">
        <f>IF(スコア表示!X115=0,0,1)</f>
        <v>0</v>
      </c>
      <c r="L115" s="1663">
        <f>IF(スコア表示!AB115=0,0,1)</f>
        <v>0</v>
      </c>
      <c r="M115"/>
      <c r="N115" s="1724"/>
      <c r="O115" s="1724"/>
      <c r="P115" s="1663"/>
      <c r="Q115" s="1663"/>
      <c r="R115" s="1663">
        <f>IF(スコア入力!R115="EB",重み_対象外!D115,U115)</f>
        <v>0</v>
      </c>
      <c r="S115" s="1663">
        <f>IF(スコア入力!Y115="EB",重み_対象外!E115,V115)</f>
        <v>0</v>
      </c>
      <c r="T115" s="1558"/>
      <c r="U115" s="1662"/>
      <c r="V115" s="1662"/>
      <c r="W115" s="1558"/>
      <c r="X115" s="1663" t="e">
        <f t="shared" si="73"/>
        <v>#DIV/0!</v>
      </c>
      <c r="Y115" s="1663" t="e">
        <f t="shared" si="74"/>
        <v>#DIV/0!</v>
      </c>
      <c r="Z115" s="1640"/>
      <c r="AA115" s="1664">
        <f t="shared" si="92"/>
        <v>0</v>
      </c>
      <c r="AB115" s="1664" t="str">
        <f t="shared" si="103"/>
        <v xml:space="preserve"> Q</v>
      </c>
      <c r="AC115" s="1664">
        <f t="shared" si="93"/>
        <v>0</v>
      </c>
      <c r="AD115" s="1773">
        <f t="shared" si="94"/>
        <v>0</v>
      </c>
      <c r="AE115" s="1773">
        <f t="shared" si="95"/>
        <v>0</v>
      </c>
      <c r="AF115" s="1773">
        <f t="shared" si="96"/>
        <v>0</v>
      </c>
      <c r="AG115" s="1773">
        <f t="shared" si="97"/>
        <v>0</v>
      </c>
      <c r="AH115" s="1773">
        <f t="shared" si="98"/>
        <v>0</v>
      </c>
      <c r="AI115" s="1773">
        <f t="shared" si="99"/>
        <v>0</v>
      </c>
      <c r="AJ115" s="1773">
        <f t="shared" si="100"/>
        <v>0</v>
      </c>
      <c r="AK115" s="1774">
        <f t="shared" si="101"/>
        <v>0</v>
      </c>
      <c r="AL115" s="1773">
        <f t="shared" si="102"/>
        <v>0</v>
      </c>
      <c r="AM115" s="1773">
        <f t="shared" si="102"/>
        <v>0</v>
      </c>
      <c r="AN115" s="1775">
        <f t="shared" si="107"/>
        <v>0</v>
      </c>
      <c r="AO115" s="1773">
        <f t="shared" si="108"/>
        <v>0</v>
      </c>
      <c r="AP115" s="1773">
        <f t="shared" si="109"/>
        <v>0</v>
      </c>
      <c r="AQ115" s="1610"/>
      <c r="AR115" s="1639"/>
      <c r="AS115" s="1742" t="s">
        <v>270</v>
      </c>
      <c r="AT115" s="1785"/>
      <c r="AU115" s="1709"/>
      <c r="AV115" s="1709"/>
      <c r="AW115" s="1709"/>
      <c r="AX115" s="1709"/>
      <c r="AY115" s="1709"/>
      <c r="AZ115" s="1709"/>
      <c r="BA115" s="1709"/>
      <c r="BB115" s="2080"/>
      <c r="BC115" s="1709"/>
      <c r="BD115" s="1709"/>
      <c r="BE115" s="2060"/>
      <c r="BF115" s="1709"/>
      <c r="BG115" s="1709"/>
      <c r="BH115"/>
      <c r="BI115" s="1639"/>
      <c r="BJ115" s="1742" t="s">
        <v>270</v>
      </c>
      <c r="BK115" s="1785"/>
      <c r="BL115" s="1709"/>
      <c r="BM115" s="1709"/>
      <c r="BN115" s="1709"/>
      <c r="BO115" s="1709"/>
      <c r="BP115" s="1709"/>
      <c r="BQ115" s="1709"/>
      <c r="BR115" s="1709"/>
      <c r="BS115" s="2080"/>
      <c r="BT115" s="1709"/>
      <c r="BU115" s="1709"/>
      <c r="BV115" s="2060"/>
      <c r="BW115" s="1709"/>
      <c r="BX115" s="1709"/>
      <c r="BY115"/>
    </row>
    <row r="116" spans="1:77" s="1594" customFormat="1" ht="13.5" customHeight="1">
      <c r="A116"/>
      <c r="B116" s="1584" t="str">
        <f t="shared" si="116"/>
        <v>LR</v>
      </c>
      <c r="C116" s="1585" t="str">
        <f t="shared" si="117"/>
        <v>建築物の環境負荷低減性</v>
      </c>
      <c r="D116" s="2044"/>
      <c r="E116" s="2045"/>
      <c r="F116"/>
      <c r="G116" s="2045" t="e">
        <f t="shared" si="118"/>
        <v>#VALUE!</v>
      </c>
      <c r="H116" s="2045">
        <f t="shared" si="118"/>
        <v>0</v>
      </c>
      <c r="I116" s="2045" t="e">
        <f>G117+G140+G159</f>
        <v>#VALUE!</v>
      </c>
      <c r="J116" s="2045" t="e">
        <f>H117+H140+H159</f>
        <v>#DIV/0!</v>
      </c>
      <c r="K116" s="1587" t="e">
        <f>IF(スコア表示!X116=0,0,1)</f>
        <v>#VALUE!</v>
      </c>
      <c r="L116" s="1587">
        <f>IF(スコア表示!AB116=0,0,1)</f>
        <v>0</v>
      </c>
      <c r="M116"/>
      <c r="N116" s="1703"/>
      <c r="O116" s="1703"/>
      <c r="P116" s="1587" t="e">
        <f>R117+R140+R159</f>
        <v>#DIV/0!</v>
      </c>
      <c r="Q116" s="1587" t="e">
        <f>S117+S140+S159</f>
        <v>#DIV/0!</v>
      </c>
      <c r="R116" s="1587">
        <f>IF(スコア入力!R116="EB",重み_対象外!D116,U116)</f>
        <v>0</v>
      </c>
      <c r="S116" s="1587">
        <f>IF(スコア入力!Y116="EB",重み_対象外!E116,V116)</f>
        <v>0</v>
      </c>
      <c r="T116" s="1558"/>
      <c r="U116" s="1750"/>
      <c r="V116" s="1750"/>
      <c r="W116" s="1558"/>
      <c r="X116" s="1587" t="e">
        <f t="shared" si="73"/>
        <v>#DIV/0!</v>
      </c>
      <c r="Y116" s="1587" t="e">
        <f t="shared" si="74"/>
        <v>#DIV/0!</v>
      </c>
      <c r="Z116" s="1588"/>
      <c r="AA116" s="1666" t="str">
        <f t="shared" ref="AA116:AA151" si="122">IF($AA$3=1,AR116,BI116)</f>
        <v>LR</v>
      </c>
      <c r="AB116" s="1666" t="str">
        <f t="shared" si="103"/>
        <v xml:space="preserve"> </v>
      </c>
      <c r="AC116" s="1666" t="str">
        <f t="shared" si="93"/>
        <v>建築物の環境負荷低減性</v>
      </c>
      <c r="AD116" s="1590">
        <f t="shared" si="94"/>
        <v>0</v>
      </c>
      <c r="AE116" s="1590">
        <f t="shared" si="95"/>
        <v>0</v>
      </c>
      <c r="AF116" s="1590">
        <f t="shared" si="96"/>
        <v>0</v>
      </c>
      <c r="AG116" s="1590">
        <f t="shared" si="97"/>
        <v>0</v>
      </c>
      <c r="AH116" s="1590">
        <f t="shared" si="98"/>
        <v>0</v>
      </c>
      <c r="AI116" s="1590">
        <f t="shared" si="99"/>
        <v>0</v>
      </c>
      <c r="AJ116" s="1590">
        <f t="shared" si="100"/>
        <v>0</v>
      </c>
      <c r="AK116" s="1591">
        <f t="shared" si="101"/>
        <v>0</v>
      </c>
      <c r="AL116" s="1590">
        <f t="shared" si="102"/>
        <v>0</v>
      </c>
      <c r="AM116" s="1590">
        <f t="shared" si="102"/>
        <v>0</v>
      </c>
      <c r="AN116" s="1592">
        <f t="shared" si="107"/>
        <v>0</v>
      </c>
      <c r="AO116" s="1776">
        <f t="shared" si="108"/>
        <v>0</v>
      </c>
      <c r="AP116" s="1776">
        <f t="shared" si="109"/>
        <v>0</v>
      </c>
      <c r="AQ116" s="1593"/>
      <c r="AR116" s="2046" t="s">
        <v>1497</v>
      </c>
      <c r="AS116" s="2042" t="s">
        <v>419</v>
      </c>
      <c r="AT116" s="2043" t="s">
        <v>420</v>
      </c>
      <c r="AU116" s="2048"/>
      <c r="AV116" s="2048"/>
      <c r="AW116" s="2048"/>
      <c r="AX116" s="2048"/>
      <c r="AY116" s="2048"/>
      <c r="AZ116" s="2048"/>
      <c r="BA116" s="2048"/>
      <c r="BB116" s="2049"/>
      <c r="BC116" s="2048"/>
      <c r="BD116" s="2048"/>
      <c r="BE116" s="2050"/>
      <c r="BF116" s="2051"/>
      <c r="BG116" s="2051"/>
      <c r="BH116"/>
      <c r="BI116" s="2046" t="s">
        <v>1497</v>
      </c>
      <c r="BJ116" s="2042" t="s">
        <v>419</v>
      </c>
      <c r="BK116" s="2043" t="s">
        <v>420</v>
      </c>
      <c r="BL116" s="2048"/>
      <c r="BM116" s="2048"/>
      <c r="BN116" s="2048"/>
      <c r="BO116" s="2048"/>
      <c r="BP116" s="2048"/>
      <c r="BQ116" s="2048"/>
      <c r="BR116" s="2048"/>
      <c r="BS116" s="2049"/>
      <c r="BT116" s="2048"/>
      <c r="BU116" s="2048"/>
      <c r="BV116" s="2050"/>
      <c r="BW116" s="2051"/>
      <c r="BX116" s="2051"/>
      <c r="BY116"/>
    </row>
    <row r="117" spans="1:77" s="1603" customFormat="1" ht="13.5" customHeight="1">
      <c r="A117"/>
      <c r="B117" s="1595" t="str">
        <f t="shared" si="116"/>
        <v>LR1</v>
      </c>
      <c r="C117" s="1595" t="str">
        <f t="shared" si="117"/>
        <v>エネルギー</v>
      </c>
      <c r="D117" s="2088" t="e">
        <f>IF(I$116=0,0,G117/I$116)</f>
        <v>#VALUE!</v>
      </c>
      <c r="E117" s="2054" t="e">
        <f>IF(J$116=0,0,H117/J$116)</f>
        <v>#DIV/0!</v>
      </c>
      <c r="F117"/>
      <c r="G117" s="2054" t="e">
        <f t="shared" si="118"/>
        <v>#VALUE!</v>
      </c>
      <c r="H117" s="2054" t="e">
        <f t="shared" si="118"/>
        <v>#DIV/0!</v>
      </c>
      <c r="I117" s="2054" t="e">
        <f>G118+G119+G124+G133</f>
        <v>#VALUE!</v>
      </c>
      <c r="J117" s="2054" t="e">
        <f>H118+H119+H124+H133</f>
        <v>#DIV/0!</v>
      </c>
      <c r="K117" s="1598" t="e">
        <f>IF(スコア表示!X117=0,0,1)</f>
        <v>#VALUE!</v>
      </c>
      <c r="L117" s="1598">
        <f>IF(スコア表示!AB117=0,0,1)</f>
        <v>0</v>
      </c>
      <c r="M117"/>
      <c r="N117" s="1729" t="e">
        <f>IF(P$116=0,0,R117/P$116)</f>
        <v>#DIV/0!</v>
      </c>
      <c r="O117" s="1729" t="e">
        <f>IF(Q$116=0,0,S117/Q$116)</f>
        <v>#DIV/0!</v>
      </c>
      <c r="P117" s="1598" t="e">
        <f>R118+R119+R124+R133</f>
        <v>#DIV/0!</v>
      </c>
      <c r="Q117" s="1598" t="e">
        <f>S118+S119+S124+S133</f>
        <v>#DIV/0!</v>
      </c>
      <c r="R117" s="1598" t="e">
        <f>IF(スコア入力!R117="EB",重み_対象外!D117,U117)</f>
        <v>#DIV/0!</v>
      </c>
      <c r="S117" s="1598" t="e">
        <f>IF(スコア入力!Y117="EB",重み_対象外!E117,V117)</f>
        <v>#DIV/0!</v>
      </c>
      <c r="T117" s="1558"/>
      <c r="U117" s="1751" t="e">
        <f>X117</f>
        <v>#DIV/0!</v>
      </c>
      <c r="V117" s="1751" t="e">
        <f>Y117</f>
        <v>#DIV/0!</v>
      </c>
      <c r="W117" s="1558"/>
      <c r="X117" s="1598" t="e">
        <f t="shared" si="73"/>
        <v>#DIV/0!</v>
      </c>
      <c r="Y117" s="1598" t="e">
        <f t="shared" si="74"/>
        <v>#DIV/0!</v>
      </c>
      <c r="Z117" s="1638"/>
      <c r="AA117" s="1600" t="str">
        <f t="shared" si="122"/>
        <v>LR1</v>
      </c>
      <c r="AB117" s="1600" t="str">
        <f t="shared" ref="AB117:AB152" si="123">IF($AA$3=1,AS117,BJ117)</f>
        <v>LR</v>
      </c>
      <c r="AC117" s="1600" t="str">
        <f t="shared" si="93"/>
        <v>エネルギー</v>
      </c>
      <c r="AD117" s="1752">
        <f t="shared" si="94"/>
        <v>0.4</v>
      </c>
      <c r="AE117" s="1752">
        <f t="shared" si="95"/>
        <v>0.4</v>
      </c>
      <c r="AF117" s="1752">
        <f t="shared" si="96"/>
        <v>0.4</v>
      </c>
      <c r="AG117" s="1752">
        <f t="shared" si="97"/>
        <v>0.4</v>
      </c>
      <c r="AH117" s="1752">
        <f t="shared" si="98"/>
        <v>0.4</v>
      </c>
      <c r="AI117" s="1752">
        <f t="shared" si="99"/>
        <v>0.4</v>
      </c>
      <c r="AJ117" s="1752">
        <f t="shared" si="100"/>
        <v>0.4</v>
      </c>
      <c r="AK117" s="1752">
        <f t="shared" si="101"/>
        <v>0.4</v>
      </c>
      <c r="AL117" s="1752">
        <f t="shared" si="102"/>
        <v>0.4</v>
      </c>
      <c r="AM117" s="1752">
        <f t="shared" si="102"/>
        <v>0.4</v>
      </c>
      <c r="AN117" s="1753">
        <f t="shared" si="107"/>
        <v>0</v>
      </c>
      <c r="AO117" s="1752">
        <f t="shared" si="108"/>
        <v>0</v>
      </c>
      <c r="AP117" s="1752">
        <f t="shared" si="109"/>
        <v>0</v>
      </c>
      <c r="AQ117" s="1602"/>
      <c r="AR117" s="1595" t="s">
        <v>1498</v>
      </c>
      <c r="AS117" s="2056" t="s">
        <v>1500</v>
      </c>
      <c r="AT117" s="2055" t="s">
        <v>1502</v>
      </c>
      <c r="AU117" s="2057">
        <v>0.4</v>
      </c>
      <c r="AV117" s="2057">
        <v>0.4</v>
      </c>
      <c r="AW117" s="2057">
        <v>0.4</v>
      </c>
      <c r="AX117" s="2057">
        <v>0.4</v>
      </c>
      <c r="AY117" s="2057">
        <v>0.4</v>
      </c>
      <c r="AZ117" s="2057">
        <v>0.4</v>
      </c>
      <c r="BA117" s="2057">
        <v>0.4</v>
      </c>
      <c r="BB117" s="2057">
        <v>0.4</v>
      </c>
      <c r="BC117" s="2057">
        <v>0.4</v>
      </c>
      <c r="BD117" s="2057">
        <v>0.4</v>
      </c>
      <c r="BE117" s="2058"/>
      <c r="BF117" s="2057"/>
      <c r="BG117" s="2057"/>
      <c r="BH117"/>
      <c r="BI117" s="1595" t="s">
        <v>1498</v>
      </c>
      <c r="BJ117" s="2056" t="s">
        <v>1500</v>
      </c>
      <c r="BK117" s="2055" t="s">
        <v>1502</v>
      </c>
      <c r="BL117" s="2057">
        <v>0.4</v>
      </c>
      <c r="BM117" s="2057">
        <v>0.4</v>
      </c>
      <c r="BN117" s="2057">
        <v>0.4</v>
      </c>
      <c r="BO117" s="2057">
        <v>0.4</v>
      </c>
      <c r="BP117" s="2057">
        <v>0.4</v>
      </c>
      <c r="BQ117" s="2057">
        <v>0.4</v>
      </c>
      <c r="BR117" s="2057">
        <v>0.4</v>
      </c>
      <c r="BS117" s="2057">
        <v>0.4</v>
      </c>
      <c r="BT117" s="2057">
        <v>0.4</v>
      </c>
      <c r="BU117" s="2057">
        <v>0.4</v>
      </c>
      <c r="BV117" s="2058"/>
      <c r="BW117" s="2057"/>
      <c r="BX117" s="2057"/>
      <c r="BY117"/>
    </row>
    <row r="118" spans="1:77" s="1603" customFormat="1" ht="13.5" customHeight="1">
      <c r="A118"/>
      <c r="B118" s="1671">
        <f t="shared" si="116"/>
        <v>1</v>
      </c>
      <c r="C118" s="1639" t="str">
        <f t="shared" si="117"/>
        <v>建物外皮の熱負荷抑制</v>
      </c>
      <c r="D118" s="2059" t="e">
        <f>IF(I$117=0,0,G118/I$117)</f>
        <v>#VALUE!</v>
      </c>
      <c r="E118" s="1741" t="e">
        <f>IF(J$117=0,0,H118/J$117)</f>
        <v>#DIV/0!</v>
      </c>
      <c r="F118"/>
      <c r="G118" s="1741" t="e">
        <f t="shared" si="118"/>
        <v>#VALUE!</v>
      </c>
      <c r="H118" s="1741" t="e">
        <f t="shared" si="118"/>
        <v>#DIV/0!</v>
      </c>
      <c r="I118" s="1741"/>
      <c r="J118" s="1741"/>
      <c r="K118" s="1607" t="e">
        <f>IF(スコア表示!X118=0,0,1)</f>
        <v>#VALUE!</v>
      </c>
      <c r="L118" s="1607">
        <f>IF(スコア表示!AB118=0,0,1)</f>
        <v>0</v>
      </c>
      <c r="M118"/>
      <c r="N118" s="1705" t="e">
        <f>IF(P$117=0,0,R118/P$117)</f>
        <v>#DIV/0!</v>
      </c>
      <c r="O118" s="1705" t="e">
        <f>IF(Q$117=0,0,S118/Q$117)</f>
        <v>#DIV/0!</v>
      </c>
      <c r="P118" s="1607"/>
      <c r="Q118" s="1607"/>
      <c r="R118" s="1607" t="e">
        <f>IF(スコア入力!R118="EB",重み_対象外!D118,U118)</f>
        <v>#DIV/0!</v>
      </c>
      <c r="S118" s="1607" t="e">
        <f>IF(スコア入力!Y118="EB",重み_対象外!E118,V118)</f>
        <v>#DIV/0!</v>
      </c>
      <c r="T118" s="1558"/>
      <c r="U118" s="1708" t="e">
        <f>X118</f>
        <v>#DIV/0!</v>
      </c>
      <c r="V118" s="1708" t="e">
        <f>Y118</f>
        <v>#DIV/0!</v>
      </c>
      <c r="W118" s="1558"/>
      <c r="X118" s="1607" t="e">
        <f t="shared" si="73"/>
        <v>#DIV/0!</v>
      </c>
      <c r="Y118" s="1607" t="e">
        <f t="shared" si="74"/>
        <v>#DIV/0!</v>
      </c>
      <c r="Z118" s="1640"/>
      <c r="AA118" s="1672">
        <f t="shared" si="122"/>
        <v>1</v>
      </c>
      <c r="AB118" s="1595">
        <v>1</v>
      </c>
      <c r="AC118" s="1778" t="s">
        <v>1771</v>
      </c>
      <c r="AD118" s="1763">
        <f t="shared" si="94"/>
        <v>0.2</v>
      </c>
      <c r="AE118" s="1763">
        <f t="shared" si="95"/>
        <v>0.2</v>
      </c>
      <c r="AF118" s="1763">
        <f t="shared" si="96"/>
        <v>0.2</v>
      </c>
      <c r="AG118" s="1763">
        <f t="shared" si="97"/>
        <v>0.2</v>
      </c>
      <c r="AH118" s="1763">
        <f t="shared" si="98"/>
        <v>0.2</v>
      </c>
      <c r="AI118" s="1763">
        <f t="shared" si="99"/>
        <v>0.2</v>
      </c>
      <c r="AJ118" s="1763">
        <f t="shared" si="100"/>
        <v>0.2</v>
      </c>
      <c r="AK118" s="1755">
        <f t="shared" si="101"/>
        <v>0.2</v>
      </c>
      <c r="AL118" s="1763">
        <f t="shared" si="102"/>
        <v>0</v>
      </c>
      <c r="AM118" s="1763">
        <f t="shared" si="102"/>
        <v>0.2</v>
      </c>
      <c r="AN118" s="1756">
        <f t="shared" si="107"/>
        <v>0</v>
      </c>
      <c r="AO118" s="1754">
        <f t="shared" si="108"/>
        <v>0</v>
      </c>
      <c r="AP118" s="1754">
        <f t="shared" si="109"/>
        <v>0</v>
      </c>
      <c r="AQ118" s="1610"/>
      <c r="AR118" s="1671">
        <v>1</v>
      </c>
      <c r="AS118" s="1595">
        <v>1</v>
      </c>
      <c r="AT118" s="1778" t="s">
        <v>1771</v>
      </c>
      <c r="AU118" s="2076">
        <v>0.2</v>
      </c>
      <c r="AV118" s="2076">
        <v>0.2</v>
      </c>
      <c r="AW118" s="2076">
        <v>0.2</v>
      </c>
      <c r="AX118" s="2076">
        <v>0.2</v>
      </c>
      <c r="AY118" s="2076">
        <v>0.2</v>
      </c>
      <c r="AZ118" s="2076">
        <v>0.2</v>
      </c>
      <c r="BA118" s="2076">
        <v>0.2</v>
      </c>
      <c r="BB118" s="2076">
        <v>0.2</v>
      </c>
      <c r="BC118" s="2076"/>
      <c r="BD118" s="2076">
        <v>0.2</v>
      </c>
      <c r="BE118" s="2060"/>
      <c r="BF118" s="1709"/>
      <c r="BG118" s="1709"/>
      <c r="BH118"/>
      <c r="BI118" s="1671">
        <v>1</v>
      </c>
      <c r="BJ118" s="1595">
        <v>1</v>
      </c>
      <c r="BK118" s="1778" t="s">
        <v>1771</v>
      </c>
      <c r="BL118" s="2076">
        <v>0.2</v>
      </c>
      <c r="BM118" s="2076">
        <v>0.2</v>
      </c>
      <c r="BN118" s="2076">
        <v>0.2</v>
      </c>
      <c r="BO118" s="2076">
        <v>0.2</v>
      </c>
      <c r="BP118" s="2076">
        <v>0.2</v>
      </c>
      <c r="BQ118" s="2076">
        <v>0.2</v>
      </c>
      <c r="BR118" s="2076">
        <v>0.2</v>
      </c>
      <c r="BS118" s="2076">
        <v>0.2</v>
      </c>
      <c r="BT118" s="2076"/>
      <c r="BU118" s="2076">
        <v>0.2</v>
      </c>
      <c r="BV118" s="2060"/>
      <c r="BW118" s="1709"/>
      <c r="BX118" s="1709"/>
      <c r="BY118"/>
    </row>
    <row r="119" spans="1:77" s="1603" customFormat="1" ht="13.5" customHeight="1">
      <c r="A119"/>
      <c r="B119" s="1639">
        <f t="shared" si="116"/>
        <v>2</v>
      </c>
      <c r="C119" s="1639" t="str">
        <f t="shared" si="117"/>
        <v>自然エネルギー利用</v>
      </c>
      <c r="D119" s="2059" t="e">
        <f>IF(I$117=0,0,G119/I$117)</f>
        <v>#VALUE!</v>
      </c>
      <c r="E119" s="1741" t="e">
        <f>IF(J$117=0,0,H119/J$117)</f>
        <v>#DIV/0!</v>
      </c>
      <c r="F119"/>
      <c r="G119" s="1741" t="e">
        <f>K119*N119</f>
        <v>#DIV/0!</v>
      </c>
      <c r="H119" s="1741" t="e">
        <f t="shared" ref="H119" si="124">L119*O119</f>
        <v>#DIV/0!</v>
      </c>
      <c r="I119" s="1722" t="e">
        <f>SUM(G120:G121)</f>
        <v>#DIV/0!</v>
      </c>
      <c r="J119" s="1722" t="e">
        <f>SUM(H120:H121)</f>
        <v>#DIV/0!</v>
      </c>
      <c r="K119" s="1614" t="e">
        <f>IF(スコア表示!X119=0,0,1)</f>
        <v>#DIV/0!</v>
      </c>
      <c r="L119" s="1614" t="e">
        <f>IF(スコア表示!AB119=0,0,1)</f>
        <v>#DIV/0!</v>
      </c>
      <c r="M119"/>
      <c r="N119" s="1705" t="e">
        <f>IF(P$117=0,0,R119/P$117)</f>
        <v>#DIV/0!</v>
      </c>
      <c r="O119" s="1705" t="e">
        <f>IF(Q$117=0,0,S119/Q$117)</f>
        <v>#DIV/0!</v>
      </c>
      <c r="P119" s="1722" t="e">
        <f>SUM(R120:R121)</f>
        <v>#DIV/0!</v>
      </c>
      <c r="Q119" s="1722" t="e">
        <f>SUM(S120:S121)</f>
        <v>#DIV/0!</v>
      </c>
      <c r="R119" s="1607" t="e">
        <f>IF(スコア入力!R119="EB",重み_対象外!D119,U119)</f>
        <v>#DIV/0!</v>
      </c>
      <c r="S119" s="1607" t="e">
        <f>IF(スコア入力!Y119="EB",重み_対象外!E119,V119)</f>
        <v>#DIV/0!</v>
      </c>
      <c r="T119" s="1558"/>
      <c r="U119" s="1605" t="e">
        <f>SUM(U120:U123)</f>
        <v>#DIV/0!</v>
      </c>
      <c r="V119" s="1605" t="e">
        <f>SUM(V120:V123)</f>
        <v>#DIV/0!</v>
      </c>
      <c r="W119" s="1558"/>
      <c r="X119" s="1607" t="e">
        <f>SUMPRODUCT($AD$7:$AM$7,AD119:AM119)</f>
        <v>#DIV/0!</v>
      </c>
      <c r="Y119" s="1777" t="e">
        <f t="shared" ref="Y119:Y121" si="125">(AN$7*AN119)+(AO$7*AO119)+(AP$7*AP119)</f>
        <v>#DIV/0!</v>
      </c>
      <c r="Z119" s="1640"/>
      <c r="AA119" s="1604">
        <f t="shared" si="122"/>
        <v>2</v>
      </c>
      <c r="AB119" s="1595">
        <v>2</v>
      </c>
      <c r="AC119" s="1778" t="s">
        <v>1772</v>
      </c>
      <c r="AD119" s="1763">
        <f t="shared" si="94"/>
        <v>0.1</v>
      </c>
      <c r="AE119" s="1763">
        <f t="shared" si="95"/>
        <v>0.1</v>
      </c>
      <c r="AF119" s="1763">
        <f t="shared" si="96"/>
        <v>0.1</v>
      </c>
      <c r="AG119" s="1763">
        <f t="shared" si="97"/>
        <v>0.1</v>
      </c>
      <c r="AH119" s="1763">
        <f t="shared" si="98"/>
        <v>0.1</v>
      </c>
      <c r="AI119" s="1763">
        <f t="shared" si="99"/>
        <v>0.1</v>
      </c>
      <c r="AJ119" s="1763">
        <f t="shared" si="100"/>
        <v>0.1</v>
      </c>
      <c r="AK119" s="1755">
        <f t="shared" si="101"/>
        <v>0.1</v>
      </c>
      <c r="AL119" s="1763">
        <f t="shared" si="102"/>
        <v>0.125</v>
      </c>
      <c r="AM119" s="1763">
        <f t="shared" si="102"/>
        <v>0.1</v>
      </c>
      <c r="AN119" s="1756">
        <f t="shared" si="107"/>
        <v>0</v>
      </c>
      <c r="AO119" s="1754">
        <f t="shared" si="108"/>
        <v>0</v>
      </c>
      <c r="AP119" s="1754">
        <f t="shared" si="109"/>
        <v>0</v>
      </c>
      <c r="AQ119" s="1610"/>
      <c r="AR119" s="1639">
        <v>2</v>
      </c>
      <c r="AS119" s="1595">
        <v>2</v>
      </c>
      <c r="AT119" s="1778" t="s">
        <v>1772</v>
      </c>
      <c r="AU119" s="2076">
        <v>0.1</v>
      </c>
      <c r="AV119" s="2076">
        <v>0.1</v>
      </c>
      <c r="AW119" s="2076">
        <v>0.1</v>
      </c>
      <c r="AX119" s="2076">
        <v>0.1</v>
      </c>
      <c r="AY119" s="2076">
        <v>0.1</v>
      </c>
      <c r="AZ119" s="2076">
        <v>0.1</v>
      </c>
      <c r="BA119" s="2076">
        <v>0.1</v>
      </c>
      <c r="BB119" s="2076">
        <v>0.1</v>
      </c>
      <c r="BC119" s="2343">
        <v>0.125</v>
      </c>
      <c r="BD119" s="2076">
        <v>0.1</v>
      </c>
      <c r="BE119" s="2060"/>
      <c r="BF119" s="1709"/>
      <c r="BG119" s="1709"/>
      <c r="BH119"/>
      <c r="BI119" s="1639">
        <v>2</v>
      </c>
      <c r="BJ119" s="1595">
        <v>2</v>
      </c>
      <c r="BK119" s="1778" t="s">
        <v>1772</v>
      </c>
      <c r="BL119" s="2076">
        <v>0.1</v>
      </c>
      <c r="BM119" s="2076">
        <v>0.1</v>
      </c>
      <c r="BN119" s="2076">
        <v>0.1</v>
      </c>
      <c r="BO119" s="2076">
        <v>0.1</v>
      </c>
      <c r="BP119" s="2076">
        <v>0.1</v>
      </c>
      <c r="BQ119" s="2076">
        <v>0.1</v>
      </c>
      <c r="BR119" s="2076">
        <v>0.1</v>
      </c>
      <c r="BS119" s="2076">
        <v>0.1</v>
      </c>
      <c r="BT119" s="2343">
        <v>0.125</v>
      </c>
      <c r="BU119" s="2076">
        <v>0.1</v>
      </c>
      <c r="BV119" s="2060"/>
      <c r="BW119" s="1709"/>
      <c r="BX119" s="1709"/>
      <c r="BY119"/>
    </row>
    <row r="120" spans="1:77" s="1603" customFormat="1" ht="13.5" customHeight="1">
      <c r="A120"/>
      <c r="B120" s="1639" t="str">
        <f t="shared" si="116"/>
        <v>2a</v>
      </c>
      <c r="C120" s="1639" t="str">
        <f t="shared" si="117"/>
        <v>小中学校・集合住宅</v>
      </c>
      <c r="D120" s="2059" t="e">
        <f>IF(I$124=0,0,G120/I$124)</f>
        <v>#DIV/0!</v>
      </c>
      <c r="E120" s="1741" t="e">
        <f>IF(J$124=0,0,H120/J$124)</f>
        <v>#DIV/0!</v>
      </c>
      <c r="F120"/>
      <c r="G120" s="1741" t="e">
        <f t="shared" ref="G120:G121" si="126">K120*N120</f>
        <v>#DIV/0!</v>
      </c>
      <c r="H120" s="1741" t="e">
        <f>L120*O120</f>
        <v>#DIV/0!</v>
      </c>
      <c r="I120" s="1741"/>
      <c r="J120" s="1741"/>
      <c r="K120" s="1607">
        <f>IF(スコア表示!X120=0,0,1)</f>
        <v>1</v>
      </c>
      <c r="L120" s="1607">
        <f>IF(スコア表示!AB120=0,0,1)</f>
        <v>0</v>
      </c>
      <c r="M120"/>
      <c r="N120" s="1705" t="e">
        <f>IF(P$119=0,0,R120/P$119)</f>
        <v>#DIV/0!</v>
      </c>
      <c r="O120" s="1705" t="e">
        <f>IF(Q$119=0,0,S120/Q$119)</f>
        <v>#DIV/0!</v>
      </c>
      <c r="P120" s="1607"/>
      <c r="Q120" s="1607"/>
      <c r="R120" s="1607" t="e">
        <f>IF(スコア入力!R120="EB",重み_対象外!D120,U120)</f>
        <v>#DIV/0!</v>
      </c>
      <c r="S120" s="1607" t="e">
        <f>IF(スコア入力!Y120="EB",重み_対象外!E120,V120)</f>
        <v>#DIV/0!</v>
      </c>
      <c r="T120" s="1558"/>
      <c r="U120" s="1612" t="e">
        <f>X119*X120</f>
        <v>#DIV/0!</v>
      </c>
      <c r="V120" s="1612" t="e">
        <f>Y119*Y120</f>
        <v>#DIV/0!</v>
      </c>
      <c r="W120" s="1558"/>
      <c r="X120" s="1607" t="e">
        <f>SUMPRODUCT($AD$7:$AM$7,AD120:AM120)</f>
        <v>#DIV/0!</v>
      </c>
      <c r="Y120" s="1607" t="e">
        <f>(AN$7*AN120)+(AO$7*AO120)+(AP$7*AP120)</f>
        <v>#DIV/0!</v>
      </c>
      <c r="Z120" s="1640"/>
      <c r="AA120" s="1645" t="s">
        <v>1791</v>
      </c>
      <c r="AB120" s="1595" t="s">
        <v>1794</v>
      </c>
      <c r="AC120" s="1778" t="s">
        <v>1383</v>
      </c>
      <c r="AD120" s="1734"/>
      <c r="AE120" s="1734"/>
      <c r="AF120" s="1734"/>
      <c r="AG120" s="1734"/>
      <c r="AH120" s="1734"/>
      <c r="AI120" s="1734"/>
      <c r="AJ120" s="1734">
        <v>1</v>
      </c>
      <c r="AK120" s="1734"/>
      <c r="AL120" s="1734"/>
      <c r="AM120" s="1734">
        <v>1</v>
      </c>
      <c r="AN120" s="1756">
        <f t="shared" si="107"/>
        <v>0</v>
      </c>
      <c r="AO120" s="1754">
        <f t="shared" si="108"/>
        <v>0</v>
      </c>
      <c r="AP120" s="1754">
        <f t="shared" si="109"/>
        <v>0</v>
      </c>
      <c r="AQ120" s="1610"/>
      <c r="AR120" s="1645" t="s">
        <v>1791</v>
      </c>
      <c r="AS120" s="1595" t="s">
        <v>1794</v>
      </c>
      <c r="AT120" s="1778" t="s">
        <v>1383</v>
      </c>
      <c r="AU120" s="1734"/>
      <c r="AV120" s="1734"/>
      <c r="AW120" s="1734"/>
      <c r="AX120" s="1734"/>
      <c r="AY120" s="1734"/>
      <c r="AZ120" s="1734"/>
      <c r="BA120" s="1734">
        <v>1</v>
      </c>
      <c r="BB120" s="1734"/>
      <c r="BC120" s="1734"/>
      <c r="BD120" s="1734">
        <v>1</v>
      </c>
      <c r="BE120" s="2060"/>
      <c r="BF120" s="1709"/>
      <c r="BG120" s="1709"/>
      <c r="BH120"/>
      <c r="BI120" s="1645" t="s">
        <v>1791</v>
      </c>
      <c r="BJ120" s="1595" t="s">
        <v>1794</v>
      </c>
      <c r="BK120" s="1778" t="s">
        <v>1383</v>
      </c>
      <c r="BL120" s="1734"/>
      <c r="BM120" s="1734"/>
      <c r="BN120" s="1734"/>
      <c r="BO120" s="1734"/>
      <c r="BP120" s="1734"/>
      <c r="BQ120" s="1734"/>
      <c r="BR120" s="1734">
        <v>1</v>
      </c>
      <c r="BS120" s="1734"/>
      <c r="BT120" s="1734"/>
      <c r="BU120" s="1734">
        <v>1</v>
      </c>
      <c r="BV120" s="2060"/>
      <c r="BW120" s="1709"/>
      <c r="BX120" s="1709"/>
      <c r="BY120"/>
    </row>
    <row r="121" spans="1:77" s="1603" customFormat="1" ht="13.5" customHeight="1">
      <c r="A121"/>
      <c r="B121" s="1639" t="str">
        <f t="shared" si="116"/>
        <v>2b</v>
      </c>
      <c r="C121" s="1639" t="str">
        <f t="shared" si="117"/>
        <v>上記以外</v>
      </c>
      <c r="D121" s="2059" t="e">
        <f>IF(I$124=0,0,G121/I$124)</f>
        <v>#DIV/0!</v>
      </c>
      <c r="E121" s="1741" t="e">
        <f>IF(J$124=0,0,H121/J$124)</f>
        <v>#DIV/0!</v>
      </c>
      <c r="F121"/>
      <c r="G121" s="1741" t="e">
        <f t="shared" si="126"/>
        <v>#DIV/0!</v>
      </c>
      <c r="H121" s="1741" t="e">
        <f>L121*O121</f>
        <v>#DIV/0!</v>
      </c>
      <c r="I121" s="1741"/>
      <c r="J121" s="1741"/>
      <c r="K121" s="1607">
        <f>IF(スコア表示!X121=0,0,1)</f>
        <v>1</v>
      </c>
      <c r="L121" s="1607">
        <f>IF(スコア表示!AB121=0,0,1)</f>
        <v>0</v>
      </c>
      <c r="M121"/>
      <c r="N121" s="1705" t="e">
        <f>IF(P$119=0,0,R121/P$119)</f>
        <v>#DIV/0!</v>
      </c>
      <c r="O121" s="1705" t="e">
        <f>IF(Q$119=0,0,S121/Q$119)</f>
        <v>#DIV/0!</v>
      </c>
      <c r="P121" s="1607"/>
      <c r="Q121" s="1607"/>
      <c r="R121" s="1607" t="e">
        <f>IF(スコア入力!R121="EB",重み_対象外!D121,U121)</f>
        <v>#DIV/0!</v>
      </c>
      <c r="S121" s="1607" t="e">
        <f>IF(スコア入力!Y121="EB",重み_対象外!E121,V121)</f>
        <v>#DIV/0!</v>
      </c>
      <c r="T121" s="1558"/>
      <c r="U121" s="1612" t="e">
        <f>X119*X121</f>
        <v>#DIV/0!</v>
      </c>
      <c r="V121" s="1612" t="e">
        <f>Y119*Y121</f>
        <v>#DIV/0!</v>
      </c>
      <c r="W121" s="1558"/>
      <c r="X121" s="1607" t="e">
        <f t="shared" ref="X121" si="127">SUMPRODUCT($AD$7:$AM$7,AD121:AM121)</f>
        <v>#DIV/0!</v>
      </c>
      <c r="Y121" s="1607" t="e">
        <f t="shared" si="125"/>
        <v>#DIV/0!</v>
      </c>
      <c r="Z121" s="1640"/>
      <c r="AA121" s="1645" t="s">
        <v>1793</v>
      </c>
      <c r="AB121" s="1595" t="s">
        <v>1795</v>
      </c>
      <c r="AC121" s="1778" t="s">
        <v>1384</v>
      </c>
      <c r="AD121" s="1734">
        <v>1</v>
      </c>
      <c r="AE121" s="1734">
        <v>1</v>
      </c>
      <c r="AF121" s="1734">
        <v>1</v>
      </c>
      <c r="AG121" s="1734">
        <v>1</v>
      </c>
      <c r="AH121" s="1734">
        <v>1</v>
      </c>
      <c r="AI121" s="1734">
        <v>1</v>
      </c>
      <c r="AJ121" s="1734"/>
      <c r="AK121" s="1734">
        <v>1</v>
      </c>
      <c r="AL121" s="1734">
        <v>1</v>
      </c>
      <c r="AM121" s="1734"/>
      <c r="AN121" s="1756">
        <f t="shared" si="107"/>
        <v>0</v>
      </c>
      <c r="AO121" s="1754">
        <f t="shared" si="108"/>
        <v>0</v>
      </c>
      <c r="AP121" s="1754">
        <f t="shared" si="109"/>
        <v>0</v>
      </c>
      <c r="AQ121" s="1610"/>
      <c r="AR121" s="1645" t="s">
        <v>1793</v>
      </c>
      <c r="AS121" s="1595" t="s">
        <v>1795</v>
      </c>
      <c r="AT121" s="1778" t="s">
        <v>1384</v>
      </c>
      <c r="AU121" s="1734">
        <v>1</v>
      </c>
      <c r="AV121" s="1734">
        <v>1</v>
      </c>
      <c r="AW121" s="1734">
        <v>1</v>
      </c>
      <c r="AX121" s="1734">
        <v>1</v>
      </c>
      <c r="AY121" s="1734">
        <v>1</v>
      </c>
      <c r="AZ121" s="1734">
        <v>1</v>
      </c>
      <c r="BA121" s="1734"/>
      <c r="BB121" s="1734">
        <v>1</v>
      </c>
      <c r="BC121" s="1734">
        <v>1</v>
      </c>
      <c r="BD121" s="1734"/>
      <c r="BE121" s="2060"/>
      <c r="BF121" s="1709"/>
      <c r="BG121" s="1709"/>
      <c r="BH121"/>
      <c r="BI121" s="1645" t="s">
        <v>1793</v>
      </c>
      <c r="BJ121" s="1595" t="s">
        <v>1795</v>
      </c>
      <c r="BK121" s="1778" t="s">
        <v>1384</v>
      </c>
      <c r="BL121" s="1734">
        <v>1</v>
      </c>
      <c r="BM121" s="1734">
        <v>1</v>
      </c>
      <c r="BN121" s="1734">
        <v>1</v>
      </c>
      <c r="BO121" s="1734">
        <v>1</v>
      </c>
      <c r="BP121" s="1734">
        <v>1</v>
      </c>
      <c r="BQ121" s="1734">
        <v>1</v>
      </c>
      <c r="BR121" s="1734"/>
      <c r="BS121" s="1734">
        <v>1</v>
      </c>
      <c r="BT121" s="1734">
        <v>1</v>
      </c>
      <c r="BU121" s="1734"/>
      <c r="BV121" s="2060"/>
      <c r="BW121" s="1709"/>
      <c r="BX121" s="1709"/>
      <c r="BY121"/>
    </row>
    <row r="122" spans="1:77" ht="13.5" hidden="1" customHeight="1">
      <c r="B122" s="1645" t="str">
        <f t="shared" si="116"/>
        <v>2.1</v>
      </c>
      <c r="C122" s="1645" t="str">
        <f t="shared" si="117"/>
        <v>自然エネルギーの直接利用</v>
      </c>
      <c r="D122" s="1714">
        <f>IF(I$121=0,0,G122/I$121)</f>
        <v>0</v>
      </c>
      <c r="E122" s="1714">
        <f>IF(J$121=0,0,H122/J$121)</f>
        <v>0</v>
      </c>
      <c r="G122" s="1689">
        <f t="shared" si="118"/>
        <v>0</v>
      </c>
      <c r="H122" s="1689">
        <f t="shared" si="118"/>
        <v>0</v>
      </c>
      <c r="I122" s="1689"/>
      <c r="J122" s="1689"/>
      <c r="K122" s="1614">
        <f>IF(スコア表示!X122=0,0,1)</f>
        <v>0</v>
      </c>
      <c r="L122" s="1614">
        <f>IF(スコア表示!AB122=0,0,1)</f>
        <v>0</v>
      </c>
      <c r="N122" s="1711">
        <f>IF(P$121=0,0,R122/P$121)</f>
        <v>0</v>
      </c>
      <c r="O122" s="1711">
        <f>IF(Q$121=0,0,S122/Q$121)</f>
        <v>0</v>
      </c>
      <c r="P122" s="1614"/>
      <c r="Q122" s="1614"/>
      <c r="R122" s="1614">
        <f>IF(スコア入力!R122="EB",重み_対象外!D122,U122)</f>
        <v>0</v>
      </c>
      <c r="S122" s="1614">
        <f>IF(スコア入力!Y122="EB",重み_対象外!E122,V122)</f>
        <v>0</v>
      </c>
      <c r="T122" s="1558"/>
      <c r="U122" s="1612"/>
      <c r="V122" s="1612"/>
      <c r="W122" s="1558"/>
      <c r="X122" s="1614" t="e">
        <f t="shared" si="73"/>
        <v>#DIV/0!</v>
      </c>
      <c r="Y122" s="1614" t="e">
        <f t="shared" si="74"/>
        <v>#DIV/0!</v>
      </c>
      <c r="Z122" s="1642"/>
      <c r="AA122" s="1611" t="str">
        <f t="shared" si="122"/>
        <v>2.1</v>
      </c>
      <c r="AB122" s="1595" t="s">
        <v>1773</v>
      </c>
      <c r="AC122" s="1735" t="s">
        <v>746</v>
      </c>
      <c r="AD122" s="1757"/>
      <c r="AE122" s="1757"/>
      <c r="AF122" s="1757"/>
      <c r="AG122" s="1757"/>
      <c r="AH122" s="1757"/>
      <c r="AI122" s="1757"/>
      <c r="AJ122" s="1757"/>
      <c r="AK122" s="1757"/>
      <c r="AL122" s="1757"/>
      <c r="AM122" s="1757"/>
      <c r="AN122" s="1771">
        <f t="shared" si="107"/>
        <v>0</v>
      </c>
      <c r="AO122" s="1770">
        <f t="shared" si="108"/>
        <v>0</v>
      </c>
      <c r="AP122" s="1770">
        <f t="shared" si="109"/>
        <v>0</v>
      </c>
      <c r="AQ122" s="1676"/>
      <c r="AR122" s="1645" t="s">
        <v>1505</v>
      </c>
      <c r="AS122" s="1595" t="s">
        <v>1773</v>
      </c>
      <c r="AT122" s="1735" t="s">
        <v>746</v>
      </c>
      <c r="AU122" s="1621"/>
      <c r="AV122" s="1621"/>
      <c r="AW122" s="1621"/>
      <c r="AX122" s="1621"/>
      <c r="AY122" s="1621"/>
      <c r="AZ122" s="1621"/>
      <c r="BA122" s="1621"/>
      <c r="BB122" s="1621"/>
      <c r="BC122" s="1621"/>
      <c r="BD122" s="1621"/>
      <c r="BE122" s="2085"/>
      <c r="BF122" s="2084"/>
      <c r="BG122" s="2084"/>
      <c r="BI122" s="1645" t="s">
        <v>1505</v>
      </c>
      <c r="BJ122" s="1595" t="s">
        <v>1773</v>
      </c>
      <c r="BK122" s="1735"/>
      <c r="BL122" s="1621"/>
      <c r="BM122" s="1621"/>
      <c r="BN122" s="1621"/>
      <c r="BO122" s="1621"/>
      <c r="BP122" s="1621"/>
      <c r="BQ122" s="1621"/>
      <c r="BR122" s="1621"/>
      <c r="BS122" s="1621"/>
      <c r="BT122" s="1621"/>
      <c r="BU122" s="1621"/>
      <c r="BV122" s="2085"/>
      <c r="BW122" s="2084"/>
      <c r="BX122" s="2084"/>
    </row>
    <row r="123" spans="1:77" ht="13.5" hidden="1" customHeight="1">
      <c r="B123" s="1645" t="str">
        <f t="shared" si="116"/>
        <v>2.2</v>
      </c>
      <c r="C123" s="1645" t="str">
        <f t="shared" si="117"/>
        <v>自然エネルギーの変換利用</v>
      </c>
      <c r="D123" s="1714">
        <f>IF(I$121=0,0,G123/I$121)</f>
        <v>0</v>
      </c>
      <c r="E123" s="1714">
        <f>IF(J$121=0,0,H123/J$121)</f>
        <v>0</v>
      </c>
      <c r="G123" s="1689">
        <f t="shared" si="118"/>
        <v>0</v>
      </c>
      <c r="H123" s="1689">
        <f t="shared" si="118"/>
        <v>0</v>
      </c>
      <c r="I123" s="1689"/>
      <c r="J123" s="1689"/>
      <c r="K123" s="1614">
        <f>IF(スコア表示!X123=0,0,1)</f>
        <v>0</v>
      </c>
      <c r="L123" s="1614">
        <f>IF(スコア表示!AB123=0,0,1)</f>
        <v>0</v>
      </c>
      <c r="N123" s="1711">
        <f>IF(P$121=0,0,R123/P$121)</f>
        <v>0</v>
      </c>
      <c r="O123" s="1711">
        <f>IF(Q$121=0,0,S123/Q$121)</f>
        <v>0</v>
      </c>
      <c r="P123" s="1614"/>
      <c r="Q123" s="1614"/>
      <c r="R123" s="1614">
        <f>IF(スコア入力!R123="EB",重み_対象外!D123,U123)</f>
        <v>0</v>
      </c>
      <c r="S123" s="1614">
        <f>IF(スコア入力!Y123="EB",重み_対象外!E123,V123)</f>
        <v>0</v>
      </c>
      <c r="T123" s="1558"/>
      <c r="U123" s="1612"/>
      <c r="V123" s="1612"/>
      <c r="W123" s="1558"/>
      <c r="X123" s="1614" t="e">
        <f t="shared" si="73"/>
        <v>#DIV/0!</v>
      </c>
      <c r="Y123" s="1614" t="e">
        <f t="shared" si="74"/>
        <v>#DIV/0!</v>
      </c>
      <c r="Z123" s="1643"/>
      <c r="AA123" s="1611" t="str">
        <f t="shared" si="122"/>
        <v>2.2</v>
      </c>
      <c r="AB123" s="1595" t="s">
        <v>1774</v>
      </c>
      <c r="AC123" s="1735" t="s">
        <v>747</v>
      </c>
      <c r="AD123" s="1757">
        <f t="shared" si="94"/>
        <v>0</v>
      </c>
      <c r="AE123" s="1757">
        <f t="shared" si="95"/>
        <v>0</v>
      </c>
      <c r="AF123" s="1757">
        <f t="shared" si="96"/>
        <v>0</v>
      </c>
      <c r="AG123" s="1757">
        <f t="shared" si="97"/>
        <v>0</v>
      </c>
      <c r="AH123" s="1757">
        <f t="shared" si="98"/>
        <v>0</v>
      </c>
      <c r="AI123" s="1757">
        <f t="shared" si="99"/>
        <v>0</v>
      </c>
      <c r="AJ123" s="1757">
        <f t="shared" si="100"/>
        <v>0</v>
      </c>
      <c r="AK123" s="1759">
        <f t="shared" si="101"/>
        <v>0</v>
      </c>
      <c r="AL123" s="1757">
        <f t="shared" si="102"/>
        <v>0</v>
      </c>
      <c r="AM123" s="1757">
        <f t="shared" si="102"/>
        <v>0</v>
      </c>
      <c r="AN123" s="1771">
        <f t="shared" si="107"/>
        <v>0</v>
      </c>
      <c r="AO123" s="1770">
        <f t="shared" si="108"/>
        <v>0</v>
      </c>
      <c r="AP123" s="1770">
        <f t="shared" si="109"/>
        <v>0</v>
      </c>
      <c r="AQ123" s="1676"/>
      <c r="AR123" s="1645" t="s">
        <v>1507</v>
      </c>
      <c r="AS123" s="1595" t="s">
        <v>1774</v>
      </c>
      <c r="AT123" s="1735" t="s">
        <v>747</v>
      </c>
      <c r="AU123" s="1621"/>
      <c r="AV123" s="1621"/>
      <c r="AW123" s="1621"/>
      <c r="AX123" s="1621"/>
      <c r="AY123" s="1621"/>
      <c r="AZ123" s="1621"/>
      <c r="BA123" s="1621"/>
      <c r="BB123" s="1621"/>
      <c r="BC123" s="1621"/>
      <c r="BD123" s="1621"/>
      <c r="BE123" s="2085"/>
      <c r="BF123" s="2084"/>
      <c r="BG123" s="2084"/>
      <c r="BI123" s="1645" t="s">
        <v>1507</v>
      </c>
      <c r="BJ123" s="1595" t="s">
        <v>1774</v>
      </c>
      <c r="BK123" s="1735"/>
      <c r="BL123" s="1621"/>
      <c r="BM123" s="1621"/>
      <c r="BN123" s="1621"/>
      <c r="BO123" s="1621"/>
      <c r="BP123" s="1621"/>
      <c r="BQ123" s="1621"/>
      <c r="BR123" s="1621"/>
      <c r="BS123" s="1621"/>
      <c r="BT123" s="1621"/>
      <c r="BU123" s="1621"/>
      <c r="BV123" s="2085"/>
      <c r="BW123" s="2084"/>
      <c r="BX123" s="2084"/>
    </row>
    <row r="124" spans="1:77" s="1603" customFormat="1" ht="13.5" customHeight="1">
      <c r="A124"/>
      <c r="B124" s="1639">
        <f t="shared" si="116"/>
        <v>3</v>
      </c>
      <c r="C124" s="1639" t="str">
        <f t="shared" si="117"/>
        <v>設備システムの高効率化</v>
      </c>
      <c r="D124" s="2059" t="e">
        <f>IF(I$117=0,0,G124/I$117)</f>
        <v>#VALUE!</v>
      </c>
      <c r="E124" s="1741" t="e">
        <f>IF(J$117=0,0,H124/J$117)</f>
        <v>#DIV/0!</v>
      </c>
      <c r="F124"/>
      <c r="G124" s="1741" t="e">
        <f t="shared" si="118"/>
        <v>#DIV/0!</v>
      </c>
      <c r="H124" s="1741" t="e">
        <f t="shared" si="118"/>
        <v>#DIV/0!</v>
      </c>
      <c r="I124" s="1722" t="e">
        <f>SUM(G125:G126)</f>
        <v>#DIV/0!</v>
      </c>
      <c r="J124" s="1722" t="e">
        <f>SUM(H125:H126)</f>
        <v>#DIV/0!</v>
      </c>
      <c r="K124" s="1614" t="e">
        <f>IF(スコア表示!X124=0,0,1)</f>
        <v>#DIV/0!</v>
      </c>
      <c r="L124" s="1614" t="e">
        <f>IF(スコア表示!AB124=0,0,1)</f>
        <v>#DIV/0!</v>
      </c>
      <c r="M124"/>
      <c r="N124" s="1705" t="e">
        <f>IF(P$117=0,0,R124/P$117)</f>
        <v>#DIV/0!</v>
      </c>
      <c r="O124" s="1705" t="e">
        <f>IF(Q$117=0,0,S124/Q$117)</f>
        <v>#DIV/0!</v>
      </c>
      <c r="P124" s="1722" t="e">
        <f>SUM(R125:R131)</f>
        <v>#DIV/0!</v>
      </c>
      <c r="Q124" s="1722" t="e">
        <f>SUM(S125:S131)</f>
        <v>#DIV/0!</v>
      </c>
      <c r="R124" s="1607" t="e">
        <f>IF(スコア入力!R124="EB",重み_対象外!D124,U124)</f>
        <v>#DIV/0!</v>
      </c>
      <c r="S124" s="1607" t="e">
        <f>IF(スコア入力!Y124="EB",重み_対象外!E124,V124)</f>
        <v>#DIV/0!</v>
      </c>
      <c r="T124" s="1558"/>
      <c r="U124" s="1605" t="e">
        <f>SUM(U125:U132)</f>
        <v>#DIV/0!</v>
      </c>
      <c r="V124" s="1605" t="e">
        <f>SUM(V125:V132)</f>
        <v>#DIV/0!</v>
      </c>
      <c r="W124" s="1558"/>
      <c r="X124" s="1607" t="e">
        <f t="shared" si="73"/>
        <v>#DIV/0!</v>
      </c>
      <c r="Y124" s="1777" t="e">
        <f t="shared" si="74"/>
        <v>#DIV/0!</v>
      </c>
      <c r="Z124" s="1640"/>
      <c r="AA124" s="1604">
        <f t="shared" si="122"/>
        <v>3</v>
      </c>
      <c r="AB124" s="1595">
        <v>3</v>
      </c>
      <c r="AC124" s="1778" t="s">
        <v>1775</v>
      </c>
      <c r="AD124" s="1763">
        <f t="shared" si="94"/>
        <v>0.5</v>
      </c>
      <c r="AE124" s="1763">
        <f t="shared" si="95"/>
        <v>0.5</v>
      </c>
      <c r="AF124" s="1763">
        <f t="shared" si="96"/>
        <v>0.5</v>
      </c>
      <c r="AG124" s="1763">
        <f t="shared" si="97"/>
        <v>0.5</v>
      </c>
      <c r="AH124" s="1763">
        <f t="shared" si="98"/>
        <v>0.5</v>
      </c>
      <c r="AI124" s="1763">
        <f t="shared" si="99"/>
        <v>0.5</v>
      </c>
      <c r="AJ124" s="1763">
        <f t="shared" si="100"/>
        <v>0.5</v>
      </c>
      <c r="AK124" s="1755">
        <f t="shared" si="101"/>
        <v>0.5</v>
      </c>
      <c r="AL124" s="1763">
        <f t="shared" si="102"/>
        <v>0.625</v>
      </c>
      <c r="AM124" s="1763">
        <f t="shared" si="102"/>
        <v>0.5</v>
      </c>
      <c r="AN124" s="1756">
        <f t="shared" si="107"/>
        <v>0</v>
      </c>
      <c r="AO124" s="1754">
        <f t="shared" si="108"/>
        <v>0</v>
      </c>
      <c r="AP124" s="1754">
        <f t="shared" si="109"/>
        <v>0</v>
      </c>
      <c r="AQ124" s="1610"/>
      <c r="AR124" s="1639">
        <v>3</v>
      </c>
      <c r="AS124" s="1595">
        <v>3</v>
      </c>
      <c r="AT124" s="1778" t="s">
        <v>1775</v>
      </c>
      <c r="AU124" s="2076">
        <v>0.5</v>
      </c>
      <c r="AV124" s="2076">
        <v>0.5</v>
      </c>
      <c r="AW124" s="2076">
        <v>0.5</v>
      </c>
      <c r="AX124" s="2076">
        <v>0.5</v>
      </c>
      <c r="AY124" s="2076">
        <v>0.5</v>
      </c>
      <c r="AZ124" s="2076">
        <v>0.5</v>
      </c>
      <c r="BA124" s="2076">
        <v>0.5</v>
      </c>
      <c r="BB124" s="2076">
        <v>0.5</v>
      </c>
      <c r="BC124" s="2343">
        <v>0.625</v>
      </c>
      <c r="BD124" s="2076">
        <v>0.5</v>
      </c>
      <c r="BE124" s="2060"/>
      <c r="BF124" s="1709"/>
      <c r="BG124" s="1709"/>
      <c r="BH124"/>
      <c r="BI124" s="1639">
        <v>3</v>
      </c>
      <c r="BJ124" s="1595">
        <v>3</v>
      </c>
      <c r="BK124" s="1778" t="s">
        <v>1775</v>
      </c>
      <c r="BL124" s="2076">
        <v>0.5</v>
      </c>
      <c r="BM124" s="2076">
        <v>0.5</v>
      </c>
      <c r="BN124" s="2076">
        <v>0.5</v>
      </c>
      <c r="BO124" s="2076">
        <v>0.5</v>
      </c>
      <c r="BP124" s="2076">
        <v>0.5</v>
      </c>
      <c r="BQ124" s="2076">
        <v>0.5</v>
      </c>
      <c r="BR124" s="2076">
        <v>0.5</v>
      </c>
      <c r="BS124" s="2076">
        <v>0.5</v>
      </c>
      <c r="BT124" s="2343">
        <v>0.625</v>
      </c>
      <c r="BU124" s="2076">
        <v>0.5</v>
      </c>
      <c r="BV124" s="2060"/>
      <c r="BW124" s="1709"/>
      <c r="BX124" s="1709"/>
      <c r="BY124"/>
    </row>
    <row r="125" spans="1:77" s="1603" customFormat="1" ht="13.5" customHeight="1">
      <c r="A125"/>
      <c r="B125" s="1639" t="str">
        <f t="shared" si="116"/>
        <v>3a.3b</v>
      </c>
      <c r="C125" s="1731" t="str">
        <f t="shared" si="117"/>
        <v>非住宅部分</v>
      </c>
      <c r="D125" s="2059" t="e">
        <f>IF(I$124=0,0,G125/I$124)</f>
        <v>#DIV/0!</v>
      </c>
      <c r="E125" s="1741" t="e">
        <f>IF(J$124=0,0,H125/J$124)</f>
        <v>#DIV/0!</v>
      </c>
      <c r="F125"/>
      <c r="G125" s="1741" t="e">
        <f t="shared" si="118"/>
        <v>#DIV/0!</v>
      </c>
      <c r="H125" s="1741" t="e">
        <f t="shared" si="118"/>
        <v>#DIV/0!</v>
      </c>
      <c r="I125" s="1741"/>
      <c r="J125" s="1741"/>
      <c r="K125" s="1607">
        <f>IF(スコア表示!X125=0,0,1)</f>
        <v>0</v>
      </c>
      <c r="L125" s="1607">
        <f>IF(スコア表示!AB125=0,0,1)</f>
        <v>0</v>
      </c>
      <c r="M125"/>
      <c r="N125" s="1705" t="e">
        <f>IF(P$124=0,0,R125/P$124)</f>
        <v>#DIV/0!</v>
      </c>
      <c r="O125" s="1705" t="e">
        <f>IF(Q$124=0,0,S125/Q$124)</f>
        <v>#DIV/0!</v>
      </c>
      <c r="P125" s="1607"/>
      <c r="Q125" s="1607"/>
      <c r="R125" s="1607" t="e">
        <f>IF(スコア入力!R125="EB",重み_対象外!D125,U125)</f>
        <v>#DIV/0!</v>
      </c>
      <c r="S125" s="1607" t="e">
        <f>IF(スコア入力!Y125="EB",重み_対象外!E125,V125)</f>
        <v>#DIV/0!</v>
      </c>
      <c r="T125" s="1558"/>
      <c r="U125" s="1612" t="e">
        <f>X124*X125</f>
        <v>#DIV/0!</v>
      </c>
      <c r="V125" s="1612" t="e">
        <f>Y124*Y125</f>
        <v>#DIV/0!</v>
      </c>
      <c r="W125" s="1558"/>
      <c r="X125" s="1607" t="e">
        <f t="shared" si="73"/>
        <v>#DIV/0!</v>
      </c>
      <c r="Y125" s="1607" t="e">
        <f t="shared" si="74"/>
        <v>#DIV/0!</v>
      </c>
      <c r="Z125" s="1640"/>
      <c r="AA125" s="1604" t="str">
        <f t="shared" si="122"/>
        <v>3a.3b</v>
      </c>
      <c r="AB125" s="1595" t="s">
        <v>1776</v>
      </c>
      <c r="AC125" s="1778" t="s">
        <v>1777</v>
      </c>
      <c r="AD125" s="1763">
        <f t="shared" si="94"/>
        <v>1</v>
      </c>
      <c r="AE125" s="1763">
        <f t="shared" si="95"/>
        <v>1</v>
      </c>
      <c r="AF125" s="1763">
        <f t="shared" si="96"/>
        <v>1</v>
      </c>
      <c r="AG125" s="1763">
        <f t="shared" si="97"/>
        <v>1</v>
      </c>
      <c r="AH125" s="1763">
        <f t="shared" si="98"/>
        <v>1</v>
      </c>
      <c r="AI125" s="1763">
        <f t="shared" si="99"/>
        <v>1</v>
      </c>
      <c r="AJ125" s="1763">
        <f t="shared" si="100"/>
        <v>0</v>
      </c>
      <c r="AK125" s="1763">
        <f t="shared" si="101"/>
        <v>1</v>
      </c>
      <c r="AL125" s="1763">
        <f t="shared" si="102"/>
        <v>1</v>
      </c>
      <c r="AM125" s="1763">
        <f t="shared" si="102"/>
        <v>1</v>
      </c>
      <c r="AN125" s="1756">
        <f t="shared" si="107"/>
        <v>0</v>
      </c>
      <c r="AO125" s="1754">
        <f t="shared" si="108"/>
        <v>0</v>
      </c>
      <c r="AP125" s="1754">
        <f t="shared" si="109"/>
        <v>0</v>
      </c>
      <c r="AQ125" s="1610"/>
      <c r="AR125" s="1639" t="s">
        <v>1508</v>
      </c>
      <c r="AS125" s="1595" t="s">
        <v>1776</v>
      </c>
      <c r="AT125" s="1778" t="s">
        <v>1777</v>
      </c>
      <c r="AU125" s="1734">
        <v>1</v>
      </c>
      <c r="AV125" s="1734">
        <v>1</v>
      </c>
      <c r="AW125" s="1734">
        <v>1</v>
      </c>
      <c r="AX125" s="1734">
        <v>1</v>
      </c>
      <c r="AY125" s="1734">
        <v>1</v>
      </c>
      <c r="AZ125" s="1734">
        <v>1</v>
      </c>
      <c r="BA125" s="1734"/>
      <c r="BB125" s="1734">
        <v>1</v>
      </c>
      <c r="BC125" s="1734">
        <v>1</v>
      </c>
      <c r="BD125" s="1734">
        <v>1</v>
      </c>
      <c r="BE125" s="2060"/>
      <c r="BF125" s="1709"/>
      <c r="BG125" s="1709"/>
      <c r="BH125"/>
      <c r="BI125" s="1639" t="s">
        <v>1508</v>
      </c>
      <c r="BJ125" s="1595" t="s">
        <v>1776</v>
      </c>
      <c r="BK125" s="1778" t="s">
        <v>1777</v>
      </c>
      <c r="BL125" s="1734">
        <v>1</v>
      </c>
      <c r="BM125" s="1734">
        <v>1</v>
      </c>
      <c r="BN125" s="1734">
        <v>1</v>
      </c>
      <c r="BO125" s="1734">
        <v>1</v>
      </c>
      <c r="BP125" s="1734">
        <v>1</v>
      </c>
      <c r="BQ125" s="1734">
        <v>1</v>
      </c>
      <c r="BR125" s="1734"/>
      <c r="BS125" s="1734">
        <v>1</v>
      </c>
      <c r="BT125" s="1734">
        <v>1</v>
      </c>
      <c r="BU125" s="1734">
        <v>1</v>
      </c>
      <c r="BV125" s="2060"/>
      <c r="BW125" s="1709"/>
      <c r="BX125" s="1709"/>
      <c r="BY125"/>
    </row>
    <row r="126" spans="1:77" s="1603" customFormat="1" ht="13.5" customHeight="1">
      <c r="A126"/>
      <c r="B126" s="1639" t="str">
        <f t="shared" si="116"/>
        <v>3b.c</v>
      </c>
      <c r="C126" s="1731" t="str">
        <f t="shared" si="117"/>
        <v>集合住宅の評価</v>
      </c>
      <c r="D126" s="2059" t="e">
        <f>IF(I$124=0,0,G126/I$124)</f>
        <v>#DIV/0!</v>
      </c>
      <c r="E126" s="1741" t="e">
        <f>IF(J$124=0,0,H126/J$124)</f>
        <v>#DIV/0!</v>
      </c>
      <c r="F126"/>
      <c r="G126" s="1741" t="e">
        <f t="shared" si="118"/>
        <v>#DIV/0!</v>
      </c>
      <c r="H126" s="1741" t="e">
        <f t="shared" si="118"/>
        <v>#DIV/0!</v>
      </c>
      <c r="I126" s="1741">
        <f>G127+G128+G129+G130+G131</f>
        <v>0</v>
      </c>
      <c r="J126" s="1741">
        <f>H127+H128+H129+H130+H131</f>
        <v>0</v>
      </c>
      <c r="K126" s="1607">
        <f>IF(スコア表示!X126=0,0,1)</f>
        <v>0</v>
      </c>
      <c r="L126" s="1607">
        <f>IF(スコア表示!AB126=0,0,1)</f>
        <v>0</v>
      </c>
      <c r="M126"/>
      <c r="N126" s="1705" t="e">
        <f>IF(P$124=0,0,R126/P$124)</f>
        <v>#DIV/0!</v>
      </c>
      <c r="O126" s="1705" t="e">
        <f>IF(Q$124=0,0,S126/Q$124)</f>
        <v>#DIV/0!</v>
      </c>
      <c r="P126" s="1607"/>
      <c r="Q126" s="1607"/>
      <c r="R126" s="1607" t="e">
        <f>IF(スコア入力!R126="EB",重み_対象外!D126,U126)</f>
        <v>#DIV/0!</v>
      </c>
      <c r="S126" s="1607" t="e">
        <f>IF(スコア入力!Y126="EB",重み_対象外!E126,V126)</f>
        <v>#DIV/0!</v>
      </c>
      <c r="T126" s="1558"/>
      <c r="U126" s="1612" t="e">
        <f>X124*X126</f>
        <v>#DIV/0!</v>
      </c>
      <c r="V126" s="1612" t="e">
        <f>Y124*Y126</f>
        <v>#DIV/0!</v>
      </c>
      <c r="W126" s="1558"/>
      <c r="X126" s="1607" t="e">
        <f t="shared" si="73"/>
        <v>#DIV/0!</v>
      </c>
      <c r="Y126" s="1607" t="e">
        <f t="shared" si="74"/>
        <v>#DIV/0!</v>
      </c>
      <c r="Z126" s="1640"/>
      <c r="AA126" s="1604" t="str">
        <f t="shared" si="122"/>
        <v>3b.c</v>
      </c>
      <c r="AB126" s="1595" t="s">
        <v>1778</v>
      </c>
      <c r="AC126" s="1778" t="s">
        <v>1779</v>
      </c>
      <c r="AD126" s="1763">
        <f t="shared" si="94"/>
        <v>0</v>
      </c>
      <c r="AE126" s="1763">
        <f t="shared" si="95"/>
        <v>0</v>
      </c>
      <c r="AF126" s="1763">
        <f t="shared" si="96"/>
        <v>0</v>
      </c>
      <c r="AG126" s="1763">
        <f t="shared" si="97"/>
        <v>0</v>
      </c>
      <c r="AH126" s="1763">
        <f t="shared" si="98"/>
        <v>0</v>
      </c>
      <c r="AI126" s="1763">
        <f t="shared" si="99"/>
        <v>0</v>
      </c>
      <c r="AJ126" s="1763">
        <f t="shared" si="100"/>
        <v>1</v>
      </c>
      <c r="AK126" s="1763">
        <f t="shared" si="101"/>
        <v>0</v>
      </c>
      <c r="AL126" s="1763">
        <f t="shared" si="102"/>
        <v>0</v>
      </c>
      <c r="AM126" s="1763">
        <f t="shared" si="102"/>
        <v>0</v>
      </c>
      <c r="AN126" s="1756">
        <f t="shared" si="107"/>
        <v>0</v>
      </c>
      <c r="AO126" s="1754">
        <f t="shared" si="108"/>
        <v>0</v>
      </c>
      <c r="AP126" s="1754">
        <f t="shared" si="109"/>
        <v>0</v>
      </c>
      <c r="AQ126" s="1610"/>
      <c r="AR126" s="1639" t="s">
        <v>1511</v>
      </c>
      <c r="AS126" s="1595" t="s">
        <v>1778</v>
      </c>
      <c r="AT126" s="1778" t="s">
        <v>1779</v>
      </c>
      <c r="AU126" s="1673"/>
      <c r="AV126" s="1673"/>
      <c r="AW126" s="1673"/>
      <c r="AX126" s="1673"/>
      <c r="AY126" s="1673"/>
      <c r="AZ126" s="1673"/>
      <c r="BA126" s="1734">
        <v>1</v>
      </c>
      <c r="BB126" s="1673"/>
      <c r="BC126" s="1673"/>
      <c r="BD126" s="1734"/>
      <c r="BE126" s="2060"/>
      <c r="BF126" s="1709"/>
      <c r="BG126" s="1709"/>
      <c r="BH126"/>
      <c r="BI126" s="1639" t="s">
        <v>1511</v>
      </c>
      <c r="BJ126" s="1595" t="s">
        <v>1778</v>
      </c>
      <c r="BK126" s="1778" t="s">
        <v>1779</v>
      </c>
      <c r="BL126" s="1673"/>
      <c r="BM126" s="1673"/>
      <c r="BN126" s="1673"/>
      <c r="BO126" s="1673"/>
      <c r="BP126" s="1673"/>
      <c r="BQ126" s="1673"/>
      <c r="BR126" s="1734">
        <v>1</v>
      </c>
      <c r="BS126" s="1673"/>
      <c r="BT126" s="1673"/>
      <c r="BU126" s="1734"/>
      <c r="BV126" s="2060"/>
      <c r="BW126" s="1709"/>
      <c r="BX126" s="1709"/>
      <c r="BY126"/>
    </row>
    <row r="127" spans="1:77" ht="13.5" hidden="1" customHeight="1">
      <c r="B127" s="1611">
        <f t="shared" si="116"/>
        <v>3.1</v>
      </c>
      <c r="C127" s="1732" t="str">
        <f t="shared" si="117"/>
        <v>空調設備</v>
      </c>
      <c r="D127" s="1714">
        <f t="shared" ref="D127:E131" si="128">IF(I$126=0,0,G127/I$126)</f>
        <v>0</v>
      </c>
      <c r="E127" s="1689">
        <f t="shared" si="128"/>
        <v>0</v>
      </c>
      <c r="G127" s="1689">
        <f t="shared" si="118"/>
        <v>0</v>
      </c>
      <c r="H127" s="1689">
        <f t="shared" si="118"/>
        <v>0</v>
      </c>
      <c r="I127" s="1689"/>
      <c r="J127" s="1689"/>
      <c r="K127" s="1614">
        <f>IF(スコア表示!X127=0,0,1)</f>
        <v>0</v>
      </c>
      <c r="L127" s="1614">
        <f>IF(スコア表示!AB127=0,0,1)</f>
        <v>0</v>
      </c>
      <c r="N127" s="1711">
        <f t="shared" ref="N127:O131" si="129">IF(P$126=0,0,R127/P$126)</f>
        <v>0</v>
      </c>
      <c r="O127" s="1711">
        <f t="shared" si="129"/>
        <v>0</v>
      </c>
      <c r="P127" s="1614"/>
      <c r="Q127" s="1614"/>
      <c r="R127" s="1614">
        <f>IF(スコア入力!R127="EB",重み_対象外!D127,U127)</f>
        <v>0</v>
      </c>
      <c r="S127" s="1614">
        <f>IF(スコア入力!Y127="EB",重み_対象外!E127,V127)</f>
        <v>0</v>
      </c>
      <c r="T127" s="1558"/>
      <c r="U127" s="1612"/>
      <c r="V127" s="1612"/>
      <c r="W127" s="1558"/>
      <c r="X127" s="1614" t="e">
        <f t="shared" si="73"/>
        <v>#DIV/0!</v>
      </c>
      <c r="Y127" s="1614" t="e">
        <f t="shared" si="74"/>
        <v>#DIV/0!</v>
      </c>
      <c r="Z127" s="1642"/>
      <c r="AA127" s="1611">
        <f t="shared" si="122"/>
        <v>3.1</v>
      </c>
      <c r="AB127" s="1595">
        <v>3.1</v>
      </c>
      <c r="AC127" s="1735" t="s">
        <v>749</v>
      </c>
      <c r="AD127" s="1757">
        <f t="shared" ref="AD127:AD162" si="130">IF($AA$3=1,AU127,BL127)</f>
        <v>0</v>
      </c>
      <c r="AE127" s="1757">
        <f t="shared" ref="AE127:AE162" si="131">IF($AA$3=1,AV127,BM127)</f>
        <v>0</v>
      </c>
      <c r="AF127" s="1757">
        <f t="shared" ref="AF127:AF162" si="132">IF($AA$3=1,AW127,BN127)</f>
        <v>0</v>
      </c>
      <c r="AG127" s="1757">
        <f t="shared" ref="AG127:AG162" si="133">IF($AA$3=1,AX127,BO127)</f>
        <v>0</v>
      </c>
      <c r="AH127" s="1757">
        <f t="shared" ref="AH127:AH162" si="134">IF($AA$3=1,AY127,BP127)</f>
        <v>0</v>
      </c>
      <c r="AI127" s="1757">
        <f t="shared" ref="AI127:AJ162" si="135">IF($AA$3=1,AZ127,BQ127)</f>
        <v>0</v>
      </c>
      <c r="AJ127" s="1757">
        <f t="shared" si="135"/>
        <v>0</v>
      </c>
      <c r="AK127" s="1759">
        <f t="shared" ref="AK127:AK162" si="136">IF($AA$3=1,BB127,BS127)</f>
        <v>0</v>
      </c>
      <c r="AL127" s="1757">
        <f t="shared" ref="AL127:AM162" si="137">IF($AA$3=1,BC127,BT127)</f>
        <v>0</v>
      </c>
      <c r="AM127" s="1757">
        <f t="shared" si="137"/>
        <v>0</v>
      </c>
      <c r="AN127" s="1758">
        <f t="shared" si="107"/>
        <v>0</v>
      </c>
      <c r="AO127" s="1757">
        <f t="shared" si="108"/>
        <v>0</v>
      </c>
      <c r="AP127" s="1757">
        <f t="shared" si="109"/>
        <v>0</v>
      </c>
      <c r="AQ127" s="1618"/>
      <c r="AR127" s="1645">
        <v>3.1</v>
      </c>
      <c r="AS127" s="1595">
        <v>3.1</v>
      </c>
      <c r="AT127" s="1735" t="s">
        <v>749</v>
      </c>
      <c r="AU127" s="1621"/>
      <c r="AV127" s="1621"/>
      <c r="AW127" s="1621"/>
      <c r="AX127" s="1621"/>
      <c r="AY127" s="1621"/>
      <c r="AZ127" s="1621"/>
      <c r="BA127" s="1621"/>
      <c r="BB127" s="1622"/>
      <c r="BC127" s="1621"/>
      <c r="BD127" s="1621"/>
      <c r="BE127" s="1623"/>
      <c r="BF127" s="1621"/>
      <c r="BG127" s="1621"/>
      <c r="BI127" s="1645">
        <v>3.1</v>
      </c>
      <c r="BJ127" s="1595">
        <v>3.1</v>
      </c>
      <c r="BK127" s="1735" t="s">
        <v>749</v>
      </c>
      <c r="BL127" s="1621"/>
      <c r="BM127" s="1621"/>
      <c r="BN127" s="1621"/>
      <c r="BO127" s="1621"/>
      <c r="BP127" s="1621"/>
      <c r="BQ127" s="1621"/>
      <c r="BR127" s="1621"/>
      <c r="BS127" s="1622"/>
      <c r="BT127" s="1621"/>
      <c r="BU127" s="1621"/>
      <c r="BV127" s="1623"/>
      <c r="BW127" s="1621"/>
      <c r="BX127" s="1621"/>
    </row>
    <row r="128" spans="1:77" ht="13.5" hidden="1" customHeight="1">
      <c r="B128" s="1611">
        <f t="shared" si="116"/>
        <v>3.2</v>
      </c>
      <c r="C128" s="1732" t="str">
        <f t="shared" si="117"/>
        <v>換気設備</v>
      </c>
      <c r="D128" s="1714">
        <f t="shared" si="128"/>
        <v>0</v>
      </c>
      <c r="E128" s="1689">
        <f t="shared" si="128"/>
        <v>0</v>
      </c>
      <c r="G128" s="1689">
        <f t="shared" si="118"/>
        <v>0</v>
      </c>
      <c r="H128" s="1689">
        <f t="shared" si="118"/>
        <v>0</v>
      </c>
      <c r="I128" s="1689"/>
      <c r="J128" s="1689"/>
      <c r="K128" s="1614">
        <f>IF(スコア表示!X128=0,0,1)</f>
        <v>0</v>
      </c>
      <c r="L128" s="1614">
        <f>IF(スコア表示!AB128=0,0,1)</f>
        <v>0</v>
      </c>
      <c r="N128" s="1711">
        <f t="shared" si="129"/>
        <v>0</v>
      </c>
      <c r="O128" s="1711">
        <f t="shared" si="129"/>
        <v>0</v>
      </c>
      <c r="P128" s="1614"/>
      <c r="Q128" s="1614"/>
      <c r="R128" s="1614">
        <f>IF(スコア入力!R128="EB",重み_対象外!D128,U128)</f>
        <v>0</v>
      </c>
      <c r="S128" s="1614">
        <f>IF(スコア入力!Y128="EB",重み_対象外!E128,V128)</f>
        <v>0</v>
      </c>
      <c r="T128" s="1558"/>
      <c r="U128" s="1612"/>
      <c r="V128" s="1612"/>
      <c r="W128" s="1558"/>
      <c r="X128" s="1614" t="e">
        <f t="shared" si="73"/>
        <v>#DIV/0!</v>
      </c>
      <c r="Y128" s="1614" t="e">
        <f t="shared" si="74"/>
        <v>#DIV/0!</v>
      </c>
      <c r="Z128" s="1643"/>
      <c r="AA128" s="1611">
        <f t="shared" si="122"/>
        <v>3.2</v>
      </c>
      <c r="AB128" s="1595">
        <v>3.2</v>
      </c>
      <c r="AC128" s="1735" t="s">
        <v>750</v>
      </c>
      <c r="AD128" s="1757">
        <f t="shared" si="130"/>
        <v>0</v>
      </c>
      <c r="AE128" s="1757">
        <f t="shared" si="131"/>
        <v>0</v>
      </c>
      <c r="AF128" s="1757">
        <f t="shared" si="132"/>
        <v>0</v>
      </c>
      <c r="AG128" s="1757">
        <f t="shared" si="133"/>
        <v>0</v>
      </c>
      <c r="AH128" s="1757">
        <f t="shared" si="134"/>
        <v>0</v>
      </c>
      <c r="AI128" s="1757">
        <f t="shared" si="135"/>
        <v>0</v>
      </c>
      <c r="AJ128" s="1757">
        <f>IF($AA$3=1,BA128,BR128)</f>
        <v>0</v>
      </c>
      <c r="AK128" s="1759">
        <f t="shared" si="136"/>
        <v>0</v>
      </c>
      <c r="AL128" s="1757">
        <f t="shared" si="137"/>
        <v>0</v>
      </c>
      <c r="AM128" s="1757">
        <f t="shared" si="137"/>
        <v>0</v>
      </c>
      <c r="AN128" s="1758">
        <f t="shared" si="107"/>
        <v>0</v>
      </c>
      <c r="AO128" s="1757">
        <f t="shared" si="108"/>
        <v>0</v>
      </c>
      <c r="AP128" s="1757">
        <f t="shared" si="109"/>
        <v>0</v>
      </c>
      <c r="AQ128" s="1630"/>
      <c r="AR128" s="1645">
        <v>3.2</v>
      </c>
      <c r="AS128" s="1595">
        <v>3.2</v>
      </c>
      <c r="AT128" s="1735" t="s">
        <v>750</v>
      </c>
      <c r="AU128" s="1621"/>
      <c r="AV128" s="1621"/>
      <c r="AW128" s="1621"/>
      <c r="AX128" s="1621"/>
      <c r="AY128" s="1621"/>
      <c r="AZ128" s="1621"/>
      <c r="BA128" s="1621"/>
      <c r="BB128" s="1622"/>
      <c r="BC128" s="1621"/>
      <c r="BD128" s="1621"/>
      <c r="BE128" s="1623"/>
      <c r="BF128" s="1621"/>
      <c r="BG128" s="1621"/>
      <c r="BI128" s="1645">
        <v>3.2</v>
      </c>
      <c r="BJ128" s="1595">
        <v>3.2</v>
      </c>
      <c r="BK128" s="1735" t="s">
        <v>750</v>
      </c>
      <c r="BL128" s="1621"/>
      <c r="BM128" s="1621"/>
      <c r="BN128" s="1621"/>
      <c r="BO128" s="1621"/>
      <c r="BP128" s="1621"/>
      <c r="BQ128" s="1621"/>
      <c r="BR128" s="1621"/>
      <c r="BS128" s="1622"/>
      <c r="BT128" s="1621"/>
      <c r="BU128" s="1621"/>
      <c r="BV128" s="1623"/>
      <c r="BW128" s="1621"/>
      <c r="BX128" s="1621"/>
    </row>
    <row r="129" spans="1:77" ht="13.5" hidden="1" customHeight="1">
      <c r="B129" s="1611">
        <f t="shared" si="116"/>
        <v>3.3</v>
      </c>
      <c r="C129" s="1732" t="str">
        <f t="shared" si="117"/>
        <v>照明設備</v>
      </c>
      <c r="D129" s="1714">
        <f t="shared" si="128"/>
        <v>0</v>
      </c>
      <c r="E129" s="1689">
        <f t="shared" si="128"/>
        <v>0</v>
      </c>
      <c r="G129" s="1689">
        <f t="shared" si="118"/>
        <v>0</v>
      </c>
      <c r="H129" s="1689">
        <f t="shared" si="118"/>
        <v>0</v>
      </c>
      <c r="I129" s="1689"/>
      <c r="J129" s="1689"/>
      <c r="K129" s="1614">
        <f>IF(スコア表示!X129=0,0,1)</f>
        <v>0</v>
      </c>
      <c r="L129" s="1614">
        <f>IF(スコア表示!AB129=0,0,1)</f>
        <v>0</v>
      </c>
      <c r="N129" s="1711">
        <f t="shared" si="129"/>
        <v>0</v>
      </c>
      <c r="O129" s="1711">
        <f t="shared" si="129"/>
        <v>0</v>
      </c>
      <c r="P129" s="1614"/>
      <c r="Q129" s="1614"/>
      <c r="R129" s="1614">
        <f>IF(スコア入力!R129="EB",重み_対象外!D129,U129)</f>
        <v>0</v>
      </c>
      <c r="S129" s="1614">
        <f>IF(スコア入力!Y129="EB",重み_対象外!E129,V129)</f>
        <v>0</v>
      </c>
      <c r="T129" s="1558"/>
      <c r="U129" s="1612"/>
      <c r="V129" s="1612"/>
      <c r="W129" s="1558"/>
      <c r="X129" s="1614" t="e">
        <f t="shared" si="73"/>
        <v>#DIV/0!</v>
      </c>
      <c r="Y129" s="1614" t="e">
        <f t="shared" si="74"/>
        <v>#DIV/0!</v>
      </c>
      <c r="Z129" s="1642"/>
      <c r="AA129" s="1611">
        <f t="shared" si="122"/>
        <v>3.3</v>
      </c>
      <c r="AB129" s="1595">
        <v>3.3</v>
      </c>
      <c r="AC129" s="1735" t="s">
        <v>751</v>
      </c>
      <c r="AD129" s="1757">
        <f t="shared" si="130"/>
        <v>0</v>
      </c>
      <c r="AE129" s="1757">
        <f t="shared" si="131"/>
        <v>0</v>
      </c>
      <c r="AF129" s="1757">
        <f t="shared" si="132"/>
        <v>0</v>
      </c>
      <c r="AG129" s="1757">
        <f t="shared" si="133"/>
        <v>0</v>
      </c>
      <c r="AH129" s="1757">
        <f t="shared" si="134"/>
        <v>0</v>
      </c>
      <c r="AI129" s="1757">
        <f t="shared" si="135"/>
        <v>0</v>
      </c>
      <c r="AJ129" s="1757">
        <f t="shared" si="135"/>
        <v>0</v>
      </c>
      <c r="AK129" s="1759">
        <f t="shared" si="136"/>
        <v>0</v>
      </c>
      <c r="AL129" s="1757">
        <f t="shared" si="137"/>
        <v>0</v>
      </c>
      <c r="AM129" s="1757">
        <f t="shared" si="137"/>
        <v>0</v>
      </c>
      <c r="AN129" s="1758">
        <f t="shared" si="107"/>
        <v>0</v>
      </c>
      <c r="AO129" s="1757">
        <f t="shared" si="108"/>
        <v>0</v>
      </c>
      <c r="AP129" s="1757">
        <f t="shared" si="109"/>
        <v>0</v>
      </c>
      <c r="AQ129" s="1618"/>
      <c r="AR129" s="1645">
        <v>3.3</v>
      </c>
      <c r="AS129" s="1595">
        <v>3.3</v>
      </c>
      <c r="AT129" s="1735" t="s">
        <v>751</v>
      </c>
      <c r="AU129" s="1621"/>
      <c r="AV129" s="1621"/>
      <c r="AW129" s="1621"/>
      <c r="AX129" s="1621"/>
      <c r="AY129" s="1621"/>
      <c r="AZ129" s="1621"/>
      <c r="BA129" s="1621"/>
      <c r="BB129" s="1622"/>
      <c r="BC129" s="1621"/>
      <c r="BD129" s="1621"/>
      <c r="BE129" s="1623"/>
      <c r="BF129" s="1621"/>
      <c r="BG129" s="1621"/>
      <c r="BI129" s="1645">
        <v>3.3</v>
      </c>
      <c r="BJ129" s="1595">
        <v>3.3</v>
      </c>
      <c r="BK129" s="1735" t="s">
        <v>751</v>
      </c>
      <c r="BL129" s="1621"/>
      <c r="BM129" s="1621"/>
      <c r="BN129" s="1621"/>
      <c r="BO129" s="1621"/>
      <c r="BP129" s="1621"/>
      <c r="BQ129" s="1621"/>
      <c r="BR129" s="1621"/>
      <c r="BS129" s="1622"/>
      <c r="BT129" s="1621"/>
      <c r="BU129" s="1621"/>
      <c r="BV129" s="1623"/>
      <c r="BW129" s="1621"/>
      <c r="BX129" s="1621"/>
    </row>
    <row r="130" spans="1:77" ht="13.5" hidden="1" customHeight="1">
      <c r="B130" s="1674">
        <f t="shared" si="116"/>
        <v>3.4</v>
      </c>
      <c r="C130" s="1732" t="str">
        <f t="shared" si="117"/>
        <v>給湯設備</v>
      </c>
      <c r="D130" s="1714">
        <f t="shared" si="128"/>
        <v>0</v>
      </c>
      <c r="E130" s="1689">
        <f t="shared" si="128"/>
        <v>0</v>
      </c>
      <c r="G130" s="1689">
        <f t="shared" si="118"/>
        <v>0</v>
      </c>
      <c r="H130" s="1689">
        <f t="shared" si="118"/>
        <v>0</v>
      </c>
      <c r="I130" s="1689"/>
      <c r="J130" s="1689"/>
      <c r="K130" s="1614">
        <f>IF(スコア表示!X130=0,0,1)</f>
        <v>0</v>
      </c>
      <c r="L130" s="1614">
        <f>IF(スコア表示!AB130=0,0,1)</f>
        <v>0</v>
      </c>
      <c r="N130" s="1711">
        <f t="shared" si="129"/>
        <v>0</v>
      </c>
      <c r="O130" s="1711">
        <f t="shared" si="129"/>
        <v>0</v>
      </c>
      <c r="P130" s="1614"/>
      <c r="Q130" s="1614"/>
      <c r="R130" s="1614">
        <f>IF(スコア入力!R130="EB",重み_対象外!D130,U130)</f>
        <v>0</v>
      </c>
      <c r="S130" s="1614">
        <f>IF(スコア入力!Y130="EB",重み_対象外!E130,V130)</f>
        <v>0</v>
      </c>
      <c r="T130" s="1558"/>
      <c r="U130" s="1612"/>
      <c r="V130" s="1612"/>
      <c r="W130" s="1558"/>
      <c r="X130" s="1614" t="e">
        <f t="shared" si="73"/>
        <v>#DIV/0!</v>
      </c>
      <c r="Y130" s="1614" t="e">
        <f t="shared" si="74"/>
        <v>#DIV/0!</v>
      </c>
      <c r="Z130" s="1643"/>
      <c r="AA130" s="1674">
        <f t="shared" si="122"/>
        <v>3.4</v>
      </c>
      <c r="AB130" s="1595">
        <v>3.4</v>
      </c>
      <c r="AC130" s="1735" t="s">
        <v>365</v>
      </c>
      <c r="AD130" s="1757">
        <f t="shared" si="130"/>
        <v>0</v>
      </c>
      <c r="AE130" s="1757">
        <f t="shared" si="131"/>
        <v>0</v>
      </c>
      <c r="AF130" s="1757">
        <f t="shared" si="132"/>
        <v>0</v>
      </c>
      <c r="AG130" s="1757">
        <f t="shared" si="133"/>
        <v>0</v>
      </c>
      <c r="AH130" s="1757">
        <f t="shared" si="134"/>
        <v>0</v>
      </c>
      <c r="AI130" s="1757">
        <f t="shared" si="135"/>
        <v>0</v>
      </c>
      <c r="AJ130" s="1757">
        <f t="shared" si="135"/>
        <v>0</v>
      </c>
      <c r="AK130" s="1759">
        <f t="shared" si="136"/>
        <v>0</v>
      </c>
      <c r="AL130" s="1757">
        <f t="shared" si="137"/>
        <v>0</v>
      </c>
      <c r="AM130" s="1757">
        <f t="shared" si="137"/>
        <v>0</v>
      </c>
      <c r="AN130" s="1758">
        <f t="shared" ref="AN130:AN164" si="138">IF($AA$3=1,BE130,BV130)</f>
        <v>0</v>
      </c>
      <c r="AO130" s="1757">
        <f t="shared" ref="AO130:AO164" si="139">IF($AA$3=1,BF130,BW130)</f>
        <v>0</v>
      </c>
      <c r="AP130" s="1757"/>
      <c r="AQ130" s="1630"/>
      <c r="AR130" s="2089">
        <v>3.4</v>
      </c>
      <c r="AS130" s="1595">
        <v>3.4</v>
      </c>
      <c r="AT130" s="1735" t="s">
        <v>365</v>
      </c>
      <c r="AU130" s="1621"/>
      <c r="AV130" s="1621"/>
      <c r="AW130" s="1621"/>
      <c r="AX130" s="1621"/>
      <c r="AY130" s="1621"/>
      <c r="AZ130" s="1621"/>
      <c r="BA130" s="1621"/>
      <c r="BB130" s="1622"/>
      <c r="BC130" s="1621"/>
      <c r="BD130" s="1621"/>
      <c r="BE130" s="1623"/>
      <c r="BF130" s="1621"/>
      <c r="BG130" s="1621"/>
      <c r="BI130" s="2089">
        <v>3.4</v>
      </c>
      <c r="BJ130" s="1595">
        <v>3.4</v>
      </c>
      <c r="BK130" s="1735" t="s">
        <v>365</v>
      </c>
      <c r="BL130" s="1621"/>
      <c r="BM130" s="1621"/>
      <c r="BN130" s="1621"/>
      <c r="BO130" s="1621"/>
      <c r="BP130" s="1621"/>
      <c r="BQ130" s="1621"/>
      <c r="BR130" s="1621"/>
      <c r="BS130" s="1622"/>
      <c r="BT130" s="1621"/>
      <c r="BU130" s="1621"/>
      <c r="BV130" s="1623"/>
      <c r="BW130" s="1621"/>
      <c r="BX130" s="1621"/>
    </row>
    <row r="131" spans="1:77" ht="13.5" hidden="1" customHeight="1">
      <c r="B131" s="1674">
        <f t="shared" si="116"/>
        <v>3.5</v>
      </c>
      <c r="C131" s="1732" t="str">
        <f t="shared" si="117"/>
        <v>昇降機設備</v>
      </c>
      <c r="D131" s="1714">
        <f t="shared" si="128"/>
        <v>0</v>
      </c>
      <c r="E131" s="1689">
        <f t="shared" si="128"/>
        <v>0</v>
      </c>
      <c r="G131" s="1689">
        <f t="shared" si="118"/>
        <v>0</v>
      </c>
      <c r="H131" s="1689">
        <f t="shared" si="118"/>
        <v>0</v>
      </c>
      <c r="I131" s="1689"/>
      <c r="J131" s="1689"/>
      <c r="K131" s="1614">
        <f>IF(スコア表示!X131=0,0,1)</f>
        <v>0</v>
      </c>
      <c r="L131" s="1614">
        <f>IF(スコア表示!AB131=0,0,1)</f>
        <v>0</v>
      </c>
      <c r="N131" s="1711">
        <f t="shared" si="129"/>
        <v>0</v>
      </c>
      <c r="O131" s="1711">
        <f t="shared" si="129"/>
        <v>0</v>
      </c>
      <c r="P131" s="1614"/>
      <c r="Q131" s="1614"/>
      <c r="R131" s="1614">
        <f>IF(スコア入力!R131="EB",重み_対象外!D131,U131)</f>
        <v>0</v>
      </c>
      <c r="S131" s="1614">
        <f>IF(スコア入力!Y131="EB",重み_対象外!E131,V131)</f>
        <v>0</v>
      </c>
      <c r="T131" s="1558"/>
      <c r="U131" s="1612"/>
      <c r="V131" s="1612"/>
      <c r="W131" s="1558"/>
      <c r="X131" s="1614" t="e">
        <f t="shared" si="73"/>
        <v>#DIV/0!</v>
      </c>
      <c r="Y131" s="1614" t="e">
        <f t="shared" si="74"/>
        <v>#DIV/0!</v>
      </c>
      <c r="Z131" s="1643"/>
      <c r="AA131" s="1674">
        <f t="shared" si="122"/>
        <v>3.5</v>
      </c>
      <c r="AB131" s="1595">
        <v>3.5</v>
      </c>
      <c r="AC131" s="1735" t="s">
        <v>752</v>
      </c>
      <c r="AD131" s="1757">
        <f t="shared" si="130"/>
        <v>0</v>
      </c>
      <c r="AE131" s="1757">
        <f t="shared" si="131"/>
        <v>0</v>
      </c>
      <c r="AF131" s="1757">
        <f t="shared" si="132"/>
        <v>0</v>
      </c>
      <c r="AG131" s="1757">
        <f t="shared" si="133"/>
        <v>0</v>
      </c>
      <c r="AH131" s="1757">
        <f t="shared" si="134"/>
        <v>0</v>
      </c>
      <c r="AI131" s="1757">
        <f t="shared" si="135"/>
        <v>0</v>
      </c>
      <c r="AJ131" s="1757">
        <f t="shared" si="135"/>
        <v>0</v>
      </c>
      <c r="AK131" s="1759">
        <f t="shared" si="136"/>
        <v>0</v>
      </c>
      <c r="AL131" s="1757">
        <f t="shared" si="137"/>
        <v>0</v>
      </c>
      <c r="AM131" s="1757">
        <f t="shared" si="137"/>
        <v>0</v>
      </c>
      <c r="AN131" s="1758">
        <f t="shared" si="138"/>
        <v>0</v>
      </c>
      <c r="AO131" s="1757">
        <f t="shared" si="139"/>
        <v>0</v>
      </c>
      <c r="AP131" s="1757">
        <f t="shared" ref="AP131:AP164" si="140">IF($AA$3=1,BG131,BX131)</f>
        <v>0</v>
      </c>
      <c r="AQ131" s="1630"/>
      <c r="AR131" s="2089">
        <v>3.5</v>
      </c>
      <c r="AS131" s="1595">
        <v>3.5</v>
      </c>
      <c r="AT131" s="1735" t="s">
        <v>752</v>
      </c>
      <c r="AU131" s="1621"/>
      <c r="AV131" s="1621"/>
      <c r="AW131" s="1621"/>
      <c r="AX131" s="1621"/>
      <c r="AY131" s="1621"/>
      <c r="AZ131" s="1621"/>
      <c r="BA131" s="1621"/>
      <c r="BB131" s="1622"/>
      <c r="BC131" s="1621"/>
      <c r="BD131" s="1621"/>
      <c r="BE131" s="1623"/>
      <c r="BF131" s="1621"/>
      <c r="BG131" s="1621"/>
      <c r="BI131" s="2089">
        <v>3.5</v>
      </c>
      <c r="BJ131" s="1595">
        <v>3.5</v>
      </c>
      <c r="BK131" s="1735" t="s">
        <v>752</v>
      </c>
      <c r="BL131" s="1621"/>
      <c r="BM131" s="1621"/>
      <c r="BN131" s="1621"/>
      <c r="BO131" s="1621"/>
      <c r="BP131" s="1621"/>
      <c r="BQ131" s="1621"/>
      <c r="BR131" s="1621"/>
      <c r="BS131" s="1622"/>
      <c r="BT131" s="1621"/>
      <c r="BU131" s="1621"/>
      <c r="BV131" s="1623"/>
      <c r="BW131" s="1621"/>
      <c r="BX131" s="1621"/>
    </row>
    <row r="132" spans="1:77" ht="13.5" customHeight="1">
      <c r="B132" s="1674">
        <f t="shared" si="116"/>
        <v>0</v>
      </c>
      <c r="C132" s="1733" t="str">
        <f t="shared" si="117"/>
        <v>実績値を用いた総合評価</v>
      </c>
      <c r="D132" s="2059" t="e">
        <f>IF(I$124=0,0,G132/I$124)</f>
        <v>#DIV/0!</v>
      </c>
      <c r="E132" s="1741"/>
      <c r="F132" s="2421"/>
      <c r="G132" s="1741" t="e">
        <f>K132*N132</f>
        <v>#DIV/0!</v>
      </c>
      <c r="H132" s="1741" t="e">
        <f>L132*O132</f>
        <v>#DIV/0!</v>
      </c>
      <c r="I132" s="1741"/>
      <c r="J132" s="1741"/>
      <c r="K132" s="1614">
        <f>IF(スコア表示!X132=0,0,1)</f>
        <v>0</v>
      </c>
      <c r="L132" s="1614">
        <f>IF(スコア表示!AB132=0,0,1)</f>
        <v>0</v>
      </c>
      <c r="N132" s="1705" t="e">
        <f>IF(P$124=0,0,R132/P$124)</f>
        <v>#DIV/0!</v>
      </c>
      <c r="O132" s="1705" t="e">
        <f>IF(Q$124=0,0,S132/Q$124)</f>
        <v>#DIV/0!</v>
      </c>
      <c r="P132" s="1614"/>
      <c r="Q132" s="1614"/>
      <c r="R132" s="1614">
        <f>IF(スコア入力!R132="EB",重み_対象外!D132,U132)</f>
        <v>0</v>
      </c>
      <c r="S132" s="1614">
        <f>IF(スコア入力!Y132="EB",重み_対象外!E132,V132)</f>
        <v>0</v>
      </c>
      <c r="T132" s="1558"/>
      <c r="U132" s="1612"/>
      <c r="V132" s="1612"/>
      <c r="W132" s="1558"/>
      <c r="X132" s="1614" t="e">
        <f t="shared" si="73"/>
        <v>#DIV/0!</v>
      </c>
      <c r="Y132" s="1614" t="e">
        <f t="shared" si="74"/>
        <v>#DIV/0!</v>
      </c>
      <c r="Z132" s="1643"/>
      <c r="AA132" s="1674">
        <f t="shared" si="122"/>
        <v>0</v>
      </c>
      <c r="AB132" s="1595">
        <v>3</v>
      </c>
      <c r="AC132" s="1778" t="s">
        <v>1652</v>
      </c>
      <c r="AD132" s="1757">
        <f t="shared" si="130"/>
        <v>0</v>
      </c>
      <c r="AE132" s="1757">
        <f t="shared" si="131"/>
        <v>0</v>
      </c>
      <c r="AF132" s="1757">
        <f t="shared" si="132"/>
        <v>0</v>
      </c>
      <c r="AG132" s="1757">
        <f t="shared" si="133"/>
        <v>0</v>
      </c>
      <c r="AH132" s="1757">
        <f t="shared" si="134"/>
        <v>0</v>
      </c>
      <c r="AI132" s="1757">
        <f t="shared" si="135"/>
        <v>0</v>
      </c>
      <c r="AJ132" s="1757">
        <f t="shared" ref="AJ132:AJ180" si="141">IF($AA$3=1,BA132,BR132)</f>
        <v>0</v>
      </c>
      <c r="AK132" s="1759">
        <f t="shared" si="136"/>
        <v>0</v>
      </c>
      <c r="AL132" s="1757">
        <f t="shared" si="137"/>
        <v>0</v>
      </c>
      <c r="AM132" s="1757">
        <f t="shared" si="137"/>
        <v>0</v>
      </c>
      <c r="AN132" s="1758">
        <f t="shared" si="138"/>
        <v>0</v>
      </c>
      <c r="AO132" s="1757">
        <f t="shared" si="139"/>
        <v>0</v>
      </c>
      <c r="AP132" s="1757">
        <f t="shared" si="140"/>
        <v>0</v>
      </c>
      <c r="AQ132" s="1630"/>
      <c r="AR132" s="2089"/>
      <c r="AS132" s="1595">
        <v>3</v>
      </c>
      <c r="AT132" s="1778" t="s">
        <v>1652</v>
      </c>
      <c r="AU132" s="1621"/>
      <c r="AV132" s="1621"/>
      <c r="AW132" s="1621"/>
      <c r="AX132" s="1621"/>
      <c r="AY132" s="1621"/>
      <c r="AZ132" s="1621"/>
      <c r="BA132" s="1621"/>
      <c r="BB132" s="1622"/>
      <c r="BC132" s="1621"/>
      <c r="BD132" s="1621"/>
      <c r="BE132" s="1623"/>
      <c r="BF132" s="1621"/>
      <c r="BG132" s="1621"/>
      <c r="BI132" s="2089"/>
      <c r="BJ132" s="1595">
        <v>3</v>
      </c>
      <c r="BK132" s="1778" t="s">
        <v>1652</v>
      </c>
      <c r="BL132" s="1621"/>
      <c r="BM132" s="1621"/>
      <c r="BN132" s="1621"/>
      <c r="BO132" s="1621"/>
      <c r="BP132" s="1621"/>
      <c r="BQ132" s="1621"/>
      <c r="BR132" s="1621"/>
      <c r="BS132" s="1622"/>
      <c r="BT132" s="1621"/>
      <c r="BU132" s="1621"/>
      <c r="BV132" s="1623"/>
      <c r="BW132" s="1621"/>
      <c r="BX132" s="1621"/>
    </row>
    <row r="133" spans="1:77" s="1603" customFormat="1" ht="13.5" customHeight="1">
      <c r="A133"/>
      <c r="B133" s="1671">
        <f t="shared" si="116"/>
        <v>4</v>
      </c>
      <c r="C133" s="1639" t="str">
        <f t="shared" si="117"/>
        <v>効率的運用</v>
      </c>
      <c r="D133" s="2059" t="e">
        <f>IF(I$117=0,0,G133/I$117)</f>
        <v>#VALUE!</v>
      </c>
      <c r="E133" s="1741" t="e">
        <f>IF(J$117=0,0,H133/J$117)</f>
        <v>#DIV/0!</v>
      </c>
      <c r="F133"/>
      <c r="G133" s="1741" t="e">
        <f>K133*N133</f>
        <v>#DIV/0!</v>
      </c>
      <c r="H133" s="1741" t="e">
        <f t="shared" si="118"/>
        <v>#DIV/0!</v>
      </c>
      <c r="I133" s="1741" t="e">
        <f>G134+G137</f>
        <v>#DIV/0!</v>
      </c>
      <c r="J133" s="1741" t="e">
        <f>H134+H137</f>
        <v>#DIV/0!</v>
      </c>
      <c r="K133" s="1607" t="e">
        <f>IF(スコア表示!X133=0,0,1)</f>
        <v>#DIV/0!</v>
      </c>
      <c r="L133" s="1607" t="e">
        <f>IF(スコア表示!AB133=0,0,1)</f>
        <v>#DIV/0!</v>
      </c>
      <c r="M133"/>
      <c r="N133" s="1705" t="e">
        <f>IF(P$117=0,0,R133/P$117)</f>
        <v>#DIV/0!</v>
      </c>
      <c r="O133" s="1705" t="e">
        <f>IF(Q$117=0,0,S133/Q$117)</f>
        <v>#DIV/0!</v>
      </c>
      <c r="P133" s="1607" t="e">
        <f>SUM(R134:R139)</f>
        <v>#DIV/0!</v>
      </c>
      <c r="Q133" s="1607" t="e">
        <f>SUM(S134:S139)</f>
        <v>#DIV/0!</v>
      </c>
      <c r="R133" s="1607" t="e">
        <f>IF(スコア入力!R133="EB",重み_対象外!D133,U133)</f>
        <v>#DIV/0!</v>
      </c>
      <c r="S133" s="1607" t="e">
        <f>IF(スコア入力!Y133="EB",重み_対象外!E133,V133)</f>
        <v>#DIV/0!</v>
      </c>
      <c r="T133" s="1558"/>
      <c r="U133" s="1605" t="e">
        <f>SUM(U134:U139)</f>
        <v>#DIV/0!</v>
      </c>
      <c r="V133" s="1605" t="e">
        <f>SUM(V134:V139)</f>
        <v>#DIV/0!</v>
      </c>
      <c r="W133" s="1558"/>
      <c r="X133" s="1607" t="e">
        <f t="shared" si="73"/>
        <v>#DIV/0!</v>
      </c>
      <c r="Y133" s="1607" t="e">
        <f t="shared" si="74"/>
        <v>#DIV/0!</v>
      </c>
      <c r="Z133" s="1640"/>
      <c r="AA133" s="1672">
        <f t="shared" si="122"/>
        <v>4</v>
      </c>
      <c r="AB133" s="1595">
        <v>4</v>
      </c>
      <c r="AC133" s="1778" t="s">
        <v>1780</v>
      </c>
      <c r="AD133" s="1763">
        <f t="shared" si="130"/>
        <v>0.2</v>
      </c>
      <c r="AE133" s="1763">
        <f t="shared" si="131"/>
        <v>0.2</v>
      </c>
      <c r="AF133" s="1763">
        <f t="shared" si="132"/>
        <v>0.2</v>
      </c>
      <c r="AG133" s="1763">
        <f t="shared" si="133"/>
        <v>0.2</v>
      </c>
      <c r="AH133" s="1763">
        <f t="shared" si="134"/>
        <v>0.2</v>
      </c>
      <c r="AI133" s="1763">
        <f t="shared" si="135"/>
        <v>0.2</v>
      </c>
      <c r="AJ133" s="1763">
        <f t="shared" si="141"/>
        <v>0.2</v>
      </c>
      <c r="AK133" s="1755">
        <f t="shared" si="136"/>
        <v>0.2</v>
      </c>
      <c r="AL133" s="1763">
        <f t="shared" si="137"/>
        <v>0.25</v>
      </c>
      <c r="AM133" s="1763">
        <f t="shared" si="137"/>
        <v>0.2</v>
      </c>
      <c r="AN133" s="1756">
        <f t="shared" si="138"/>
        <v>0</v>
      </c>
      <c r="AO133" s="1754">
        <f t="shared" si="139"/>
        <v>0</v>
      </c>
      <c r="AP133" s="1754">
        <f t="shared" si="140"/>
        <v>0</v>
      </c>
      <c r="AQ133" s="1610"/>
      <c r="AR133" s="1671">
        <v>4</v>
      </c>
      <c r="AS133" s="1595">
        <v>4</v>
      </c>
      <c r="AT133" s="1778" t="s">
        <v>1780</v>
      </c>
      <c r="AU133" s="2076">
        <v>0.2</v>
      </c>
      <c r="AV133" s="2076">
        <v>0.2</v>
      </c>
      <c r="AW133" s="2076">
        <v>0.2</v>
      </c>
      <c r="AX133" s="2076">
        <v>0.2</v>
      </c>
      <c r="AY133" s="2076">
        <v>0.2</v>
      </c>
      <c r="AZ133" s="2076">
        <v>0.2</v>
      </c>
      <c r="BA133" s="2076">
        <v>0.2</v>
      </c>
      <c r="BB133" s="2076">
        <v>0.2</v>
      </c>
      <c r="BC133" s="2076">
        <v>0.25</v>
      </c>
      <c r="BD133" s="2076">
        <v>0.2</v>
      </c>
      <c r="BE133" s="2060"/>
      <c r="BF133" s="1709"/>
      <c r="BG133" s="1709"/>
      <c r="BH133"/>
      <c r="BI133" s="1671">
        <v>4</v>
      </c>
      <c r="BJ133" s="1595">
        <v>4</v>
      </c>
      <c r="BK133" s="1778" t="s">
        <v>1780</v>
      </c>
      <c r="BL133" s="2076">
        <v>0.2</v>
      </c>
      <c r="BM133" s="2076">
        <v>0.2</v>
      </c>
      <c r="BN133" s="2076">
        <v>0.2</v>
      </c>
      <c r="BO133" s="2076">
        <v>0.2</v>
      </c>
      <c r="BP133" s="2076">
        <v>0.2</v>
      </c>
      <c r="BQ133" s="2076">
        <v>0.2</v>
      </c>
      <c r="BR133" s="2076">
        <v>0.2</v>
      </c>
      <c r="BS133" s="2076">
        <v>0.2</v>
      </c>
      <c r="BT133" s="2076">
        <v>0.25</v>
      </c>
      <c r="BU133" s="2076">
        <v>0.2</v>
      </c>
      <c r="BV133" s="2060"/>
      <c r="BW133" s="1709"/>
      <c r="BX133" s="1709"/>
      <c r="BY133"/>
    </row>
    <row r="134" spans="1:77" ht="13.5" customHeight="1">
      <c r="B134" s="1611">
        <f t="shared" si="116"/>
        <v>4.0999999999999996</v>
      </c>
      <c r="C134" s="1645" t="str">
        <f t="shared" si="117"/>
        <v>住宅以外の評価</v>
      </c>
      <c r="D134" s="1714" t="e">
        <f>IF(I$133=0,0,G134/I$133)</f>
        <v>#DIV/0!</v>
      </c>
      <c r="E134" s="1714" t="e">
        <f>IF(J$133=0,0,H134/J$133)</f>
        <v>#DIV/0!</v>
      </c>
      <c r="G134" s="1689" t="e">
        <f>K134*N134</f>
        <v>#DIV/0!</v>
      </c>
      <c r="H134" s="1689" t="e">
        <f t="shared" si="118"/>
        <v>#DIV/0!</v>
      </c>
      <c r="I134" s="1689" t="e">
        <f>SUM(G135:G136)</f>
        <v>#DIV/0!</v>
      </c>
      <c r="J134" s="1689" t="e">
        <f>SUM(H135:H136)</f>
        <v>#DIV/0!</v>
      </c>
      <c r="K134" s="1614" t="e">
        <f>IF(スコア表示!X134=0,0,1)</f>
        <v>#DIV/0!</v>
      </c>
      <c r="L134" s="1614" t="e">
        <f>IF(スコア表示!AB134=0,0,1)</f>
        <v>#DIV/0!</v>
      </c>
      <c r="N134" s="1711" t="e">
        <f>IF(P$133=0,0,P134/P$133)</f>
        <v>#DIV/0!</v>
      </c>
      <c r="O134" s="1711" t="e">
        <f>IF(Q$133=0,0,Q134/Q$133)</f>
        <v>#DIV/0!</v>
      </c>
      <c r="P134" s="1614" t="e">
        <f>SUM(R135:R136)</f>
        <v>#DIV/0!</v>
      </c>
      <c r="Q134" s="1614" t="e">
        <f>SUM(S135:S136)</f>
        <v>#DIV/0!</v>
      </c>
      <c r="R134" s="1614">
        <f>IF(スコア入力!R134="EB",重み_対象外!D134,U134)</f>
        <v>0</v>
      </c>
      <c r="S134" s="1614">
        <f>IF(スコア入力!Y134="EB",重み_対象外!E134,V134)</f>
        <v>0</v>
      </c>
      <c r="T134" s="1558"/>
      <c r="U134" s="1612"/>
      <c r="V134" s="1612"/>
      <c r="W134" s="1558"/>
      <c r="X134" s="1614" t="e">
        <f t="shared" si="73"/>
        <v>#DIV/0!</v>
      </c>
      <c r="Y134" s="1614" t="e">
        <f t="shared" si="74"/>
        <v>#DIV/0!</v>
      </c>
      <c r="Z134" s="1675"/>
      <c r="AA134" s="1645">
        <v>4.0999999999999996</v>
      </c>
      <c r="AB134" s="1595">
        <v>4.0999999999999996</v>
      </c>
      <c r="AC134" s="1735" t="s">
        <v>1781</v>
      </c>
      <c r="AD134" s="1757">
        <f t="shared" si="130"/>
        <v>1</v>
      </c>
      <c r="AE134" s="1757">
        <f t="shared" si="131"/>
        <v>1</v>
      </c>
      <c r="AF134" s="1757">
        <f t="shared" si="132"/>
        <v>1</v>
      </c>
      <c r="AG134" s="1757">
        <f t="shared" si="133"/>
        <v>1</v>
      </c>
      <c r="AH134" s="1757">
        <f t="shared" si="134"/>
        <v>1</v>
      </c>
      <c r="AI134" s="1757">
        <f t="shared" si="135"/>
        <v>1</v>
      </c>
      <c r="AJ134" s="1757">
        <f t="shared" si="141"/>
        <v>0</v>
      </c>
      <c r="AK134" s="1759">
        <f t="shared" si="136"/>
        <v>1</v>
      </c>
      <c r="AL134" s="1757">
        <f t="shared" si="137"/>
        <v>1</v>
      </c>
      <c r="AM134" s="1757">
        <f t="shared" si="137"/>
        <v>1</v>
      </c>
      <c r="AN134" s="1758">
        <f t="shared" si="138"/>
        <v>0</v>
      </c>
      <c r="AO134" s="1770">
        <f t="shared" si="139"/>
        <v>0</v>
      </c>
      <c r="AP134" s="1770">
        <f t="shared" si="140"/>
        <v>0</v>
      </c>
      <c r="AQ134" s="1676"/>
      <c r="AR134" s="1645">
        <v>4.0999999999999996</v>
      </c>
      <c r="AS134" s="1595">
        <v>4.0999999999999996</v>
      </c>
      <c r="AT134" s="1735" t="s">
        <v>1781</v>
      </c>
      <c r="AU134" s="1621">
        <v>1</v>
      </c>
      <c r="AV134" s="1621">
        <v>1</v>
      </c>
      <c r="AW134" s="1621">
        <v>1</v>
      </c>
      <c r="AX134" s="1621">
        <v>1</v>
      </c>
      <c r="AY134" s="1621">
        <v>1</v>
      </c>
      <c r="AZ134" s="1621">
        <v>1</v>
      </c>
      <c r="BA134" s="1621"/>
      <c r="BB134" s="1621">
        <v>1</v>
      </c>
      <c r="BC134" s="1621">
        <v>1</v>
      </c>
      <c r="BD134" s="1621">
        <v>1</v>
      </c>
      <c r="BE134" s="1623"/>
      <c r="BF134" s="2084"/>
      <c r="BG134" s="2084"/>
      <c r="BI134" s="1645">
        <v>4.0999999999999996</v>
      </c>
      <c r="BJ134" s="1595">
        <v>4.0999999999999996</v>
      </c>
      <c r="BK134" s="1735" t="s">
        <v>1781</v>
      </c>
      <c r="BL134" s="1621">
        <v>1</v>
      </c>
      <c r="BM134" s="1621">
        <v>1</v>
      </c>
      <c r="BN134" s="1621">
        <v>1</v>
      </c>
      <c r="BO134" s="1621">
        <v>1</v>
      </c>
      <c r="BP134" s="1621">
        <v>1</v>
      </c>
      <c r="BQ134" s="1621">
        <v>1</v>
      </c>
      <c r="BR134" s="1621"/>
      <c r="BS134" s="1621">
        <v>1</v>
      </c>
      <c r="BT134" s="1621">
        <v>1</v>
      </c>
      <c r="BU134" s="1621">
        <v>1</v>
      </c>
      <c r="BV134" s="1623"/>
      <c r="BW134" s="2084"/>
      <c r="BX134" s="2084"/>
    </row>
    <row r="135" spans="1:77" ht="13.5" customHeight="1">
      <c r="B135" s="1611" t="str">
        <f t="shared" ref="B135:B139" si="142">AA135</f>
        <v>4.1.1</v>
      </c>
      <c r="C135" s="1645" t="str">
        <f t="shared" ref="C135:C139" si="143">AC135</f>
        <v>モニタリング</v>
      </c>
      <c r="D135" s="1714" t="e">
        <f>IF(I$134=0,0,G135/I$134)</f>
        <v>#DIV/0!</v>
      </c>
      <c r="E135" s="1714" t="e">
        <f>IF(J$134=0,0,H135/J$134)</f>
        <v>#DIV/0!</v>
      </c>
      <c r="G135" s="1689" t="e">
        <f t="shared" si="118"/>
        <v>#DIV/0!</v>
      </c>
      <c r="H135" s="1689" t="e">
        <f t="shared" si="118"/>
        <v>#DIV/0!</v>
      </c>
      <c r="I135" s="1689"/>
      <c r="J135" s="1689"/>
      <c r="K135" s="1614">
        <f>IF(スコア表示!X135=0,0,1)</f>
        <v>1</v>
      </c>
      <c r="L135" s="1614">
        <f>IF(スコア表示!AB135=0,0,1)</f>
        <v>0</v>
      </c>
      <c r="N135" s="1706" t="e">
        <f>IF(P$134&gt;0,R135/P$134,0)</f>
        <v>#DIV/0!</v>
      </c>
      <c r="O135" s="1706" t="e">
        <f>IF(Q$134&gt;0,S135/Q$134,0)</f>
        <v>#DIV/0!</v>
      </c>
      <c r="P135" s="1614"/>
      <c r="Q135" s="1614"/>
      <c r="R135" s="1614" t="e">
        <f>IF(スコア入力!R135="EB",重み_対象外!D135,U135)</f>
        <v>#DIV/0!</v>
      </c>
      <c r="S135" s="1614" t="e">
        <f>IF(スコア入力!Y135="EB",重み_対象外!E135,V135)</f>
        <v>#DIV/0!</v>
      </c>
      <c r="T135" s="1558"/>
      <c r="U135" s="1612" t="e">
        <f>X$133*X$134*X135</f>
        <v>#DIV/0!</v>
      </c>
      <c r="V135" s="1612" t="e">
        <f>Y$133*Y$134*Y135</f>
        <v>#DIV/0!</v>
      </c>
      <c r="W135" s="1558"/>
      <c r="X135" s="1614" t="e">
        <f t="shared" si="73"/>
        <v>#DIV/0!</v>
      </c>
      <c r="Y135" s="1614" t="e">
        <f t="shared" si="74"/>
        <v>#DIV/0!</v>
      </c>
      <c r="Z135" s="1675"/>
      <c r="AA135" s="1645" t="s">
        <v>1436</v>
      </c>
      <c r="AB135" s="1595" t="s">
        <v>1782</v>
      </c>
      <c r="AC135" s="1735" t="s">
        <v>1783</v>
      </c>
      <c r="AD135" s="1757">
        <f t="shared" ref="AD135:AD139" si="144">IF($AA$3=1,AU135,BL135)</f>
        <v>0.5</v>
      </c>
      <c r="AE135" s="1757">
        <f t="shared" ref="AE135:AE139" si="145">IF($AA$3=1,AV135,BM135)</f>
        <v>0.5</v>
      </c>
      <c r="AF135" s="1757">
        <f t="shared" ref="AF135:AF139" si="146">IF($AA$3=1,AW135,BN135)</f>
        <v>0.5</v>
      </c>
      <c r="AG135" s="1757">
        <f t="shared" ref="AG135:AG139" si="147">IF($AA$3=1,AX135,BO135)</f>
        <v>0.5</v>
      </c>
      <c r="AH135" s="1757">
        <f t="shared" ref="AH135:AH139" si="148">IF($AA$3=1,AY135,BP135)</f>
        <v>0.5</v>
      </c>
      <c r="AI135" s="1757">
        <f t="shared" ref="AI135:AI139" si="149">IF($AA$3=1,AZ135,BQ135)</f>
        <v>0.5</v>
      </c>
      <c r="AJ135" s="1757">
        <f t="shared" ref="AJ135:AJ139" si="150">IF($AA$3=1,BA135,BR135)</f>
        <v>0</v>
      </c>
      <c r="AK135" s="1759">
        <f t="shared" ref="AK135:AK139" si="151">IF($AA$3=1,BB135,BS135)</f>
        <v>0.5</v>
      </c>
      <c r="AL135" s="1757">
        <f t="shared" ref="AL135:AL139" si="152">IF($AA$3=1,BC135,BT135)</f>
        <v>0.5</v>
      </c>
      <c r="AM135" s="1757">
        <f t="shared" ref="AM135:AM139" si="153">IF($AA$3=1,BD135,BU135)</f>
        <v>0.5</v>
      </c>
      <c r="AN135" s="1758"/>
      <c r="AO135" s="1770"/>
      <c r="AP135" s="1770"/>
      <c r="AQ135" s="1676"/>
      <c r="AR135" s="1645" t="s">
        <v>1515</v>
      </c>
      <c r="AS135" s="1595" t="s">
        <v>1782</v>
      </c>
      <c r="AT135" s="1735" t="s">
        <v>1783</v>
      </c>
      <c r="AU135" s="1621">
        <v>0.5</v>
      </c>
      <c r="AV135" s="1621">
        <v>0.5</v>
      </c>
      <c r="AW135" s="1621">
        <v>0.5</v>
      </c>
      <c r="AX135" s="1621">
        <v>0.5</v>
      </c>
      <c r="AY135" s="1621">
        <v>0.5</v>
      </c>
      <c r="AZ135" s="1621">
        <v>0.5</v>
      </c>
      <c r="BA135" s="1621"/>
      <c r="BB135" s="1621">
        <v>0.5</v>
      </c>
      <c r="BC135" s="1621">
        <v>0.5</v>
      </c>
      <c r="BD135" s="1621">
        <v>0.5</v>
      </c>
      <c r="BE135" s="1623"/>
      <c r="BF135" s="2084"/>
      <c r="BG135" s="2084"/>
      <c r="BI135" s="1645" t="s">
        <v>1515</v>
      </c>
      <c r="BJ135" s="1595" t="s">
        <v>1782</v>
      </c>
      <c r="BK135" s="1735" t="s">
        <v>1783</v>
      </c>
      <c r="BL135" s="1621">
        <v>0.5</v>
      </c>
      <c r="BM135" s="1621">
        <v>0.5</v>
      </c>
      <c r="BN135" s="1621">
        <v>0.5</v>
      </c>
      <c r="BO135" s="1621">
        <v>0.5</v>
      </c>
      <c r="BP135" s="1621">
        <v>0.5</v>
      </c>
      <c r="BQ135" s="1621">
        <v>0.5</v>
      </c>
      <c r="BR135" s="1621"/>
      <c r="BS135" s="1621">
        <v>0.5</v>
      </c>
      <c r="BT135" s="1621">
        <v>0.5</v>
      </c>
      <c r="BU135" s="1621">
        <v>0.5</v>
      </c>
      <c r="BV135" s="1623"/>
      <c r="BW135" s="2084"/>
      <c r="BX135" s="2084"/>
    </row>
    <row r="136" spans="1:77" ht="13.5" customHeight="1">
      <c r="B136" s="1611" t="str">
        <f t="shared" si="142"/>
        <v>4.1.2</v>
      </c>
      <c r="C136" s="1645" t="str">
        <f t="shared" si="143"/>
        <v>運用管理体制</v>
      </c>
      <c r="D136" s="1719" t="e">
        <f>IF(I$134&gt;0,G136/I$134,0)</f>
        <v>#DIV/0!</v>
      </c>
      <c r="E136" s="1719" t="e">
        <f>IF(J$134&gt;0,H136/J$134,0)</f>
        <v>#DIV/0!</v>
      </c>
      <c r="G136" s="1689" t="e">
        <f t="shared" si="118"/>
        <v>#DIV/0!</v>
      </c>
      <c r="H136" s="1689" t="e">
        <f t="shared" si="118"/>
        <v>#DIV/0!</v>
      </c>
      <c r="I136" s="1689"/>
      <c r="J136" s="1689"/>
      <c r="K136" s="1614">
        <f>IF(スコア表示!X136=0,0,1)</f>
        <v>1</v>
      </c>
      <c r="L136" s="1614">
        <f>IF(スコア表示!AB136=0,0,1)</f>
        <v>0</v>
      </c>
      <c r="N136" s="1706" t="e">
        <f>IF(P$134&gt;0,R136/P$134,0)</f>
        <v>#DIV/0!</v>
      </c>
      <c r="O136" s="1706" t="e">
        <f>IF(Q$134&gt;0,S136/Q$134,0)</f>
        <v>#DIV/0!</v>
      </c>
      <c r="P136" s="1614"/>
      <c r="Q136" s="1614"/>
      <c r="R136" s="1614" t="e">
        <f>IF(スコア入力!R136="EB",重み_対象外!D136,U136)</f>
        <v>#DIV/0!</v>
      </c>
      <c r="S136" s="1614" t="e">
        <f>IF(スコア入力!Y136="EB",重み_対象外!E136,V136)</f>
        <v>#DIV/0!</v>
      </c>
      <c r="T136" s="1558"/>
      <c r="U136" s="1612" t="e">
        <f>X$133*X$134*X136</f>
        <v>#DIV/0!</v>
      </c>
      <c r="V136" s="1612" t="e">
        <f>Y$133*Y$134*Y136</f>
        <v>#DIV/0!</v>
      </c>
      <c r="W136" s="1558"/>
      <c r="X136" s="1614" t="e">
        <f t="shared" si="73"/>
        <v>#DIV/0!</v>
      </c>
      <c r="Y136" s="1614" t="e">
        <f t="shared" si="74"/>
        <v>#DIV/0!</v>
      </c>
      <c r="Z136" s="1675"/>
      <c r="AA136" s="1645" t="s">
        <v>1437</v>
      </c>
      <c r="AB136" s="1595" t="s">
        <v>1784</v>
      </c>
      <c r="AC136" s="1735" t="s">
        <v>1785</v>
      </c>
      <c r="AD136" s="1757">
        <f t="shared" si="144"/>
        <v>0.5</v>
      </c>
      <c r="AE136" s="1757">
        <f t="shared" si="145"/>
        <v>0.5</v>
      </c>
      <c r="AF136" s="1757">
        <f t="shared" si="146"/>
        <v>0.5</v>
      </c>
      <c r="AG136" s="1757">
        <f t="shared" si="147"/>
        <v>0.5</v>
      </c>
      <c r="AH136" s="1757">
        <f t="shared" si="148"/>
        <v>0.5</v>
      </c>
      <c r="AI136" s="1757">
        <f t="shared" si="149"/>
        <v>0.5</v>
      </c>
      <c r="AJ136" s="1757">
        <f t="shared" si="150"/>
        <v>0</v>
      </c>
      <c r="AK136" s="1759">
        <f t="shared" si="151"/>
        <v>0.5</v>
      </c>
      <c r="AL136" s="1757">
        <f t="shared" si="152"/>
        <v>0.5</v>
      </c>
      <c r="AM136" s="1757">
        <f t="shared" si="153"/>
        <v>0.5</v>
      </c>
      <c r="AN136" s="1758"/>
      <c r="AO136" s="1770"/>
      <c r="AP136" s="1770"/>
      <c r="AQ136" s="1676"/>
      <c r="AR136" s="1645" t="s">
        <v>1519</v>
      </c>
      <c r="AS136" s="1595" t="s">
        <v>1784</v>
      </c>
      <c r="AT136" s="1735" t="s">
        <v>1785</v>
      </c>
      <c r="AU136" s="1621">
        <v>0.5</v>
      </c>
      <c r="AV136" s="1621">
        <v>0.5</v>
      </c>
      <c r="AW136" s="1621">
        <v>0.5</v>
      </c>
      <c r="AX136" s="1621">
        <v>0.5</v>
      </c>
      <c r="AY136" s="1621">
        <v>0.5</v>
      </c>
      <c r="AZ136" s="1621">
        <v>0.5</v>
      </c>
      <c r="BA136" s="1621"/>
      <c r="BB136" s="1621">
        <v>0.5</v>
      </c>
      <c r="BC136" s="1621">
        <v>0.5</v>
      </c>
      <c r="BD136" s="1621">
        <v>0.5</v>
      </c>
      <c r="BE136" s="1623"/>
      <c r="BF136" s="2084"/>
      <c r="BG136" s="2084"/>
      <c r="BI136" s="1645" t="s">
        <v>1519</v>
      </c>
      <c r="BJ136" s="1595" t="s">
        <v>1784</v>
      </c>
      <c r="BK136" s="1735" t="s">
        <v>1785</v>
      </c>
      <c r="BL136" s="1621">
        <v>0.5</v>
      </c>
      <c r="BM136" s="1621">
        <v>0.5</v>
      </c>
      <c r="BN136" s="1621">
        <v>0.5</v>
      </c>
      <c r="BO136" s="1621">
        <v>0.5</v>
      </c>
      <c r="BP136" s="1621">
        <v>0.5</v>
      </c>
      <c r="BQ136" s="1621">
        <v>0.5</v>
      </c>
      <c r="BR136" s="1621"/>
      <c r="BS136" s="1621">
        <v>0.5</v>
      </c>
      <c r="BT136" s="1621">
        <v>0.5</v>
      </c>
      <c r="BU136" s="1621">
        <v>0.5</v>
      </c>
      <c r="BV136" s="1623"/>
      <c r="BW136" s="2084"/>
      <c r="BX136" s="2084"/>
    </row>
    <row r="137" spans="1:77" s="1678" customFormat="1" ht="13.5" customHeight="1">
      <c r="A137"/>
      <c r="B137" s="1611">
        <f t="shared" si="142"/>
        <v>4.2</v>
      </c>
      <c r="C137" s="1645" t="str">
        <f t="shared" si="143"/>
        <v>住宅の評価</v>
      </c>
      <c r="D137" s="1714" t="e">
        <f>IF(I$133=0,0,G137/I$133)</f>
        <v>#DIV/0!</v>
      </c>
      <c r="E137" s="1714" t="e">
        <f>IF(J$133=0,0,H137/J$133)</f>
        <v>#DIV/0!</v>
      </c>
      <c r="F137"/>
      <c r="G137" s="1689" t="e">
        <f t="shared" ref="G137:H139" si="154">K137*N137</f>
        <v>#DIV/0!</v>
      </c>
      <c r="H137" s="1689" t="e">
        <f t="shared" si="154"/>
        <v>#DIV/0!</v>
      </c>
      <c r="I137" s="1689" t="e">
        <f>SUM(G138:G139)</f>
        <v>#DIV/0!</v>
      </c>
      <c r="J137" s="1689" t="e">
        <f>SUM(H138:H139)</f>
        <v>#DIV/0!</v>
      </c>
      <c r="K137" s="1614" t="e">
        <f>IF(スコア表示!X137=0,0,1)</f>
        <v>#DIV/0!</v>
      </c>
      <c r="L137" s="1614" t="e">
        <f>IF(スコア表示!AB137=0,0,1)</f>
        <v>#DIV/0!</v>
      </c>
      <c r="M137"/>
      <c r="N137" s="1711" t="e">
        <f>IF(P$133=0,0,P137/P$133)</f>
        <v>#DIV/0!</v>
      </c>
      <c r="O137" s="1711" t="e">
        <f>IF(Q$133=0,0,Q137/Q$133)</f>
        <v>#DIV/0!</v>
      </c>
      <c r="P137" s="1614" t="e">
        <f>SUM(R138:R139)</f>
        <v>#DIV/0!</v>
      </c>
      <c r="Q137" s="1614" t="e">
        <f>SUM(S138:S139)</f>
        <v>#DIV/0!</v>
      </c>
      <c r="R137" s="1614">
        <f>IF(スコア入力!R137="EB",重み_対象外!D137,U137)</f>
        <v>0</v>
      </c>
      <c r="S137" s="1614">
        <f>IF(スコア入力!Y137="EB",重み_対象外!E137,V137)</f>
        <v>0</v>
      </c>
      <c r="T137" s="1558"/>
      <c r="U137" s="1612"/>
      <c r="V137" s="1612"/>
      <c r="W137" s="1558"/>
      <c r="X137" s="1614" t="e">
        <f t="shared" si="73"/>
        <v>#DIV/0!</v>
      </c>
      <c r="Y137" s="1614" t="e">
        <f t="shared" si="74"/>
        <v>#DIV/0!</v>
      </c>
      <c r="Z137" s="1675"/>
      <c r="AA137" s="1645">
        <v>4.2</v>
      </c>
      <c r="AB137" s="1595">
        <v>4.2</v>
      </c>
      <c r="AC137" s="1735" t="s">
        <v>1786</v>
      </c>
      <c r="AD137" s="1757">
        <f t="shared" si="144"/>
        <v>0</v>
      </c>
      <c r="AE137" s="1757">
        <f t="shared" si="145"/>
        <v>0</v>
      </c>
      <c r="AF137" s="1757">
        <f t="shared" si="146"/>
        <v>0</v>
      </c>
      <c r="AG137" s="1757">
        <f t="shared" si="147"/>
        <v>0</v>
      </c>
      <c r="AH137" s="1757">
        <f t="shared" si="148"/>
        <v>0</v>
      </c>
      <c r="AI137" s="1757">
        <f t="shared" si="149"/>
        <v>0</v>
      </c>
      <c r="AJ137" s="1757">
        <f t="shared" si="150"/>
        <v>1</v>
      </c>
      <c r="AK137" s="1759">
        <f t="shared" si="151"/>
        <v>0</v>
      </c>
      <c r="AL137" s="1757">
        <f t="shared" si="152"/>
        <v>0</v>
      </c>
      <c r="AM137" s="1757">
        <f t="shared" si="153"/>
        <v>0</v>
      </c>
      <c r="AN137" s="1758">
        <f t="shared" si="138"/>
        <v>0</v>
      </c>
      <c r="AO137" s="1770">
        <f t="shared" si="139"/>
        <v>0</v>
      </c>
      <c r="AP137" s="1770">
        <f t="shared" si="140"/>
        <v>0</v>
      </c>
      <c r="AQ137" s="1676"/>
      <c r="AR137" s="1645">
        <v>4.2</v>
      </c>
      <c r="AS137" s="1595">
        <v>4.2</v>
      </c>
      <c r="AT137" s="1735" t="s">
        <v>1786</v>
      </c>
      <c r="AU137" s="1621"/>
      <c r="AV137" s="1621"/>
      <c r="AW137" s="1621"/>
      <c r="AX137" s="1621"/>
      <c r="AY137" s="1621"/>
      <c r="AZ137" s="1621"/>
      <c r="BA137" s="1621">
        <v>1</v>
      </c>
      <c r="BB137" s="1622"/>
      <c r="BC137" s="1621"/>
      <c r="BD137" s="1621"/>
      <c r="BE137" s="1623"/>
      <c r="BF137" s="2084"/>
      <c r="BG137" s="2084"/>
      <c r="BH137"/>
      <c r="BI137" s="1645">
        <v>4.2</v>
      </c>
      <c r="BJ137" s="1595">
        <v>4.2</v>
      </c>
      <c r="BK137" s="1735" t="s">
        <v>1786</v>
      </c>
      <c r="BL137" s="1621"/>
      <c r="BM137" s="1621"/>
      <c r="BN137" s="1621"/>
      <c r="BO137" s="1621"/>
      <c r="BP137" s="1621"/>
      <c r="BQ137" s="1621"/>
      <c r="BR137" s="1621">
        <v>1</v>
      </c>
      <c r="BS137" s="1622"/>
      <c r="BT137" s="1621"/>
      <c r="BU137" s="1621"/>
      <c r="BV137" s="1623"/>
      <c r="BW137" s="2084"/>
      <c r="BX137" s="2084"/>
      <c r="BY137"/>
    </row>
    <row r="138" spans="1:77" s="1678" customFormat="1" ht="13.5" customHeight="1">
      <c r="A138"/>
      <c r="B138" s="1611" t="str">
        <f t="shared" si="142"/>
        <v>4.2.1</v>
      </c>
      <c r="C138" s="1645" t="str">
        <f t="shared" si="143"/>
        <v>住まい方の提示</v>
      </c>
      <c r="D138" s="1719" t="e">
        <f>IF(I$137&gt;0,G138/I$137,0)</f>
        <v>#DIV/0!</v>
      </c>
      <c r="E138" s="1719" t="e">
        <f>IF(J$137&gt;0,H138/J$137,0)</f>
        <v>#DIV/0!</v>
      </c>
      <c r="F138"/>
      <c r="G138" s="1689" t="e">
        <f t="shared" si="154"/>
        <v>#DIV/0!</v>
      </c>
      <c r="H138" s="1689" t="e">
        <f t="shared" si="154"/>
        <v>#DIV/0!</v>
      </c>
      <c r="I138" s="1689"/>
      <c r="J138" s="1689"/>
      <c r="K138" s="1614">
        <f>IF(スコア表示!X138=0,0,1)</f>
        <v>1</v>
      </c>
      <c r="L138" s="1614">
        <f>IF(スコア表示!AB138=0,0,1)</f>
        <v>0</v>
      </c>
      <c r="M138"/>
      <c r="N138" s="1706" t="e">
        <f>IF(P$137&gt;0,R138/P$137,0)</f>
        <v>#DIV/0!</v>
      </c>
      <c r="O138" s="1706" t="e">
        <f>IF(Q$137&gt;0,S138/Q$137,0)</f>
        <v>#DIV/0!</v>
      </c>
      <c r="P138" s="1614"/>
      <c r="Q138" s="1614"/>
      <c r="R138" s="1614" t="e">
        <f>IF(スコア入力!R138="EB",重み_対象外!D138,U138)</f>
        <v>#DIV/0!</v>
      </c>
      <c r="S138" s="1614" t="e">
        <f>IF(スコア入力!Y138="EB",重み_対象外!E138,V138)</f>
        <v>#DIV/0!</v>
      </c>
      <c r="T138" s="1558"/>
      <c r="U138" s="1612" t="e">
        <f>X$133*X$134*X138</f>
        <v>#DIV/0!</v>
      </c>
      <c r="V138" s="1612" t="e">
        <f>Y$133*Y$134*Y138</f>
        <v>#DIV/0!</v>
      </c>
      <c r="W138" s="1558"/>
      <c r="X138" s="1614" t="e">
        <f>SUMPRODUCT($AD$7:$AM$7,AD138:AM138)</f>
        <v>#DIV/0!</v>
      </c>
      <c r="Y138" s="1614" t="e">
        <f>(AN$7*AN138)+(AO$7*AO138)+(AP$7*AP138)</f>
        <v>#DIV/0!</v>
      </c>
      <c r="Z138" s="1675"/>
      <c r="AA138" s="1645" t="s">
        <v>1441</v>
      </c>
      <c r="AB138" s="1595" t="s">
        <v>1787</v>
      </c>
      <c r="AC138" s="1735" t="s">
        <v>1788</v>
      </c>
      <c r="AD138" s="1757">
        <f t="shared" si="144"/>
        <v>0</v>
      </c>
      <c r="AE138" s="1757">
        <f t="shared" si="145"/>
        <v>0</v>
      </c>
      <c r="AF138" s="1757">
        <f t="shared" si="146"/>
        <v>0</v>
      </c>
      <c r="AG138" s="1757">
        <f t="shared" si="147"/>
        <v>0</v>
      </c>
      <c r="AH138" s="1757">
        <f t="shared" si="148"/>
        <v>0</v>
      </c>
      <c r="AI138" s="1757">
        <f t="shared" si="149"/>
        <v>0</v>
      </c>
      <c r="AJ138" s="1757">
        <f t="shared" si="150"/>
        <v>0.5</v>
      </c>
      <c r="AK138" s="1759">
        <f t="shared" si="151"/>
        <v>0</v>
      </c>
      <c r="AL138" s="1757">
        <f t="shared" si="152"/>
        <v>0</v>
      </c>
      <c r="AM138" s="1757">
        <f t="shared" si="153"/>
        <v>0</v>
      </c>
      <c r="AN138" s="1758"/>
      <c r="AO138" s="1770"/>
      <c r="AP138" s="1770"/>
      <c r="AQ138" s="1676"/>
      <c r="AR138" s="1645" t="s">
        <v>1441</v>
      </c>
      <c r="AS138" s="1595" t="s">
        <v>1787</v>
      </c>
      <c r="AT138" s="1735" t="s">
        <v>1788</v>
      </c>
      <c r="AU138" s="1621"/>
      <c r="AV138" s="1621"/>
      <c r="AW138" s="1621"/>
      <c r="AX138" s="1621"/>
      <c r="AY138" s="1621"/>
      <c r="AZ138" s="1621"/>
      <c r="BA138" s="1621">
        <v>0.5</v>
      </c>
      <c r="BB138" s="1622"/>
      <c r="BC138" s="1621"/>
      <c r="BD138" s="1621"/>
      <c r="BE138" s="1623"/>
      <c r="BF138" s="2084"/>
      <c r="BG138" s="2084"/>
      <c r="BH138"/>
      <c r="BI138" s="1645" t="s">
        <v>1441</v>
      </c>
      <c r="BJ138" s="1595" t="s">
        <v>1787</v>
      </c>
      <c r="BK138" s="1735" t="s">
        <v>1788</v>
      </c>
      <c r="BL138" s="1621"/>
      <c r="BM138" s="1621"/>
      <c r="BN138" s="1621"/>
      <c r="BO138" s="1621"/>
      <c r="BP138" s="1621"/>
      <c r="BQ138" s="1621"/>
      <c r="BR138" s="1621">
        <v>0.5</v>
      </c>
      <c r="BS138" s="1622"/>
      <c r="BT138" s="1621"/>
      <c r="BU138" s="1621"/>
      <c r="BV138" s="1623"/>
      <c r="BW138" s="2084"/>
      <c r="BX138" s="2084"/>
      <c r="BY138"/>
    </row>
    <row r="139" spans="1:77" s="1678" customFormat="1" ht="13.5" customHeight="1">
      <c r="A139"/>
      <c r="B139" s="1611" t="str">
        <f t="shared" si="142"/>
        <v>4.2.2</v>
      </c>
      <c r="C139" s="1645" t="str">
        <f t="shared" si="143"/>
        <v>エネルギーの管理と制御</v>
      </c>
      <c r="D139" s="1719" t="e">
        <f>IF(I$137&gt;0,G139/I$137,0)</f>
        <v>#DIV/0!</v>
      </c>
      <c r="E139" s="1719" t="e">
        <f>IF(J$137&gt;0,H139/J$137,0)</f>
        <v>#DIV/0!</v>
      </c>
      <c r="F139"/>
      <c r="G139" s="1689" t="e">
        <f t="shared" si="154"/>
        <v>#DIV/0!</v>
      </c>
      <c r="H139" s="1689" t="e">
        <f t="shared" si="154"/>
        <v>#DIV/0!</v>
      </c>
      <c r="I139" s="1689"/>
      <c r="J139" s="1689"/>
      <c r="K139" s="1614">
        <f>IF(スコア表示!X139=0,0,1)</f>
        <v>1</v>
      </c>
      <c r="L139" s="1614">
        <f>IF(スコア表示!AB139=0,0,1)</f>
        <v>0</v>
      </c>
      <c r="M139"/>
      <c r="N139" s="1706" t="e">
        <f>IF(P$137&gt;0,R139/P$137,0)</f>
        <v>#DIV/0!</v>
      </c>
      <c r="O139" s="1706" t="e">
        <f>IF(Q$137&gt;0,S139/Q$137,0)</f>
        <v>#DIV/0!</v>
      </c>
      <c r="P139" s="1614"/>
      <c r="Q139" s="1614"/>
      <c r="R139" s="1614" t="e">
        <f>IF(スコア入力!R139="EB",重み_対象外!D139,U139)</f>
        <v>#DIV/0!</v>
      </c>
      <c r="S139" s="1614" t="e">
        <f>IF(スコア入力!Y139="EB",重み_対象外!E139,V139)</f>
        <v>#DIV/0!</v>
      </c>
      <c r="T139" s="1558"/>
      <c r="U139" s="1612" t="e">
        <f>X$133*X$134*X139</f>
        <v>#DIV/0!</v>
      </c>
      <c r="V139" s="1612" t="e">
        <f>Y$133*Y$134*Y139</f>
        <v>#DIV/0!</v>
      </c>
      <c r="W139" s="1558"/>
      <c r="X139" s="1614" t="e">
        <f t="shared" si="73"/>
        <v>#DIV/0!</v>
      </c>
      <c r="Y139" s="1614" t="e">
        <f t="shared" si="74"/>
        <v>#DIV/0!</v>
      </c>
      <c r="Z139" s="1675"/>
      <c r="AA139" s="1645" t="s">
        <v>1442</v>
      </c>
      <c r="AB139" s="1595" t="s">
        <v>1789</v>
      </c>
      <c r="AC139" s="1735" t="s">
        <v>1655</v>
      </c>
      <c r="AD139" s="1757">
        <f t="shared" si="144"/>
        <v>0</v>
      </c>
      <c r="AE139" s="1757">
        <f t="shared" si="145"/>
        <v>0</v>
      </c>
      <c r="AF139" s="1757">
        <f t="shared" si="146"/>
        <v>0</v>
      </c>
      <c r="AG139" s="1757">
        <f t="shared" si="147"/>
        <v>0</v>
      </c>
      <c r="AH139" s="1757">
        <f t="shared" si="148"/>
        <v>0</v>
      </c>
      <c r="AI139" s="1757">
        <f t="shared" si="149"/>
        <v>0</v>
      </c>
      <c r="AJ139" s="1757">
        <f t="shared" si="150"/>
        <v>0.5</v>
      </c>
      <c r="AK139" s="1759">
        <f t="shared" si="151"/>
        <v>0</v>
      </c>
      <c r="AL139" s="1757">
        <f t="shared" si="152"/>
        <v>0</v>
      </c>
      <c r="AM139" s="1757">
        <f t="shared" si="153"/>
        <v>0</v>
      </c>
      <c r="AN139" s="1758"/>
      <c r="AO139" s="1770"/>
      <c r="AP139" s="1770"/>
      <c r="AQ139" s="1676"/>
      <c r="AR139" s="1645" t="s">
        <v>1443</v>
      </c>
      <c r="AS139" s="1595" t="s">
        <v>1789</v>
      </c>
      <c r="AT139" s="1735" t="s">
        <v>1655</v>
      </c>
      <c r="AU139" s="1621"/>
      <c r="AV139" s="1621"/>
      <c r="AW139" s="1621"/>
      <c r="AX139" s="1621"/>
      <c r="AY139" s="1621"/>
      <c r="AZ139" s="1621"/>
      <c r="BA139" s="1621">
        <v>0.5</v>
      </c>
      <c r="BB139" s="1622"/>
      <c r="BC139" s="1621"/>
      <c r="BD139" s="1621"/>
      <c r="BE139" s="1623"/>
      <c r="BF139" s="2084"/>
      <c r="BG139" s="2084"/>
      <c r="BH139"/>
      <c r="BI139" s="1645" t="s">
        <v>1443</v>
      </c>
      <c r="BJ139" s="1595" t="s">
        <v>1789</v>
      </c>
      <c r="BK139" s="1735" t="s">
        <v>1655</v>
      </c>
      <c r="BL139" s="1621"/>
      <c r="BM139" s="1621"/>
      <c r="BN139" s="1621"/>
      <c r="BO139" s="1621"/>
      <c r="BP139" s="1621"/>
      <c r="BQ139" s="1621"/>
      <c r="BR139" s="1621">
        <v>0.5</v>
      </c>
      <c r="BS139" s="1622"/>
      <c r="BT139" s="1621"/>
      <c r="BU139" s="1621"/>
      <c r="BV139" s="1623"/>
      <c r="BW139" s="2084"/>
      <c r="BX139" s="2084"/>
      <c r="BY139"/>
    </row>
    <row r="140" spans="1:77" s="1603" customFormat="1" ht="13.5" customHeight="1">
      <c r="A140"/>
      <c r="B140" s="1595" t="str">
        <f t="shared" si="116"/>
        <v>LR2</v>
      </c>
      <c r="C140" s="1595" t="str">
        <f t="shared" si="117"/>
        <v>資源・マテリアル</v>
      </c>
      <c r="D140" s="2088" t="e">
        <f>IF(I$116=0,0,G140/I$116)</f>
        <v>#VALUE!</v>
      </c>
      <c r="E140" s="2054" t="e">
        <f>IF(J$116=0,0,H140/J$116)</f>
        <v>#DIV/0!</v>
      </c>
      <c r="F140"/>
      <c r="G140" s="2054" t="e">
        <f t="shared" si="118"/>
        <v>#DIV/0!</v>
      </c>
      <c r="H140" s="2054" t="e">
        <f t="shared" si="118"/>
        <v>#DIV/0!</v>
      </c>
      <c r="I140" s="2054" t="e">
        <f>G141+G146+G153</f>
        <v>#DIV/0!</v>
      </c>
      <c r="J140" s="2054" t="e">
        <f>H141+H146+H153</f>
        <v>#DIV/0!</v>
      </c>
      <c r="K140" s="1598" t="e">
        <f>IF(スコア表示!X140=0,0,1)</f>
        <v>#DIV/0!</v>
      </c>
      <c r="L140" s="1598">
        <f>IF(スコア表示!AB140=0,0,1)</f>
        <v>0</v>
      </c>
      <c r="M140"/>
      <c r="N140" s="1729" t="e">
        <f>IF(P$116=0,0,R140/P$116)</f>
        <v>#DIV/0!</v>
      </c>
      <c r="O140" s="1729" t="e">
        <f>IF(Q$116=0,0,S140/Q$116)</f>
        <v>#DIV/0!</v>
      </c>
      <c r="P140" s="1598" t="e">
        <f>R141+R146+R153</f>
        <v>#DIV/0!</v>
      </c>
      <c r="Q140" s="1598" t="e">
        <f>S141+S146+S153</f>
        <v>#DIV/0!</v>
      </c>
      <c r="R140" s="1598" t="e">
        <f>IF(スコア入力!R140="EB",重み_対象外!D140,U140)</f>
        <v>#DIV/0!</v>
      </c>
      <c r="S140" s="1598" t="e">
        <f>IF(スコア入力!Y140="EB",重み_対象外!E140,V140)</f>
        <v>#DIV/0!</v>
      </c>
      <c r="T140" s="1558"/>
      <c r="U140" s="1751" t="e">
        <f>X140</f>
        <v>#DIV/0!</v>
      </c>
      <c r="V140" s="1751" t="e">
        <f>Y140</f>
        <v>#DIV/0!</v>
      </c>
      <c r="W140" s="1558"/>
      <c r="X140" s="1598" t="e">
        <f t="shared" si="73"/>
        <v>#DIV/0!</v>
      </c>
      <c r="Y140" s="1598" t="e">
        <f t="shared" si="74"/>
        <v>#DIV/0!</v>
      </c>
      <c r="Z140" s="1599"/>
      <c r="AA140" s="1679" t="str">
        <f t="shared" si="122"/>
        <v>LR2</v>
      </c>
      <c r="AB140" s="1679" t="str">
        <f t="shared" si="123"/>
        <v>LR</v>
      </c>
      <c r="AC140" s="1600" t="str">
        <f t="shared" ref="AC140:AC162" si="155">IF($AA$3=1,AT140,BK140)</f>
        <v>資源・マテリアル</v>
      </c>
      <c r="AD140" s="1752">
        <f t="shared" si="130"/>
        <v>0.3</v>
      </c>
      <c r="AE140" s="1752">
        <f t="shared" si="131"/>
        <v>0.3</v>
      </c>
      <c r="AF140" s="1752">
        <f t="shared" si="132"/>
        <v>0.3</v>
      </c>
      <c r="AG140" s="1752">
        <f t="shared" si="133"/>
        <v>0.3</v>
      </c>
      <c r="AH140" s="1752">
        <f t="shared" si="134"/>
        <v>0.3</v>
      </c>
      <c r="AI140" s="1752">
        <f t="shared" si="135"/>
        <v>0.3</v>
      </c>
      <c r="AJ140" s="1752">
        <f t="shared" si="141"/>
        <v>0.3</v>
      </c>
      <c r="AK140" s="1779">
        <f t="shared" si="136"/>
        <v>0.3</v>
      </c>
      <c r="AL140" s="1752">
        <f t="shared" si="137"/>
        <v>0.3</v>
      </c>
      <c r="AM140" s="1752">
        <f t="shared" si="137"/>
        <v>0.3</v>
      </c>
      <c r="AN140" s="1780">
        <f t="shared" si="138"/>
        <v>0</v>
      </c>
      <c r="AO140" s="1781">
        <f t="shared" si="139"/>
        <v>0</v>
      </c>
      <c r="AP140" s="1781">
        <f t="shared" si="140"/>
        <v>0</v>
      </c>
      <c r="AQ140" s="1683"/>
      <c r="AR140" s="1596" t="s">
        <v>1526</v>
      </c>
      <c r="AS140" s="2091" t="s">
        <v>1500</v>
      </c>
      <c r="AT140" s="2055" t="s">
        <v>1527</v>
      </c>
      <c r="AU140" s="2057">
        <v>0.3</v>
      </c>
      <c r="AV140" s="2057">
        <v>0.3</v>
      </c>
      <c r="AW140" s="2057">
        <v>0.3</v>
      </c>
      <c r="AX140" s="2057">
        <v>0.3</v>
      </c>
      <c r="AY140" s="2057">
        <v>0.3</v>
      </c>
      <c r="AZ140" s="2057">
        <v>0.3</v>
      </c>
      <c r="BA140" s="2057">
        <v>0.3</v>
      </c>
      <c r="BB140" s="2092">
        <v>0.3</v>
      </c>
      <c r="BC140" s="2057">
        <v>0.3</v>
      </c>
      <c r="BD140" s="2057">
        <v>0.3</v>
      </c>
      <c r="BE140" s="2093"/>
      <c r="BF140" s="2094"/>
      <c r="BG140" s="2094"/>
      <c r="BH140"/>
      <c r="BI140" s="1596" t="s">
        <v>1526</v>
      </c>
      <c r="BJ140" s="2091" t="s">
        <v>1500</v>
      </c>
      <c r="BK140" s="2055" t="s">
        <v>1527</v>
      </c>
      <c r="BL140" s="2057">
        <v>0.3</v>
      </c>
      <c r="BM140" s="2057">
        <v>0.3</v>
      </c>
      <c r="BN140" s="2057">
        <v>0.3</v>
      </c>
      <c r="BO140" s="2057">
        <v>0.3</v>
      </c>
      <c r="BP140" s="2057">
        <v>0.3</v>
      </c>
      <c r="BQ140" s="2057">
        <v>0.3</v>
      </c>
      <c r="BR140" s="2057">
        <v>0.3</v>
      </c>
      <c r="BS140" s="2092">
        <v>0.3</v>
      </c>
      <c r="BT140" s="2057">
        <v>0.3</v>
      </c>
      <c r="BU140" s="2057">
        <v>0.3</v>
      </c>
      <c r="BV140" s="2093"/>
      <c r="BW140" s="2094"/>
      <c r="BX140" s="2094"/>
      <c r="BY140"/>
    </row>
    <row r="141" spans="1:77" s="1603" customFormat="1" ht="13.5" customHeight="1">
      <c r="A141"/>
      <c r="B141" s="1671">
        <f t="shared" ref="B141:B172" si="156">AA141</f>
        <v>1</v>
      </c>
      <c r="C141" s="1639" t="str">
        <f t="shared" ref="C141:C172" si="157">AC141</f>
        <v>水資源保護</v>
      </c>
      <c r="D141" s="2059" t="e">
        <f>IF(I$140=0,0,G141/I$140)</f>
        <v>#DIV/0!</v>
      </c>
      <c r="E141" s="1741" t="e">
        <f>IF(J$140=0,0,H141/J$140)</f>
        <v>#DIV/0!</v>
      </c>
      <c r="F141"/>
      <c r="G141" s="1741" t="e">
        <f t="shared" ref="G141:H172" si="158">K141*N141</f>
        <v>#DIV/0!</v>
      </c>
      <c r="H141" s="1741" t="e">
        <f t="shared" si="158"/>
        <v>#DIV/0!</v>
      </c>
      <c r="I141" s="1741" t="e">
        <f>G142+G143</f>
        <v>#DIV/0!</v>
      </c>
      <c r="J141" s="1741" t="e">
        <f>H142+H143</f>
        <v>#DIV/0!</v>
      </c>
      <c r="K141" s="1607" t="e">
        <f>IF(スコア表示!X141=0,0,1)</f>
        <v>#DIV/0!</v>
      </c>
      <c r="L141" s="1607" t="e">
        <f>IF(スコア表示!AB141=0,0,1)</f>
        <v>#DIV/0!</v>
      </c>
      <c r="M141"/>
      <c r="N141" s="1705" t="e">
        <f>IF(P$140=0,0,R141/P$140)</f>
        <v>#DIV/0!</v>
      </c>
      <c r="O141" s="1705" t="e">
        <f>IF(Q$140=0,0,S141/Q$140)</f>
        <v>#DIV/0!</v>
      </c>
      <c r="P141" s="1607" t="e">
        <f>SUM(R142:R145)</f>
        <v>#DIV/0!</v>
      </c>
      <c r="Q141" s="1607" t="e">
        <f>SUM(S142:S145)</f>
        <v>#DIV/0!</v>
      </c>
      <c r="R141" s="1607" t="e">
        <f>IF(スコア入力!R141="EB",重み_対象外!D141,U141)</f>
        <v>#DIV/0!</v>
      </c>
      <c r="S141" s="1607" t="e">
        <f>IF(スコア入力!Y141="EB",重み_対象外!E141,V141)</f>
        <v>#DIV/0!</v>
      </c>
      <c r="T141" s="1558"/>
      <c r="U141" s="1605" t="e">
        <f>SUM(U142:U145)</f>
        <v>#DIV/0!</v>
      </c>
      <c r="V141" s="1605" t="e">
        <f>SUM(V142:V145)</f>
        <v>#DIV/0!</v>
      </c>
      <c r="W141" s="1558"/>
      <c r="X141" s="1607" t="e">
        <f t="shared" si="73"/>
        <v>#DIV/0!</v>
      </c>
      <c r="Y141" s="1607" t="e">
        <f t="shared" si="74"/>
        <v>#DIV/0!</v>
      </c>
      <c r="Z141" s="1599"/>
      <c r="AA141" s="1672">
        <f t="shared" si="122"/>
        <v>1</v>
      </c>
      <c r="AB141" s="1604" t="str">
        <f t="shared" si="123"/>
        <v>LR2</v>
      </c>
      <c r="AC141" s="1604" t="str">
        <f t="shared" si="155"/>
        <v>水資源保護</v>
      </c>
      <c r="AD141" s="1754">
        <f t="shared" si="130"/>
        <v>0.2</v>
      </c>
      <c r="AE141" s="1754">
        <f t="shared" si="131"/>
        <v>0.2</v>
      </c>
      <c r="AF141" s="1754">
        <f t="shared" si="132"/>
        <v>0.2</v>
      </c>
      <c r="AG141" s="1754">
        <f t="shared" si="133"/>
        <v>0.2</v>
      </c>
      <c r="AH141" s="1754">
        <f t="shared" si="134"/>
        <v>0.2</v>
      </c>
      <c r="AI141" s="1754">
        <f t="shared" si="135"/>
        <v>0.2</v>
      </c>
      <c r="AJ141" s="1754">
        <f t="shared" si="141"/>
        <v>0.2</v>
      </c>
      <c r="AK141" s="1766">
        <f t="shared" si="136"/>
        <v>0.2</v>
      </c>
      <c r="AL141" s="1754">
        <f t="shared" si="137"/>
        <v>0.2</v>
      </c>
      <c r="AM141" s="1754">
        <f t="shared" si="137"/>
        <v>0.2</v>
      </c>
      <c r="AN141" s="1782">
        <f t="shared" si="138"/>
        <v>0</v>
      </c>
      <c r="AO141" s="1783">
        <f t="shared" si="139"/>
        <v>0</v>
      </c>
      <c r="AP141" s="1783">
        <f t="shared" si="140"/>
        <v>0</v>
      </c>
      <c r="AQ141" s="1683"/>
      <c r="AR141" s="1671">
        <v>1</v>
      </c>
      <c r="AS141" s="1742" t="s">
        <v>367</v>
      </c>
      <c r="AT141" s="1778" t="s">
        <v>757</v>
      </c>
      <c r="AU141" s="1709">
        <v>0.2</v>
      </c>
      <c r="AV141" s="1709">
        <v>0.2</v>
      </c>
      <c r="AW141" s="1709">
        <v>0.2</v>
      </c>
      <c r="AX141" s="1709">
        <v>0.2</v>
      </c>
      <c r="AY141" s="1709">
        <v>0.2</v>
      </c>
      <c r="AZ141" s="1709">
        <v>0.2</v>
      </c>
      <c r="BA141" s="1709">
        <v>0.2</v>
      </c>
      <c r="BB141" s="2080">
        <v>0.2</v>
      </c>
      <c r="BC141" s="1709">
        <v>0.2</v>
      </c>
      <c r="BD141" s="1709">
        <v>0.2</v>
      </c>
      <c r="BE141" s="2095"/>
      <c r="BF141" s="2096"/>
      <c r="BG141" s="2096"/>
      <c r="BH141"/>
      <c r="BI141" s="1671">
        <v>1</v>
      </c>
      <c r="BJ141" s="1742" t="s">
        <v>367</v>
      </c>
      <c r="BK141" s="1778" t="s">
        <v>757</v>
      </c>
      <c r="BL141" s="1709">
        <v>0.2</v>
      </c>
      <c r="BM141" s="1709">
        <v>0.2</v>
      </c>
      <c r="BN141" s="1709">
        <v>0.2</v>
      </c>
      <c r="BO141" s="1709">
        <v>0.2</v>
      </c>
      <c r="BP141" s="1709">
        <v>0.2</v>
      </c>
      <c r="BQ141" s="1709">
        <v>0.2</v>
      </c>
      <c r="BR141" s="1709">
        <v>0.2</v>
      </c>
      <c r="BS141" s="2080">
        <v>0.2</v>
      </c>
      <c r="BT141" s="1709">
        <v>0.2</v>
      </c>
      <c r="BU141" s="1709">
        <v>0.2</v>
      </c>
      <c r="BV141" s="2095"/>
      <c r="BW141" s="2096"/>
      <c r="BX141" s="2096"/>
      <c r="BY141"/>
    </row>
    <row r="142" spans="1:77" ht="13.5" customHeight="1">
      <c r="B142" s="1611">
        <f t="shared" si="156"/>
        <v>1.1000000000000001</v>
      </c>
      <c r="C142" s="1612" t="str">
        <f t="shared" si="157"/>
        <v>節水</v>
      </c>
      <c r="D142" s="1714" t="e">
        <f>IF(I$141=0,0,G142/I$141)</f>
        <v>#DIV/0!</v>
      </c>
      <c r="E142" s="1689" t="e">
        <f>IF(J$141=0,0,H142/J$141)</f>
        <v>#DIV/0!</v>
      </c>
      <c r="G142" s="1689" t="e">
        <f t="shared" si="158"/>
        <v>#DIV/0!</v>
      </c>
      <c r="H142" s="1689" t="e">
        <f t="shared" si="158"/>
        <v>#DIV/0!</v>
      </c>
      <c r="I142" s="1689"/>
      <c r="J142" s="1689"/>
      <c r="K142" s="1614">
        <f>IF(スコア表示!X142=0,0,1)</f>
        <v>1</v>
      </c>
      <c r="L142" s="1614">
        <f>IF(スコア表示!AB142=0,0,1)</f>
        <v>0</v>
      </c>
      <c r="N142" s="1711" t="e">
        <f>IF(P$141=0,0,R142/P$141)</f>
        <v>#DIV/0!</v>
      </c>
      <c r="O142" s="1711" t="e">
        <f>IF(Q$141=0,0,S142/Q$141)</f>
        <v>#DIV/0!</v>
      </c>
      <c r="P142" s="1614"/>
      <c r="Q142" s="1614"/>
      <c r="R142" s="1614" t="e">
        <f>IF(スコア入力!R142="EB",重み_対象外!D142,U142)</f>
        <v>#DIV/0!</v>
      </c>
      <c r="S142" s="1614" t="e">
        <f>IF(スコア入力!Y142="EB",重み_対象外!E142,V142)</f>
        <v>#DIV/0!</v>
      </c>
      <c r="T142" s="1558"/>
      <c r="U142" s="1612" t="e">
        <f>X$141*X142</f>
        <v>#DIV/0!</v>
      </c>
      <c r="V142" s="1612" t="e">
        <f>Y$141*Y142</f>
        <v>#DIV/0!</v>
      </c>
      <c r="W142" s="1558"/>
      <c r="X142" s="1614" t="e">
        <f t="shared" ref="X142:X180" si="159">SUMPRODUCT($AD$7:$AM$7,AD142:AM142)</f>
        <v>#DIV/0!</v>
      </c>
      <c r="Y142" s="1614" t="e">
        <f t="shared" ref="Y142:Y180" si="160">(AN$7*AN142)+(AO$7*AO142)+(AP$7*AP142)</f>
        <v>#DIV/0!</v>
      </c>
      <c r="Z142" s="1569"/>
      <c r="AA142" s="1611">
        <f t="shared" si="122"/>
        <v>1.1000000000000001</v>
      </c>
      <c r="AB142" s="1611" t="str">
        <f t="shared" si="123"/>
        <v>LR2 1</v>
      </c>
      <c r="AC142" s="1611" t="str">
        <f t="shared" si="155"/>
        <v>節水</v>
      </c>
      <c r="AD142" s="1757">
        <f t="shared" si="130"/>
        <v>0.4</v>
      </c>
      <c r="AE142" s="1757">
        <f t="shared" si="131"/>
        <v>0.4</v>
      </c>
      <c r="AF142" s="1757">
        <f t="shared" si="132"/>
        <v>0.4</v>
      </c>
      <c r="AG142" s="1757">
        <f t="shared" si="133"/>
        <v>0.4</v>
      </c>
      <c r="AH142" s="1757">
        <f t="shared" si="134"/>
        <v>0.4</v>
      </c>
      <c r="AI142" s="1757">
        <f t="shared" si="135"/>
        <v>0.4</v>
      </c>
      <c r="AJ142" s="1757">
        <f t="shared" si="141"/>
        <v>0.4</v>
      </c>
      <c r="AK142" s="1759">
        <f t="shared" si="136"/>
        <v>0.4</v>
      </c>
      <c r="AL142" s="1757">
        <f t="shared" si="137"/>
        <v>0.4</v>
      </c>
      <c r="AM142" s="1757">
        <f t="shared" si="137"/>
        <v>0.4</v>
      </c>
      <c r="AN142" s="1784">
        <f t="shared" si="138"/>
        <v>0</v>
      </c>
      <c r="AO142" s="1762">
        <f t="shared" si="139"/>
        <v>0</v>
      </c>
      <c r="AP142" s="1762">
        <f t="shared" si="140"/>
        <v>0</v>
      </c>
      <c r="AR142" s="1645">
        <v>1.1000000000000001</v>
      </c>
      <c r="AS142" s="1691" t="s">
        <v>368</v>
      </c>
      <c r="AT142" s="2061" t="s">
        <v>758</v>
      </c>
      <c r="AU142" s="1621">
        <v>0.4</v>
      </c>
      <c r="AV142" s="1621">
        <v>0.4</v>
      </c>
      <c r="AW142" s="1621">
        <v>0.4</v>
      </c>
      <c r="AX142" s="1621">
        <v>0.4</v>
      </c>
      <c r="AY142" s="1621">
        <v>0.4</v>
      </c>
      <c r="AZ142" s="1621">
        <v>0.4</v>
      </c>
      <c r="BA142" s="1621">
        <v>0.4</v>
      </c>
      <c r="BB142" s="1622">
        <v>0.4</v>
      </c>
      <c r="BC142" s="1621">
        <v>0.4</v>
      </c>
      <c r="BD142" s="1621">
        <v>0.4</v>
      </c>
      <c r="BE142" s="1867"/>
      <c r="BF142" s="1713"/>
      <c r="BG142" s="1713"/>
      <c r="BI142" s="1645">
        <v>1.1000000000000001</v>
      </c>
      <c r="BJ142" s="1691" t="s">
        <v>368</v>
      </c>
      <c r="BK142" s="2061" t="s">
        <v>758</v>
      </c>
      <c r="BL142" s="1621">
        <v>0.4</v>
      </c>
      <c r="BM142" s="1621">
        <v>0.4</v>
      </c>
      <c r="BN142" s="1621">
        <v>0.4</v>
      </c>
      <c r="BO142" s="1621">
        <v>0.4</v>
      </c>
      <c r="BP142" s="1621">
        <v>0.4</v>
      </c>
      <c r="BQ142" s="1621">
        <v>0.4</v>
      </c>
      <c r="BR142" s="1621">
        <v>0.4</v>
      </c>
      <c r="BS142" s="1622">
        <v>0.4</v>
      </c>
      <c r="BT142" s="1621">
        <v>0.4</v>
      </c>
      <c r="BU142" s="1621">
        <v>0.4</v>
      </c>
      <c r="BV142" s="1867"/>
      <c r="BW142" s="1713"/>
      <c r="BX142" s="1713"/>
    </row>
    <row r="143" spans="1:77" ht="13.5" customHeight="1">
      <c r="B143" s="1674">
        <f t="shared" si="156"/>
        <v>1.2</v>
      </c>
      <c r="C143" s="1645" t="str">
        <f t="shared" si="157"/>
        <v>雨水利用・雑排水再利用</v>
      </c>
      <c r="D143" s="1714" t="e">
        <f>IF(I$141=0,0,G143/I$141)</f>
        <v>#DIV/0!</v>
      </c>
      <c r="E143" s="1689" t="e">
        <f>IF(J$141=0,0,H143/J$141)</f>
        <v>#DIV/0!</v>
      </c>
      <c r="G143" s="1689" t="e">
        <f>K143*N143</f>
        <v>#DIV/0!</v>
      </c>
      <c r="H143" s="1689" t="e">
        <f t="shared" si="158"/>
        <v>#DIV/0!</v>
      </c>
      <c r="I143" s="1689" t="e">
        <f>SUM(G144:G145)</f>
        <v>#DIV/0!</v>
      </c>
      <c r="J143" s="1689" t="e">
        <f>SUM(H144:H145)</f>
        <v>#DIV/0!</v>
      </c>
      <c r="K143" s="1614" t="e">
        <f>IF(スコア表示!X143=0,0,1)</f>
        <v>#DIV/0!</v>
      </c>
      <c r="L143" s="1614" t="e">
        <f>IF(スコア表示!AB143=0,0,1)</f>
        <v>#DIV/0!</v>
      </c>
      <c r="N143" s="1711" t="e">
        <f>IF(P$141=0,0,P143/P$141)</f>
        <v>#DIV/0!</v>
      </c>
      <c r="O143" s="1711" t="e">
        <f>IF(Q$141=0,0,Q143/Q$141)</f>
        <v>#DIV/0!</v>
      </c>
      <c r="P143" s="1614" t="e">
        <f>SUM(R144:R145)</f>
        <v>#DIV/0!</v>
      </c>
      <c r="Q143" s="1614" t="e">
        <f>SUM(S144:S145)</f>
        <v>#DIV/0!</v>
      </c>
      <c r="R143" s="1614">
        <f>IF(スコア入力!R143="EB",重み_対象外!D143,U143)</f>
        <v>0</v>
      </c>
      <c r="S143" s="1614">
        <f>IF(スコア入力!Y143="EB",重み_対象外!E143,V143)</f>
        <v>0</v>
      </c>
      <c r="T143" s="1558"/>
      <c r="U143" s="1628"/>
      <c r="V143" s="1628"/>
      <c r="W143" s="1558"/>
      <c r="X143" s="1614" t="e">
        <f t="shared" si="159"/>
        <v>#DIV/0!</v>
      </c>
      <c r="Y143" s="1614" t="e">
        <f t="shared" si="160"/>
        <v>#DIV/0!</v>
      </c>
      <c r="Z143" s="1569"/>
      <c r="AA143" s="1674">
        <f t="shared" si="122"/>
        <v>1.2</v>
      </c>
      <c r="AB143" s="1611" t="str">
        <f t="shared" si="123"/>
        <v>LR2 1</v>
      </c>
      <c r="AC143" s="1611" t="str">
        <f t="shared" si="155"/>
        <v>雨水利用・雑排水再利用</v>
      </c>
      <c r="AD143" s="1757">
        <f t="shared" si="130"/>
        <v>0.6</v>
      </c>
      <c r="AE143" s="1757">
        <f t="shared" si="131"/>
        <v>0.6</v>
      </c>
      <c r="AF143" s="1757">
        <f t="shared" si="132"/>
        <v>0.6</v>
      </c>
      <c r="AG143" s="1757">
        <f t="shared" si="133"/>
        <v>0.6</v>
      </c>
      <c r="AH143" s="1757">
        <f t="shared" si="134"/>
        <v>0.6</v>
      </c>
      <c r="AI143" s="1757">
        <f t="shared" si="135"/>
        <v>0.6</v>
      </c>
      <c r="AJ143" s="1757">
        <f t="shared" si="141"/>
        <v>0.6</v>
      </c>
      <c r="AK143" s="1759">
        <f t="shared" si="136"/>
        <v>0.6</v>
      </c>
      <c r="AL143" s="1757">
        <f t="shared" si="137"/>
        <v>0.6</v>
      </c>
      <c r="AM143" s="1757">
        <f t="shared" si="137"/>
        <v>0.6</v>
      </c>
      <c r="AN143" s="1784">
        <f t="shared" si="138"/>
        <v>0</v>
      </c>
      <c r="AO143" s="1762">
        <f t="shared" si="139"/>
        <v>0</v>
      </c>
      <c r="AP143" s="1762">
        <f t="shared" si="140"/>
        <v>0</v>
      </c>
      <c r="AR143" s="2089">
        <v>1.2</v>
      </c>
      <c r="AS143" s="1691" t="s">
        <v>368</v>
      </c>
      <c r="AT143" s="1735" t="s">
        <v>759</v>
      </c>
      <c r="AU143" s="1621">
        <v>0.6</v>
      </c>
      <c r="AV143" s="1621">
        <v>0.6</v>
      </c>
      <c r="AW143" s="1621">
        <v>0.6</v>
      </c>
      <c r="AX143" s="1621">
        <v>0.6</v>
      </c>
      <c r="AY143" s="1621">
        <v>0.6</v>
      </c>
      <c r="AZ143" s="1621">
        <v>0.6</v>
      </c>
      <c r="BA143" s="1621">
        <v>0.6</v>
      </c>
      <c r="BB143" s="1622">
        <v>0.6</v>
      </c>
      <c r="BC143" s="1621">
        <v>0.6</v>
      </c>
      <c r="BD143" s="1621">
        <v>0.6</v>
      </c>
      <c r="BE143" s="1867"/>
      <c r="BF143" s="1713"/>
      <c r="BG143" s="1713"/>
      <c r="BI143" s="2089">
        <v>1.2</v>
      </c>
      <c r="BJ143" s="1691" t="s">
        <v>368</v>
      </c>
      <c r="BK143" s="1735" t="s">
        <v>759</v>
      </c>
      <c r="BL143" s="1621">
        <v>0.6</v>
      </c>
      <c r="BM143" s="1621">
        <v>0.6</v>
      </c>
      <c r="BN143" s="1621">
        <v>0.6</v>
      </c>
      <c r="BO143" s="1621">
        <v>0.6</v>
      </c>
      <c r="BP143" s="1621">
        <v>0.6</v>
      </c>
      <c r="BQ143" s="1621">
        <v>0.6</v>
      </c>
      <c r="BR143" s="1621">
        <v>0.6</v>
      </c>
      <c r="BS143" s="1622">
        <v>0.6</v>
      </c>
      <c r="BT143" s="1621">
        <v>0.6</v>
      </c>
      <c r="BU143" s="1621">
        <v>0.6</v>
      </c>
      <c r="BV143" s="1867"/>
      <c r="BW143" s="1713"/>
      <c r="BX143" s="1713"/>
    </row>
    <row r="144" spans="1:77" ht="13.5" customHeight="1">
      <c r="B144" s="1619" t="str">
        <f t="shared" si="156"/>
        <v>1.2.1</v>
      </c>
      <c r="C144" s="1612" t="str">
        <f t="shared" si="157"/>
        <v>雨水利用システム導入の有無</v>
      </c>
      <c r="D144" s="1719" t="e">
        <f>IF(I$143&gt;0,G144/I$143,0)</f>
        <v>#DIV/0!</v>
      </c>
      <c r="E144" s="1689" t="e">
        <f>IF(J$143&gt;0,H144/J$143,0)</f>
        <v>#DIV/0!</v>
      </c>
      <c r="G144" s="1689" t="e">
        <f t="shared" si="158"/>
        <v>#DIV/0!</v>
      </c>
      <c r="H144" s="1689" t="e">
        <f t="shared" si="158"/>
        <v>#DIV/0!</v>
      </c>
      <c r="I144" s="1689"/>
      <c r="J144" s="1689"/>
      <c r="K144" s="1614">
        <f>IF(スコア表示!X144=0,0,1)</f>
        <v>1</v>
      </c>
      <c r="L144" s="1614">
        <f>IF(スコア表示!AB144=0,0,1)</f>
        <v>0</v>
      </c>
      <c r="N144" s="1706" t="e">
        <f>IF(P$143&gt;0,R144/P$143,0)</f>
        <v>#DIV/0!</v>
      </c>
      <c r="O144" s="1706" t="e">
        <f>IF(Q$143&gt;0,S144/Q$143,0)</f>
        <v>#DIV/0!</v>
      </c>
      <c r="P144" s="1614"/>
      <c r="Q144" s="1614"/>
      <c r="R144" s="1614" t="e">
        <f>IF(スコア入力!R144="EB",重み_対象外!D144,U144)</f>
        <v>#DIV/0!</v>
      </c>
      <c r="S144" s="1614" t="e">
        <f>IF(スコア入力!Y144="EB",重み_対象外!E144,V144)</f>
        <v>#DIV/0!</v>
      </c>
      <c r="T144" s="1558"/>
      <c r="U144" s="1612" t="e">
        <f>X$141*X$143*X144</f>
        <v>#DIV/0!</v>
      </c>
      <c r="V144" s="1612" t="e">
        <f>Y$141*Y$143*Y144</f>
        <v>#DIV/0!</v>
      </c>
      <c r="W144" s="1558"/>
      <c r="X144" s="1614" t="e">
        <f t="shared" si="159"/>
        <v>#DIV/0!</v>
      </c>
      <c r="Y144" s="1614" t="e">
        <f t="shared" si="160"/>
        <v>#DIV/0!</v>
      </c>
      <c r="Z144" s="1569"/>
      <c r="AA144" s="1611" t="str">
        <f t="shared" si="122"/>
        <v>1.2.1</v>
      </c>
      <c r="AB144" s="1611" t="str">
        <f t="shared" si="123"/>
        <v>LR2 1.2</v>
      </c>
      <c r="AC144" s="1611" t="str">
        <f t="shared" si="155"/>
        <v>雨水利用システム導入の有無</v>
      </c>
      <c r="AD144" s="1757">
        <f t="shared" si="130"/>
        <v>0.7</v>
      </c>
      <c r="AE144" s="1757">
        <f t="shared" si="131"/>
        <v>0.7</v>
      </c>
      <c r="AF144" s="1757">
        <f t="shared" si="132"/>
        <v>0.7</v>
      </c>
      <c r="AG144" s="1757">
        <f t="shared" si="133"/>
        <v>0.7</v>
      </c>
      <c r="AH144" s="1757">
        <f t="shared" si="134"/>
        <v>0.7</v>
      </c>
      <c r="AI144" s="1757">
        <f t="shared" si="135"/>
        <v>0.7</v>
      </c>
      <c r="AJ144" s="1757">
        <f t="shared" si="141"/>
        <v>0.7</v>
      </c>
      <c r="AK144" s="1759">
        <f t="shared" si="136"/>
        <v>0.7</v>
      </c>
      <c r="AL144" s="1757">
        <f t="shared" si="137"/>
        <v>0.7</v>
      </c>
      <c r="AM144" s="1757">
        <f t="shared" si="137"/>
        <v>0.7</v>
      </c>
      <c r="AN144" s="1784">
        <f t="shared" si="138"/>
        <v>0</v>
      </c>
      <c r="AO144" s="1762">
        <f t="shared" si="139"/>
        <v>0</v>
      </c>
      <c r="AP144" s="1762">
        <f t="shared" si="140"/>
        <v>0</v>
      </c>
      <c r="AR144" s="1645" t="s">
        <v>1457</v>
      </c>
      <c r="AS144" s="1691" t="s">
        <v>369</v>
      </c>
      <c r="AT144" s="2061" t="s">
        <v>1528</v>
      </c>
      <c r="AU144" s="1621">
        <v>0.7</v>
      </c>
      <c r="AV144" s="1621">
        <v>0.7</v>
      </c>
      <c r="AW144" s="1621">
        <v>0.7</v>
      </c>
      <c r="AX144" s="1621">
        <v>0.7</v>
      </c>
      <c r="AY144" s="1621">
        <v>0.7</v>
      </c>
      <c r="AZ144" s="1621">
        <v>0.7</v>
      </c>
      <c r="BA144" s="1621">
        <v>0.7</v>
      </c>
      <c r="BB144" s="1622">
        <v>0.7</v>
      </c>
      <c r="BC144" s="1621">
        <v>0.7</v>
      </c>
      <c r="BD144" s="1621">
        <v>0.7</v>
      </c>
      <c r="BE144" s="1867"/>
      <c r="BF144" s="1713"/>
      <c r="BG144" s="1713"/>
      <c r="BI144" s="1645" t="s">
        <v>1457</v>
      </c>
      <c r="BJ144" s="1691" t="s">
        <v>369</v>
      </c>
      <c r="BK144" s="2061" t="s">
        <v>1528</v>
      </c>
      <c r="BL144" s="1621">
        <v>0.7</v>
      </c>
      <c r="BM144" s="1621">
        <v>0.7</v>
      </c>
      <c r="BN144" s="1621">
        <v>0.7</v>
      </c>
      <c r="BO144" s="1621">
        <v>0.7</v>
      </c>
      <c r="BP144" s="1621">
        <v>0.7</v>
      </c>
      <c r="BQ144" s="1621">
        <v>0.7</v>
      </c>
      <c r="BR144" s="1621">
        <v>0.7</v>
      </c>
      <c r="BS144" s="1622">
        <v>0.7</v>
      </c>
      <c r="BT144" s="1621">
        <v>0.7</v>
      </c>
      <c r="BU144" s="1621">
        <v>0.7</v>
      </c>
      <c r="BV144" s="1867"/>
      <c r="BW144" s="1713"/>
      <c r="BX144" s="1713"/>
    </row>
    <row r="145" spans="1:77" ht="13.5" customHeight="1">
      <c r="B145" s="1611" t="str">
        <f t="shared" si="156"/>
        <v>1.2.2</v>
      </c>
      <c r="C145" s="1612" t="str">
        <f t="shared" si="157"/>
        <v>雑排水等再利用システム導入の有無</v>
      </c>
      <c r="D145" s="1719" t="e">
        <f>IF(I$143&gt;0,G145/I$143,0)</f>
        <v>#DIV/0!</v>
      </c>
      <c r="E145" s="1689" t="e">
        <f>IF(J$143&gt;0,H145/J$143,0)</f>
        <v>#DIV/0!</v>
      </c>
      <c r="G145" s="1689" t="e">
        <f>K145*N145</f>
        <v>#DIV/0!</v>
      </c>
      <c r="H145" s="1689" t="e">
        <f t="shared" si="158"/>
        <v>#DIV/0!</v>
      </c>
      <c r="I145" s="1689"/>
      <c r="J145" s="1689"/>
      <c r="K145" s="1614">
        <f>IF(スコア表示!X145=0,0,1)</f>
        <v>1</v>
      </c>
      <c r="L145" s="1614">
        <f>IF(スコア表示!AB145=0,0,1)</f>
        <v>0</v>
      </c>
      <c r="N145" s="1706" t="e">
        <f>IF(P$143&gt;0,R145/P$143,0)</f>
        <v>#DIV/0!</v>
      </c>
      <c r="O145" s="1706" t="e">
        <f>IF(Q$143&gt;0,S145/Q$143,0)</f>
        <v>#DIV/0!</v>
      </c>
      <c r="P145" s="1614"/>
      <c r="Q145" s="1614"/>
      <c r="R145" s="1614" t="e">
        <f>IF(スコア入力!R145="EB",重み_対象外!D145,U145)</f>
        <v>#DIV/0!</v>
      </c>
      <c r="S145" s="1614" t="e">
        <f>IF(スコア入力!Y145="EB",重み_対象外!E145,V145)</f>
        <v>#DIV/0!</v>
      </c>
      <c r="T145" s="1558"/>
      <c r="U145" s="1612" t="e">
        <f>X$141*X$143*X145</f>
        <v>#DIV/0!</v>
      </c>
      <c r="V145" s="1612" t="e">
        <f>Y$141*Y$143*Y145</f>
        <v>#DIV/0!</v>
      </c>
      <c r="W145" s="1558"/>
      <c r="X145" s="1614" t="e">
        <f t="shared" si="159"/>
        <v>#DIV/0!</v>
      </c>
      <c r="Y145" s="1614" t="e">
        <f t="shared" si="160"/>
        <v>#DIV/0!</v>
      </c>
      <c r="Z145" s="1569"/>
      <c r="AA145" s="1611" t="str">
        <f t="shared" si="122"/>
        <v>1.2.2</v>
      </c>
      <c r="AB145" s="1611" t="str">
        <f t="shared" si="123"/>
        <v>LR2 1.2</v>
      </c>
      <c r="AC145" s="1611" t="str">
        <f t="shared" si="155"/>
        <v>雑排水等再利用システム導入の有無</v>
      </c>
      <c r="AD145" s="1757">
        <f t="shared" si="130"/>
        <v>0.3</v>
      </c>
      <c r="AE145" s="1757">
        <f t="shared" si="131"/>
        <v>0.3</v>
      </c>
      <c r="AF145" s="1757">
        <f t="shared" si="132"/>
        <v>0.3</v>
      </c>
      <c r="AG145" s="1757">
        <f t="shared" si="133"/>
        <v>0.3</v>
      </c>
      <c r="AH145" s="1757">
        <f t="shared" si="134"/>
        <v>0.3</v>
      </c>
      <c r="AI145" s="1757">
        <f t="shared" si="135"/>
        <v>0.3</v>
      </c>
      <c r="AJ145" s="1757">
        <f t="shared" si="141"/>
        <v>0.3</v>
      </c>
      <c r="AK145" s="1759">
        <f t="shared" si="136"/>
        <v>0.3</v>
      </c>
      <c r="AL145" s="1757">
        <f t="shared" si="137"/>
        <v>0.3</v>
      </c>
      <c r="AM145" s="1757">
        <f t="shared" si="137"/>
        <v>0.3</v>
      </c>
      <c r="AN145" s="1784">
        <f t="shared" si="138"/>
        <v>0</v>
      </c>
      <c r="AO145" s="1762">
        <f t="shared" si="139"/>
        <v>0</v>
      </c>
      <c r="AP145" s="1762">
        <f t="shared" si="140"/>
        <v>0</v>
      </c>
      <c r="AR145" s="1645" t="s">
        <v>1458</v>
      </c>
      <c r="AS145" s="1691" t="s">
        <v>369</v>
      </c>
      <c r="AT145" s="2061" t="s">
        <v>901</v>
      </c>
      <c r="AU145" s="1621">
        <v>0.3</v>
      </c>
      <c r="AV145" s="1621">
        <v>0.3</v>
      </c>
      <c r="AW145" s="1621">
        <v>0.3</v>
      </c>
      <c r="AX145" s="1621">
        <v>0.3</v>
      </c>
      <c r="AY145" s="1621">
        <v>0.3</v>
      </c>
      <c r="AZ145" s="1621">
        <v>0.3</v>
      </c>
      <c r="BA145" s="1621">
        <v>0.3</v>
      </c>
      <c r="BB145" s="1622">
        <v>0.3</v>
      </c>
      <c r="BC145" s="1621">
        <v>0.3</v>
      </c>
      <c r="BD145" s="1621">
        <v>0.3</v>
      </c>
      <c r="BE145" s="1867"/>
      <c r="BF145" s="1713"/>
      <c r="BG145" s="1713"/>
      <c r="BI145" s="1645" t="s">
        <v>1458</v>
      </c>
      <c r="BJ145" s="1691" t="s">
        <v>369</v>
      </c>
      <c r="BK145" s="2061" t="s">
        <v>901</v>
      </c>
      <c r="BL145" s="1621">
        <v>0.3</v>
      </c>
      <c r="BM145" s="1621">
        <v>0.3</v>
      </c>
      <c r="BN145" s="1621">
        <v>0.3</v>
      </c>
      <c r="BO145" s="1621">
        <v>0.3</v>
      </c>
      <c r="BP145" s="1621">
        <v>0.3</v>
      </c>
      <c r="BQ145" s="1621">
        <v>0.3</v>
      </c>
      <c r="BR145" s="1621">
        <v>0.3</v>
      </c>
      <c r="BS145" s="1622">
        <v>0.3</v>
      </c>
      <c r="BT145" s="1621">
        <v>0.3</v>
      </c>
      <c r="BU145" s="1621">
        <v>0.3</v>
      </c>
      <c r="BV145" s="1867"/>
      <c r="BW145" s="1713"/>
      <c r="BX145" s="1713"/>
    </row>
    <row r="146" spans="1:77" s="1603" customFormat="1" ht="13.5" customHeight="1">
      <c r="A146"/>
      <c r="B146" s="1639">
        <f t="shared" si="156"/>
        <v>2</v>
      </c>
      <c r="C146" s="1687" t="str">
        <f t="shared" si="157"/>
        <v>非再生性資源の使用量削減</v>
      </c>
      <c r="D146" s="2059" t="e">
        <f>IF(I$140=0,0,G146/I$140)</f>
        <v>#DIV/0!</v>
      </c>
      <c r="E146" s="1741" t="e">
        <f>IF(J$140=0,0,H146/J$140)</f>
        <v>#DIV/0!</v>
      </c>
      <c r="F146"/>
      <c r="G146" s="1741" t="e">
        <f t="shared" si="158"/>
        <v>#DIV/0!</v>
      </c>
      <c r="H146" s="1741" t="e">
        <f t="shared" si="158"/>
        <v>#DIV/0!</v>
      </c>
      <c r="I146" s="1741" t="e">
        <f>G147+G148+G149+G150+G151+G152</f>
        <v>#DIV/0!</v>
      </c>
      <c r="J146" s="1741" t="e">
        <f>H147+H148+H149+H150+H151+H152</f>
        <v>#DIV/0!</v>
      </c>
      <c r="K146" s="1607" t="e">
        <f>IF(スコア表示!X146=0,0,1)</f>
        <v>#DIV/0!</v>
      </c>
      <c r="L146" s="1607" t="e">
        <f>IF(スコア表示!AB146=0,0,1)</f>
        <v>#DIV/0!</v>
      </c>
      <c r="M146"/>
      <c r="N146" s="1705" t="e">
        <f>IF(P$140=0,0,R146/P$140)</f>
        <v>#DIV/0!</v>
      </c>
      <c r="O146" s="1705" t="e">
        <f>IF(Q$140=0,0,S146/Q$140)</f>
        <v>#DIV/0!</v>
      </c>
      <c r="P146" s="1607" t="e">
        <f>SUM(R147:R152)</f>
        <v>#DIV/0!</v>
      </c>
      <c r="Q146" s="1607" t="e">
        <f>SUM(S147:S152)</f>
        <v>#DIV/0!</v>
      </c>
      <c r="R146" s="1607" t="e">
        <f>IF(スコア入力!R146="EB",重み_対象外!D146,U146)</f>
        <v>#DIV/0!</v>
      </c>
      <c r="S146" s="1607" t="e">
        <f>IF(スコア入力!Y146="EB",重み_対象外!E146,V146)</f>
        <v>#DIV/0!</v>
      </c>
      <c r="T146" s="1558"/>
      <c r="U146" s="1605" t="e">
        <f>SUM(U147:U152)</f>
        <v>#DIV/0!</v>
      </c>
      <c r="V146" s="1605" t="e">
        <f>SUM(V147:V152)</f>
        <v>#DIV/0!</v>
      </c>
      <c r="W146" s="1558"/>
      <c r="X146" s="1607" t="e">
        <f t="shared" si="159"/>
        <v>#DIV/0!</v>
      </c>
      <c r="Y146" s="1607" t="e">
        <f t="shared" si="160"/>
        <v>#DIV/0!</v>
      </c>
      <c r="Z146" s="1599"/>
      <c r="AA146" s="1604">
        <f t="shared" si="122"/>
        <v>2</v>
      </c>
      <c r="AB146" s="1604" t="str">
        <f t="shared" si="123"/>
        <v>LR2</v>
      </c>
      <c r="AC146" s="1604" t="str">
        <f t="shared" si="155"/>
        <v>非再生性資源の使用量削減</v>
      </c>
      <c r="AD146" s="1754">
        <f t="shared" si="130"/>
        <v>0.6</v>
      </c>
      <c r="AE146" s="1754">
        <f t="shared" si="131"/>
        <v>0.6</v>
      </c>
      <c r="AF146" s="1754">
        <f t="shared" si="132"/>
        <v>0.6</v>
      </c>
      <c r="AG146" s="1754">
        <f t="shared" si="133"/>
        <v>0.6</v>
      </c>
      <c r="AH146" s="1754">
        <f t="shared" si="134"/>
        <v>0.6</v>
      </c>
      <c r="AI146" s="1754">
        <f t="shared" si="135"/>
        <v>0.6</v>
      </c>
      <c r="AJ146" s="1754">
        <f t="shared" si="141"/>
        <v>0.6</v>
      </c>
      <c r="AK146" s="1766">
        <f t="shared" si="136"/>
        <v>0.6</v>
      </c>
      <c r="AL146" s="1754">
        <f t="shared" si="137"/>
        <v>0.6</v>
      </c>
      <c r="AM146" s="1754">
        <f t="shared" si="137"/>
        <v>0.6</v>
      </c>
      <c r="AN146" s="1782">
        <f t="shared" si="138"/>
        <v>0</v>
      </c>
      <c r="AO146" s="1783">
        <f t="shared" si="139"/>
        <v>0</v>
      </c>
      <c r="AP146" s="1783">
        <f t="shared" si="140"/>
        <v>0</v>
      </c>
      <c r="AQ146" s="1683"/>
      <c r="AR146" s="1639">
        <v>2</v>
      </c>
      <c r="AS146" s="1742" t="s">
        <v>367</v>
      </c>
      <c r="AT146" s="1785" t="s">
        <v>763</v>
      </c>
      <c r="AU146" s="1709">
        <v>0.6</v>
      </c>
      <c r="AV146" s="1709">
        <v>0.6</v>
      </c>
      <c r="AW146" s="1709">
        <v>0.6</v>
      </c>
      <c r="AX146" s="1709">
        <v>0.6</v>
      </c>
      <c r="AY146" s="1709">
        <v>0.6</v>
      </c>
      <c r="AZ146" s="1709">
        <v>0.6</v>
      </c>
      <c r="BA146" s="1709">
        <v>0.6</v>
      </c>
      <c r="BB146" s="1709">
        <v>0.6</v>
      </c>
      <c r="BC146" s="1709">
        <v>0.6</v>
      </c>
      <c r="BD146" s="1709">
        <v>0.6</v>
      </c>
      <c r="BE146" s="2095"/>
      <c r="BF146" s="2096"/>
      <c r="BG146" s="2096"/>
      <c r="BH146"/>
      <c r="BI146" s="1639">
        <v>2</v>
      </c>
      <c r="BJ146" s="1742" t="s">
        <v>367</v>
      </c>
      <c r="BK146" s="1785" t="s">
        <v>763</v>
      </c>
      <c r="BL146" s="1709">
        <v>0.6</v>
      </c>
      <c r="BM146" s="1709">
        <v>0.6</v>
      </c>
      <c r="BN146" s="1709">
        <v>0.6</v>
      </c>
      <c r="BO146" s="1709">
        <v>0.6</v>
      </c>
      <c r="BP146" s="1709">
        <v>0.6</v>
      </c>
      <c r="BQ146" s="1709">
        <v>0.6</v>
      </c>
      <c r="BR146" s="1709">
        <v>0.6</v>
      </c>
      <c r="BS146" s="1709">
        <v>0.6</v>
      </c>
      <c r="BT146" s="1709">
        <v>0.6</v>
      </c>
      <c r="BU146" s="1709">
        <v>0.6</v>
      </c>
      <c r="BV146" s="2095"/>
      <c r="BW146" s="2096"/>
      <c r="BX146" s="2096"/>
      <c r="BY146"/>
    </row>
    <row r="147" spans="1:77" ht="13.5" customHeight="1">
      <c r="B147" s="1619" t="str">
        <f t="shared" si="156"/>
        <v>2.1</v>
      </c>
      <c r="C147" s="1645" t="str">
        <f t="shared" si="157"/>
        <v>材料使用量の削減</v>
      </c>
      <c r="D147" s="1714" t="e">
        <f t="shared" ref="D147:E152" si="161">IF(I$146=0,0,G147/I$146)</f>
        <v>#DIV/0!</v>
      </c>
      <c r="E147" s="1689" t="e">
        <f t="shared" si="161"/>
        <v>#DIV/0!</v>
      </c>
      <c r="G147" s="1689" t="e">
        <f t="shared" si="158"/>
        <v>#DIV/0!</v>
      </c>
      <c r="H147" s="1689" t="e">
        <f t="shared" si="158"/>
        <v>#DIV/0!</v>
      </c>
      <c r="I147" s="1689"/>
      <c r="J147" s="1689"/>
      <c r="K147" s="1614">
        <f>IF(スコア表示!X147=0,0,1)</f>
        <v>1</v>
      </c>
      <c r="L147" s="1614">
        <f>IF(スコア表示!AB147=0,0,1)</f>
        <v>0</v>
      </c>
      <c r="N147" s="1711" t="e">
        <f t="shared" ref="N147:O152" si="162">IF(P$146=0,0,R147/P$146)</f>
        <v>#DIV/0!</v>
      </c>
      <c r="O147" s="1711" t="e">
        <f t="shared" si="162"/>
        <v>#DIV/0!</v>
      </c>
      <c r="P147" s="1614"/>
      <c r="Q147" s="1614"/>
      <c r="R147" s="1614" t="e">
        <f>IF(スコア入力!R147="EB",重み_対象外!D147,U147)</f>
        <v>#DIV/0!</v>
      </c>
      <c r="S147" s="1614" t="e">
        <f>IF(スコア入力!Y147="EB",重み_対象外!E147,V147)</f>
        <v>#DIV/0!</v>
      </c>
      <c r="T147" s="1558"/>
      <c r="U147" s="1628" t="e">
        <f>X$146*X147</f>
        <v>#DIV/0!</v>
      </c>
      <c r="V147" s="1628" t="e">
        <f>Y$146*Y147</f>
        <v>#DIV/0!</v>
      </c>
      <c r="W147" s="1558"/>
      <c r="X147" s="1614" t="e">
        <f t="shared" si="159"/>
        <v>#DIV/0!</v>
      </c>
      <c r="Y147" s="1614" t="e">
        <f t="shared" si="160"/>
        <v>#DIV/0!</v>
      </c>
      <c r="Z147" s="1569"/>
      <c r="AA147" s="1611" t="str">
        <f t="shared" si="122"/>
        <v>2.1</v>
      </c>
      <c r="AB147" s="1611" t="str">
        <f t="shared" si="123"/>
        <v>LR2 2</v>
      </c>
      <c r="AC147" s="1611" t="str">
        <f t="shared" si="155"/>
        <v>材料使用量の削減</v>
      </c>
      <c r="AD147" s="1757">
        <f t="shared" si="130"/>
        <v>0.1</v>
      </c>
      <c r="AE147" s="1757">
        <f t="shared" si="131"/>
        <v>0.1</v>
      </c>
      <c r="AF147" s="1757">
        <f t="shared" si="132"/>
        <v>0.1</v>
      </c>
      <c r="AG147" s="1757">
        <f t="shared" si="133"/>
        <v>0.1</v>
      </c>
      <c r="AH147" s="1757">
        <f t="shared" si="134"/>
        <v>0.1</v>
      </c>
      <c r="AI147" s="1757">
        <f t="shared" si="135"/>
        <v>0.1</v>
      </c>
      <c r="AJ147" s="1757">
        <f t="shared" si="141"/>
        <v>0.1</v>
      </c>
      <c r="AK147" s="1759">
        <f t="shared" si="136"/>
        <v>0.1</v>
      </c>
      <c r="AL147" s="1757">
        <f t="shared" si="137"/>
        <v>0.1</v>
      </c>
      <c r="AM147" s="1757">
        <f t="shared" si="137"/>
        <v>0.1</v>
      </c>
      <c r="AN147" s="1784">
        <f t="shared" si="138"/>
        <v>0</v>
      </c>
      <c r="AO147" s="1762">
        <f t="shared" si="139"/>
        <v>0</v>
      </c>
      <c r="AP147" s="1762">
        <f t="shared" si="140"/>
        <v>0</v>
      </c>
      <c r="AR147" s="1645" t="s">
        <v>1505</v>
      </c>
      <c r="AS147" s="1742" t="s">
        <v>370</v>
      </c>
      <c r="AT147" s="2061" t="s">
        <v>764</v>
      </c>
      <c r="AU147" s="2084">
        <v>0.1</v>
      </c>
      <c r="AV147" s="2084">
        <v>0.1</v>
      </c>
      <c r="AW147" s="2084">
        <v>0.1</v>
      </c>
      <c r="AX147" s="2084">
        <v>0.1</v>
      </c>
      <c r="AY147" s="2084">
        <v>0.1</v>
      </c>
      <c r="AZ147" s="2084">
        <v>0.1</v>
      </c>
      <c r="BA147" s="2084">
        <v>0.1</v>
      </c>
      <c r="BB147" s="2084">
        <v>0.1</v>
      </c>
      <c r="BC147" s="2084">
        <v>0.1</v>
      </c>
      <c r="BD147" s="2084">
        <v>0.1</v>
      </c>
      <c r="BE147" s="2095"/>
      <c r="BF147" s="2096"/>
      <c r="BG147" s="2096"/>
      <c r="BI147" s="1645" t="s">
        <v>1505</v>
      </c>
      <c r="BJ147" s="1742" t="s">
        <v>370</v>
      </c>
      <c r="BK147" s="2061" t="s">
        <v>764</v>
      </c>
      <c r="BL147" s="2084">
        <v>0.1</v>
      </c>
      <c r="BM147" s="2084">
        <v>0.1</v>
      </c>
      <c r="BN147" s="2084">
        <v>0.1</v>
      </c>
      <c r="BO147" s="2084">
        <v>0.1</v>
      </c>
      <c r="BP147" s="2084">
        <v>0.1</v>
      </c>
      <c r="BQ147" s="2084">
        <v>0.1</v>
      </c>
      <c r="BR147" s="2084">
        <v>0.1</v>
      </c>
      <c r="BS147" s="2084">
        <v>0.1</v>
      </c>
      <c r="BT147" s="2084">
        <v>0.1</v>
      </c>
      <c r="BU147" s="2084">
        <v>0.1</v>
      </c>
      <c r="BV147" s="2095"/>
      <c r="BW147" s="2096"/>
      <c r="BX147" s="2096"/>
    </row>
    <row r="148" spans="1:77" ht="13.5" customHeight="1">
      <c r="B148" s="1619" t="str">
        <f t="shared" si="156"/>
        <v>2.2</v>
      </c>
      <c r="C148" s="1645" t="str">
        <f t="shared" si="157"/>
        <v>既存建築躯体等の継続使用</v>
      </c>
      <c r="D148" s="1714" t="e">
        <f t="shared" si="161"/>
        <v>#DIV/0!</v>
      </c>
      <c r="E148" s="1689" t="e">
        <f t="shared" si="161"/>
        <v>#DIV/0!</v>
      </c>
      <c r="G148" s="1689" t="e">
        <f t="shared" si="158"/>
        <v>#DIV/0!</v>
      </c>
      <c r="H148" s="1689" t="e">
        <f t="shared" si="158"/>
        <v>#DIV/0!</v>
      </c>
      <c r="I148" s="1689"/>
      <c r="J148" s="1689"/>
      <c r="K148" s="1614">
        <f>IF(スコア表示!X148=0,0,1)</f>
        <v>1</v>
      </c>
      <c r="L148" s="1614">
        <f>IF(スコア表示!AB148=0,0,1)</f>
        <v>0</v>
      </c>
      <c r="N148" s="1711" t="e">
        <f t="shared" si="162"/>
        <v>#DIV/0!</v>
      </c>
      <c r="O148" s="1711" t="e">
        <f t="shared" si="162"/>
        <v>#DIV/0!</v>
      </c>
      <c r="P148" s="1614"/>
      <c r="Q148" s="1614"/>
      <c r="R148" s="1614" t="e">
        <f>IF(スコア入力!R148="EB",重み_対象外!D148,U148)</f>
        <v>#DIV/0!</v>
      </c>
      <c r="S148" s="1614" t="e">
        <f>IF(スコア入力!Y148="EB",重み_対象外!E148,V148)</f>
        <v>#DIV/0!</v>
      </c>
      <c r="T148" s="1558"/>
      <c r="U148" s="1612" t="e">
        <f>X$146*X148</f>
        <v>#DIV/0!</v>
      </c>
      <c r="V148" s="1612" t="e">
        <f>Y$146*Y$147*Y148</f>
        <v>#DIV/0!</v>
      </c>
      <c r="W148" s="1558"/>
      <c r="X148" s="1614" t="e">
        <f t="shared" si="159"/>
        <v>#DIV/0!</v>
      </c>
      <c r="Y148" s="1614" t="e">
        <f t="shared" si="160"/>
        <v>#DIV/0!</v>
      </c>
      <c r="Z148" s="1569"/>
      <c r="AA148" s="1611" t="str">
        <f t="shared" si="122"/>
        <v>2.2</v>
      </c>
      <c r="AB148" s="1611" t="str">
        <f t="shared" si="123"/>
        <v>LR2 2</v>
      </c>
      <c r="AC148" s="1611" t="str">
        <f t="shared" si="155"/>
        <v>既存建築躯体等の継続使用</v>
      </c>
      <c r="AD148" s="1757">
        <f t="shared" si="130"/>
        <v>0.2</v>
      </c>
      <c r="AE148" s="1757">
        <f t="shared" si="131"/>
        <v>0.2</v>
      </c>
      <c r="AF148" s="1757">
        <f t="shared" si="132"/>
        <v>0.2</v>
      </c>
      <c r="AG148" s="1757">
        <f t="shared" si="133"/>
        <v>0.2</v>
      </c>
      <c r="AH148" s="1757">
        <f t="shared" si="134"/>
        <v>0.2</v>
      </c>
      <c r="AI148" s="1757">
        <f t="shared" si="135"/>
        <v>0.2</v>
      </c>
      <c r="AJ148" s="1757">
        <f t="shared" si="141"/>
        <v>0.2</v>
      </c>
      <c r="AK148" s="1759">
        <f t="shared" si="136"/>
        <v>0.2</v>
      </c>
      <c r="AL148" s="1757">
        <f t="shared" si="137"/>
        <v>0.2</v>
      </c>
      <c r="AM148" s="1757">
        <f t="shared" si="137"/>
        <v>0.2</v>
      </c>
      <c r="AN148" s="1784">
        <f t="shared" si="138"/>
        <v>0</v>
      </c>
      <c r="AO148" s="1762">
        <f t="shared" si="139"/>
        <v>0</v>
      </c>
      <c r="AP148" s="1762">
        <f t="shared" si="140"/>
        <v>0</v>
      </c>
      <c r="AR148" s="1645" t="s">
        <v>1507</v>
      </c>
      <c r="AS148" s="1691" t="s">
        <v>370</v>
      </c>
      <c r="AT148" s="1735" t="s">
        <v>765</v>
      </c>
      <c r="AU148" s="1621">
        <v>0.2</v>
      </c>
      <c r="AV148" s="1621">
        <v>0.2</v>
      </c>
      <c r="AW148" s="1621">
        <v>0.2</v>
      </c>
      <c r="AX148" s="1621">
        <v>0.2</v>
      </c>
      <c r="AY148" s="1621">
        <v>0.2</v>
      </c>
      <c r="AZ148" s="1621">
        <v>0.2</v>
      </c>
      <c r="BA148" s="1621">
        <v>0.2</v>
      </c>
      <c r="BB148" s="1621">
        <v>0.2</v>
      </c>
      <c r="BC148" s="1621">
        <v>0.2</v>
      </c>
      <c r="BD148" s="1621">
        <v>0.2</v>
      </c>
      <c r="BE148" s="1867"/>
      <c r="BF148" s="1713"/>
      <c r="BG148" s="1713"/>
      <c r="BI148" s="1645" t="s">
        <v>1507</v>
      </c>
      <c r="BJ148" s="1691" t="s">
        <v>370</v>
      </c>
      <c r="BK148" s="1735" t="s">
        <v>765</v>
      </c>
      <c r="BL148" s="1621">
        <v>0.2</v>
      </c>
      <c r="BM148" s="1621">
        <v>0.2</v>
      </c>
      <c r="BN148" s="1621">
        <v>0.2</v>
      </c>
      <c r="BO148" s="1621">
        <v>0.2</v>
      </c>
      <c r="BP148" s="1621">
        <v>0.2</v>
      </c>
      <c r="BQ148" s="1621">
        <v>0.2</v>
      </c>
      <c r="BR148" s="1621">
        <v>0.2</v>
      </c>
      <c r="BS148" s="1621">
        <v>0.2</v>
      </c>
      <c r="BT148" s="1621">
        <v>0.2</v>
      </c>
      <c r="BU148" s="1621">
        <v>0.2</v>
      </c>
      <c r="BV148" s="1867"/>
      <c r="BW148" s="1713"/>
      <c r="BX148" s="1713"/>
    </row>
    <row r="149" spans="1:77" ht="13.5" customHeight="1">
      <c r="B149" s="1619" t="str">
        <f t="shared" si="156"/>
        <v>2.3</v>
      </c>
      <c r="C149" s="1645" t="str">
        <f t="shared" si="157"/>
        <v>躯体材料におけるリサイクル材の使用</v>
      </c>
      <c r="D149" s="1714" t="e">
        <f t="shared" si="161"/>
        <v>#DIV/0!</v>
      </c>
      <c r="E149" s="1689" t="e">
        <f t="shared" si="161"/>
        <v>#DIV/0!</v>
      </c>
      <c r="G149" s="1689" t="e">
        <f t="shared" si="158"/>
        <v>#DIV/0!</v>
      </c>
      <c r="H149" s="1689" t="e">
        <f t="shared" si="158"/>
        <v>#DIV/0!</v>
      </c>
      <c r="I149" s="1689"/>
      <c r="J149" s="1689"/>
      <c r="K149" s="1614">
        <f>IF(スコア表示!X149=0,0,1)</f>
        <v>1</v>
      </c>
      <c r="L149" s="1614">
        <f>IF(スコア表示!AB149=0,0,1)</f>
        <v>0</v>
      </c>
      <c r="N149" s="1711" t="e">
        <f t="shared" si="162"/>
        <v>#DIV/0!</v>
      </c>
      <c r="O149" s="1711" t="e">
        <f t="shared" si="162"/>
        <v>#DIV/0!</v>
      </c>
      <c r="P149" s="1614"/>
      <c r="Q149" s="1614"/>
      <c r="R149" s="1614" t="e">
        <f>IF(スコア入力!R149="EB",重み_対象外!D149,U149)</f>
        <v>#DIV/0!</v>
      </c>
      <c r="S149" s="1614" t="e">
        <f>IF(スコア入力!Y149="EB",重み_対象外!E149,V149)</f>
        <v>#DIV/0!</v>
      </c>
      <c r="T149" s="1558"/>
      <c r="U149" s="1612" t="e">
        <f>X$146*X149</f>
        <v>#DIV/0!</v>
      </c>
      <c r="V149" s="1612" t="e">
        <f>Y$146*Y$147*Y149</f>
        <v>#DIV/0!</v>
      </c>
      <c r="W149" s="1558"/>
      <c r="X149" s="1614" t="e">
        <f t="shared" si="159"/>
        <v>#DIV/0!</v>
      </c>
      <c r="Y149" s="1614" t="e">
        <f t="shared" si="160"/>
        <v>#DIV/0!</v>
      </c>
      <c r="Z149" s="1569"/>
      <c r="AA149" s="1611" t="str">
        <f t="shared" si="122"/>
        <v>2.3</v>
      </c>
      <c r="AB149" s="1611" t="str">
        <f t="shared" si="123"/>
        <v>LR2 2</v>
      </c>
      <c r="AC149" s="1786" t="str">
        <f t="shared" si="155"/>
        <v>躯体材料におけるリサイクル材の使用</v>
      </c>
      <c r="AD149" s="1757">
        <f t="shared" si="130"/>
        <v>0.2</v>
      </c>
      <c r="AE149" s="1757">
        <f t="shared" si="131"/>
        <v>0.2</v>
      </c>
      <c r="AF149" s="1757">
        <f t="shared" si="132"/>
        <v>0.2</v>
      </c>
      <c r="AG149" s="1757">
        <f t="shared" si="133"/>
        <v>0.2</v>
      </c>
      <c r="AH149" s="1757">
        <f t="shared" si="134"/>
        <v>0.2</v>
      </c>
      <c r="AI149" s="1757">
        <f t="shared" si="135"/>
        <v>0.2</v>
      </c>
      <c r="AJ149" s="1757">
        <f t="shared" si="141"/>
        <v>0.2</v>
      </c>
      <c r="AK149" s="1759">
        <f t="shared" si="136"/>
        <v>0.2</v>
      </c>
      <c r="AL149" s="1757">
        <f t="shared" si="137"/>
        <v>0.2</v>
      </c>
      <c r="AM149" s="1757">
        <f t="shared" si="137"/>
        <v>0.2</v>
      </c>
      <c r="AN149" s="1784">
        <f t="shared" si="138"/>
        <v>0</v>
      </c>
      <c r="AO149" s="1762">
        <f t="shared" si="139"/>
        <v>0</v>
      </c>
      <c r="AP149" s="1762">
        <f t="shared" si="140"/>
        <v>0</v>
      </c>
      <c r="AR149" s="1645" t="s">
        <v>1529</v>
      </c>
      <c r="AS149" s="1691" t="s">
        <v>370</v>
      </c>
      <c r="AT149" s="1735" t="s">
        <v>767</v>
      </c>
      <c r="AU149" s="1621">
        <v>0.2</v>
      </c>
      <c r="AV149" s="1621">
        <v>0.2</v>
      </c>
      <c r="AW149" s="1621">
        <v>0.2</v>
      </c>
      <c r="AX149" s="1621">
        <v>0.2</v>
      </c>
      <c r="AY149" s="1621">
        <v>0.2</v>
      </c>
      <c r="AZ149" s="1621">
        <v>0.2</v>
      </c>
      <c r="BA149" s="1621">
        <v>0.2</v>
      </c>
      <c r="BB149" s="1621">
        <v>0.2</v>
      </c>
      <c r="BC149" s="1621">
        <v>0.2</v>
      </c>
      <c r="BD149" s="1621">
        <v>0.2</v>
      </c>
      <c r="BE149" s="1867"/>
      <c r="BF149" s="1713"/>
      <c r="BG149" s="1713"/>
      <c r="BI149" s="1645" t="s">
        <v>1529</v>
      </c>
      <c r="BJ149" s="1691" t="s">
        <v>370</v>
      </c>
      <c r="BK149" s="1735" t="s">
        <v>767</v>
      </c>
      <c r="BL149" s="1621">
        <v>0.2</v>
      </c>
      <c r="BM149" s="1621">
        <v>0.2</v>
      </c>
      <c r="BN149" s="1621">
        <v>0.2</v>
      </c>
      <c r="BO149" s="1621">
        <v>0.2</v>
      </c>
      <c r="BP149" s="1621">
        <v>0.2</v>
      </c>
      <c r="BQ149" s="1621">
        <v>0.2</v>
      </c>
      <c r="BR149" s="1621">
        <v>0.2</v>
      </c>
      <c r="BS149" s="1621">
        <v>0.2</v>
      </c>
      <c r="BT149" s="1621">
        <v>0.2</v>
      </c>
      <c r="BU149" s="1621">
        <v>0.2</v>
      </c>
      <c r="BV149" s="1867"/>
      <c r="BW149" s="1713"/>
      <c r="BX149" s="1713"/>
    </row>
    <row r="150" spans="1:77" ht="13.5" customHeight="1">
      <c r="B150" s="1619" t="str">
        <f t="shared" si="156"/>
        <v>2.4</v>
      </c>
      <c r="C150" s="1612" t="str">
        <f t="shared" si="157"/>
        <v>躯体材料以外におけるリサイクル材の使用</v>
      </c>
      <c r="D150" s="1714" t="e">
        <f t="shared" si="161"/>
        <v>#DIV/0!</v>
      </c>
      <c r="E150" s="1689" t="e">
        <f t="shared" si="161"/>
        <v>#DIV/0!</v>
      </c>
      <c r="G150" s="1689" t="e">
        <f t="shared" si="158"/>
        <v>#DIV/0!</v>
      </c>
      <c r="H150" s="1689" t="e">
        <f t="shared" si="158"/>
        <v>#DIV/0!</v>
      </c>
      <c r="I150" s="1689"/>
      <c r="J150" s="1689"/>
      <c r="K150" s="1614">
        <f>IF(スコア表示!X150=0,0,1)</f>
        <v>1</v>
      </c>
      <c r="L150" s="1614">
        <f>IF(スコア表示!AB150=0,0,1)</f>
        <v>0</v>
      </c>
      <c r="N150" s="1711" t="e">
        <f t="shared" si="162"/>
        <v>#DIV/0!</v>
      </c>
      <c r="O150" s="1711" t="e">
        <f t="shared" si="162"/>
        <v>#DIV/0!</v>
      </c>
      <c r="P150" s="1614"/>
      <c r="Q150" s="1614"/>
      <c r="R150" s="1614" t="e">
        <f>IF(スコア入力!R150="EB",重み_対象外!D150,U150)</f>
        <v>#DIV/0!</v>
      </c>
      <c r="S150" s="1614" t="e">
        <f>IF(スコア入力!Y150="EB",重み_対象外!E150,V150)</f>
        <v>#DIV/0!</v>
      </c>
      <c r="T150" s="1558"/>
      <c r="U150" s="1612" t="e">
        <f>X$146*X150</f>
        <v>#DIV/0!</v>
      </c>
      <c r="V150" s="1612" t="e">
        <f>Y$146*Y150</f>
        <v>#DIV/0!</v>
      </c>
      <c r="W150" s="1558"/>
      <c r="X150" s="1614" t="e">
        <f t="shared" si="159"/>
        <v>#DIV/0!</v>
      </c>
      <c r="Y150" s="1614" t="e">
        <f t="shared" si="160"/>
        <v>#DIV/0!</v>
      </c>
      <c r="Z150" s="1569"/>
      <c r="AA150" s="1611" t="str">
        <f t="shared" si="122"/>
        <v>2.4</v>
      </c>
      <c r="AB150" s="1611" t="str">
        <f t="shared" si="123"/>
        <v>LR2 2</v>
      </c>
      <c r="AC150" s="1786" t="str">
        <f t="shared" si="155"/>
        <v>躯体材料以外におけるリサイクル材の使用</v>
      </c>
      <c r="AD150" s="1757">
        <f t="shared" si="130"/>
        <v>0.2</v>
      </c>
      <c r="AE150" s="1757">
        <f t="shared" si="131"/>
        <v>0.2</v>
      </c>
      <c r="AF150" s="1757">
        <f t="shared" si="132"/>
        <v>0.2</v>
      </c>
      <c r="AG150" s="1757">
        <f t="shared" si="133"/>
        <v>0.2</v>
      </c>
      <c r="AH150" s="1757">
        <f t="shared" si="134"/>
        <v>0.2</v>
      </c>
      <c r="AI150" s="1757">
        <f t="shared" si="135"/>
        <v>0.2</v>
      </c>
      <c r="AJ150" s="1757">
        <f t="shared" si="141"/>
        <v>0.2</v>
      </c>
      <c r="AK150" s="1759">
        <f t="shared" si="136"/>
        <v>0.2</v>
      </c>
      <c r="AL150" s="1757">
        <f t="shared" si="137"/>
        <v>0.2</v>
      </c>
      <c r="AM150" s="1757">
        <f t="shared" si="137"/>
        <v>0.2</v>
      </c>
      <c r="AN150" s="1784">
        <f t="shared" si="138"/>
        <v>0</v>
      </c>
      <c r="AO150" s="1762">
        <f t="shared" si="139"/>
        <v>0</v>
      </c>
      <c r="AP150" s="1762">
        <f t="shared" si="140"/>
        <v>0</v>
      </c>
      <c r="AR150" s="1645" t="s">
        <v>1530</v>
      </c>
      <c r="AS150" s="1691" t="s">
        <v>370</v>
      </c>
      <c r="AT150" s="1735" t="s">
        <v>1531</v>
      </c>
      <c r="AU150" s="1621">
        <v>0.2</v>
      </c>
      <c r="AV150" s="1621">
        <v>0.2</v>
      </c>
      <c r="AW150" s="1621">
        <v>0.2</v>
      </c>
      <c r="AX150" s="1621">
        <v>0.2</v>
      </c>
      <c r="AY150" s="1621">
        <v>0.2</v>
      </c>
      <c r="AZ150" s="1621">
        <v>0.2</v>
      </c>
      <c r="BA150" s="1621">
        <v>0.2</v>
      </c>
      <c r="BB150" s="1621">
        <v>0.2</v>
      </c>
      <c r="BC150" s="1621">
        <v>0.2</v>
      </c>
      <c r="BD150" s="1621">
        <v>0.2</v>
      </c>
      <c r="BE150" s="1867"/>
      <c r="BF150" s="1713"/>
      <c r="BG150" s="1713"/>
      <c r="BI150" s="1645" t="s">
        <v>1530</v>
      </c>
      <c r="BJ150" s="1691" t="s">
        <v>370</v>
      </c>
      <c r="BK150" s="1735" t="s">
        <v>1531</v>
      </c>
      <c r="BL150" s="1621">
        <v>0.2</v>
      </c>
      <c r="BM150" s="1621">
        <v>0.2</v>
      </c>
      <c r="BN150" s="1621">
        <v>0.2</v>
      </c>
      <c r="BO150" s="1621">
        <v>0.2</v>
      </c>
      <c r="BP150" s="1621">
        <v>0.2</v>
      </c>
      <c r="BQ150" s="1621">
        <v>0.2</v>
      </c>
      <c r="BR150" s="1621">
        <v>0.2</v>
      </c>
      <c r="BS150" s="1621">
        <v>0.2</v>
      </c>
      <c r="BT150" s="1621">
        <v>0.2</v>
      </c>
      <c r="BU150" s="1621">
        <v>0.2</v>
      </c>
      <c r="BV150" s="1867"/>
      <c r="BW150" s="1713"/>
      <c r="BX150" s="1713"/>
    </row>
    <row r="151" spans="1:77" ht="13.5" customHeight="1">
      <c r="B151" s="1619" t="str">
        <f t="shared" si="156"/>
        <v>2.5</v>
      </c>
      <c r="C151" s="1612" t="str">
        <f t="shared" si="157"/>
        <v>持続可能な森林から産出された木材</v>
      </c>
      <c r="D151" s="1714" t="e">
        <f t="shared" si="161"/>
        <v>#DIV/0!</v>
      </c>
      <c r="E151" s="1689" t="e">
        <f t="shared" si="161"/>
        <v>#DIV/0!</v>
      </c>
      <c r="G151" s="1689" t="e">
        <f t="shared" si="158"/>
        <v>#DIV/0!</v>
      </c>
      <c r="H151" s="1689" t="e">
        <f t="shared" si="158"/>
        <v>#DIV/0!</v>
      </c>
      <c r="I151" s="1689"/>
      <c r="J151" s="1689"/>
      <c r="K151" s="1614">
        <f>IF(スコア表示!X151=0,0,1)</f>
        <v>1</v>
      </c>
      <c r="L151" s="1614">
        <f>IF(スコア表示!AB151=0,0,1)</f>
        <v>0</v>
      </c>
      <c r="N151" s="1711" t="e">
        <f t="shared" si="162"/>
        <v>#DIV/0!</v>
      </c>
      <c r="O151" s="1711" t="e">
        <f t="shared" si="162"/>
        <v>#DIV/0!</v>
      </c>
      <c r="P151" s="1614"/>
      <c r="Q151" s="1614"/>
      <c r="R151" s="1614" t="e">
        <f>IF(スコア入力!R151="EB",重み_対象外!D151,U151)</f>
        <v>#DIV/0!</v>
      </c>
      <c r="S151" s="1614" t="e">
        <f>IF(スコア入力!Y151="EB",重み_対象外!E151,V151)</f>
        <v>#DIV/0!</v>
      </c>
      <c r="T151" s="1558"/>
      <c r="U151" s="1612" t="e">
        <f>X$146*X151</f>
        <v>#DIV/0!</v>
      </c>
      <c r="V151" s="1612" t="e">
        <f>Y$146*Y151</f>
        <v>#DIV/0!</v>
      </c>
      <c r="W151" s="1558"/>
      <c r="X151" s="1614" t="e">
        <f t="shared" si="159"/>
        <v>#DIV/0!</v>
      </c>
      <c r="Y151" s="1614" t="e">
        <f t="shared" si="160"/>
        <v>#DIV/0!</v>
      </c>
      <c r="Z151" s="1569"/>
      <c r="AA151" s="1611" t="str">
        <f t="shared" si="122"/>
        <v>2.5</v>
      </c>
      <c r="AB151" s="1611" t="str">
        <f t="shared" si="123"/>
        <v>LR2 2</v>
      </c>
      <c r="AC151" s="1611" t="str">
        <f t="shared" si="155"/>
        <v>持続可能な森林から産出された木材</v>
      </c>
      <c r="AD151" s="1757">
        <f t="shared" si="130"/>
        <v>0.1</v>
      </c>
      <c r="AE151" s="1757">
        <f t="shared" si="131"/>
        <v>0.1</v>
      </c>
      <c r="AF151" s="1757">
        <f t="shared" si="132"/>
        <v>0.1</v>
      </c>
      <c r="AG151" s="1757">
        <f t="shared" si="133"/>
        <v>0.1</v>
      </c>
      <c r="AH151" s="1757">
        <f t="shared" si="134"/>
        <v>0.1</v>
      </c>
      <c r="AI151" s="1757">
        <f t="shared" si="135"/>
        <v>0.1</v>
      </c>
      <c r="AJ151" s="1757">
        <f t="shared" si="141"/>
        <v>0.1</v>
      </c>
      <c r="AK151" s="1759">
        <f t="shared" si="136"/>
        <v>0.1</v>
      </c>
      <c r="AL151" s="1757">
        <f t="shared" si="137"/>
        <v>0.1</v>
      </c>
      <c r="AM151" s="1757">
        <f t="shared" si="137"/>
        <v>0.1</v>
      </c>
      <c r="AN151" s="1784">
        <f t="shared" si="138"/>
        <v>0</v>
      </c>
      <c r="AO151" s="1762">
        <f t="shared" si="139"/>
        <v>0</v>
      </c>
      <c r="AP151" s="1762">
        <f t="shared" si="140"/>
        <v>0</v>
      </c>
      <c r="AR151" s="1645" t="s">
        <v>1532</v>
      </c>
      <c r="AS151" s="1691" t="s">
        <v>370</v>
      </c>
      <c r="AT151" s="2061" t="s">
        <v>1533</v>
      </c>
      <c r="AU151" s="1621">
        <v>0.1</v>
      </c>
      <c r="AV151" s="1621">
        <v>0.1</v>
      </c>
      <c r="AW151" s="1621">
        <v>0.1</v>
      </c>
      <c r="AX151" s="1621">
        <v>0.1</v>
      </c>
      <c r="AY151" s="1621">
        <v>0.1</v>
      </c>
      <c r="AZ151" s="1621">
        <v>0.1</v>
      </c>
      <c r="BA151" s="1621">
        <v>0.1</v>
      </c>
      <c r="BB151" s="1621">
        <v>0.1</v>
      </c>
      <c r="BC151" s="1621">
        <v>0.1</v>
      </c>
      <c r="BD151" s="1621">
        <v>0.1</v>
      </c>
      <c r="BE151" s="1867"/>
      <c r="BF151" s="1713"/>
      <c r="BG151" s="1713"/>
      <c r="BI151" s="1645" t="s">
        <v>1532</v>
      </c>
      <c r="BJ151" s="1691" t="s">
        <v>370</v>
      </c>
      <c r="BK151" s="2061" t="s">
        <v>1533</v>
      </c>
      <c r="BL151" s="1621">
        <v>0.1</v>
      </c>
      <c r="BM151" s="1621">
        <v>0.1</v>
      </c>
      <c r="BN151" s="1621">
        <v>0.1</v>
      </c>
      <c r="BO151" s="1621">
        <v>0.1</v>
      </c>
      <c r="BP151" s="1621">
        <v>0.1</v>
      </c>
      <c r="BQ151" s="1621">
        <v>0.1</v>
      </c>
      <c r="BR151" s="1621">
        <v>0.1</v>
      </c>
      <c r="BS151" s="1621">
        <v>0.1</v>
      </c>
      <c r="BT151" s="1621">
        <v>0.1</v>
      </c>
      <c r="BU151" s="1621">
        <v>0.1</v>
      </c>
      <c r="BV151" s="1867"/>
      <c r="BW151" s="1713"/>
      <c r="BX151" s="1713"/>
    </row>
    <row r="152" spans="1:77" ht="13.5" customHeight="1">
      <c r="B152" s="1619" t="str">
        <f t="shared" si="156"/>
        <v>2.6</v>
      </c>
      <c r="C152" s="1645" t="str">
        <f t="shared" si="157"/>
        <v>部材の再利用可能性向上への取組</v>
      </c>
      <c r="D152" s="1714" t="e">
        <f t="shared" si="161"/>
        <v>#DIV/0!</v>
      </c>
      <c r="E152" s="1689" t="e">
        <f t="shared" si="161"/>
        <v>#DIV/0!</v>
      </c>
      <c r="G152" s="1689" t="e">
        <f t="shared" si="158"/>
        <v>#DIV/0!</v>
      </c>
      <c r="H152" s="1689" t="e">
        <f t="shared" si="158"/>
        <v>#DIV/0!</v>
      </c>
      <c r="I152" s="1689"/>
      <c r="J152" s="1689"/>
      <c r="K152" s="1614">
        <f>IF(スコア表示!X152=0,0,1)</f>
        <v>1</v>
      </c>
      <c r="L152" s="1614">
        <f>IF(スコア表示!AB152=0,0,1)</f>
        <v>0</v>
      </c>
      <c r="N152" s="1711" t="e">
        <f t="shared" si="162"/>
        <v>#DIV/0!</v>
      </c>
      <c r="O152" s="1711" t="e">
        <f t="shared" si="162"/>
        <v>#DIV/0!</v>
      </c>
      <c r="P152" s="1614"/>
      <c r="Q152" s="1614"/>
      <c r="R152" s="1614" t="e">
        <f>IF(スコア入力!R152="EB",重み_対象外!D152,U152)</f>
        <v>#DIV/0!</v>
      </c>
      <c r="S152" s="1614" t="e">
        <f>IF(スコア入力!Y152="EB",重み_対象外!E152,V152)</f>
        <v>#DIV/0!</v>
      </c>
      <c r="T152" s="1558"/>
      <c r="U152" s="1612" t="e">
        <f>X$146*X152</f>
        <v>#DIV/0!</v>
      </c>
      <c r="V152" s="1612" t="e">
        <f>Y$146*Y152</f>
        <v>#DIV/0!</v>
      </c>
      <c r="W152" s="1558"/>
      <c r="X152" s="1614" t="e">
        <f t="shared" si="159"/>
        <v>#DIV/0!</v>
      </c>
      <c r="Y152" s="1614" t="e">
        <f t="shared" si="160"/>
        <v>#DIV/0!</v>
      </c>
      <c r="Z152" s="1569"/>
      <c r="AA152" s="1611" t="str">
        <f t="shared" ref="AA152:AA180" si="163">IF($AA$3=1,AR152,BI152)</f>
        <v>2.6</v>
      </c>
      <c r="AB152" s="1611" t="str">
        <f t="shared" si="123"/>
        <v>LR2 2</v>
      </c>
      <c r="AC152" s="1611" t="str">
        <f t="shared" si="155"/>
        <v>部材の再利用可能性向上への取組</v>
      </c>
      <c r="AD152" s="1757">
        <f t="shared" si="130"/>
        <v>0.2</v>
      </c>
      <c r="AE152" s="1757">
        <f t="shared" si="131"/>
        <v>0.2</v>
      </c>
      <c r="AF152" s="1757">
        <f t="shared" si="132"/>
        <v>0.2</v>
      </c>
      <c r="AG152" s="1757">
        <f t="shared" si="133"/>
        <v>0.2</v>
      </c>
      <c r="AH152" s="1757">
        <f t="shared" si="134"/>
        <v>0.2</v>
      </c>
      <c r="AI152" s="1757">
        <f t="shared" si="135"/>
        <v>0.2</v>
      </c>
      <c r="AJ152" s="1757">
        <f t="shared" si="141"/>
        <v>0.2</v>
      </c>
      <c r="AK152" s="1759">
        <f t="shared" si="136"/>
        <v>0.2</v>
      </c>
      <c r="AL152" s="1757">
        <f t="shared" si="137"/>
        <v>0.2</v>
      </c>
      <c r="AM152" s="1757">
        <f t="shared" si="137"/>
        <v>0.2</v>
      </c>
      <c r="AN152" s="1784">
        <f t="shared" si="138"/>
        <v>0</v>
      </c>
      <c r="AO152" s="1762">
        <f t="shared" si="139"/>
        <v>0</v>
      </c>
      <c r="AP152" s="1762">
        <f t="shared" si="140"/>
        <v>0</v>
      </c>
      <c r="AR152" s="1645" t="s">
        <v>1534</v>
      </c>
      <c r="AS152" s="1691" t="s">
        <v>370</v>
      </c>
      <c r="AT152" s="1735" t="s">
        <v>1809</v>
      </c>
      <c r="AU152" s="1621">
        <v>0.2</v>
      </c>
      <c r="AV152" s="1621">
        <v>0.2</v>
      </c>
      <c r="AW152" s="1621">
        <v>0.2</v>
      </c>
      <c r="AX152" s="1621">
        <v>0.2</v>
      </c>
      <c r="AY152" s="1621">
        <v>0.2</v>
      </c>
      <c r="AZ152" s="1621">
        <v>0.2</v>
      </c>
      <c r="BA152" s="1621">
        <v>0.2</v>
      </c>
      <c r="BB152" s="1621">
        <v>0.2</v>
      </c>
      <c r="BC152" s="1621">
        <v>0.2</v>
      </c>
      <c r="BD152" s="1621">
        <v>0.2</v>
      </c>
      <c r="BE152" s="1867"/>
      <c r="BF152" s="1713"/>
      <c r="BG152" s="1713"/>
      <c r="BI152" s="1645" t="s">
        <v>1534</v>
      </c>
      <c r="BJ152" s="1691" t="s">
        <v>370</v>
      </c>
      <c r="BK152" s="1735" t="s">
        <v>1809</v>
      </c>
      <c r="BL152" s="1621">
        <v>0.2</v>
      </c>
      <c r="BM152" s="1621">
        <v>0.2</v>
      </c>
      <c r="BN152" s="1621">
        <v>0.2</v>
      </c>
      <c r="BO152" s="1621">
        <v>0.2</v>
      </c>
      <c r="BP152" s="1621">
        <v>0.2</v>
      </c>
      <c r="BQ152" s="1621">
        <v>0.2</v>
      </c>
      <c r="BR152" s="1621">
        <v>0.2</v>
      </c>
      <c r="BS152" s="1621">
        <v>0.2</v>
      </c>
      <c r="BT152" s="1621">
        <v>0.2</v>
      </c>
      <c r="BU152" s="1621">
        <v>0.2</v>
      </c>
      <c r="BV152" s="1867"/>
      <c r="BW152" s="1713"/>
      <c r="BX152" s="1713"/>
    </row>
    <row r="153" spans="1:77" s="1603" customFormat="1" ht="13.5" customHeight="1">
      <c r="A153"/>
      <c r="B153" s="1639">
        <f t="shared" si="156"/>
        <v>3</v>
      </c>
      <c r="C153" s="1687" t="str">
        <f t="shared" si="157"/>
        <v>汚染物質含有材料の使用回避</v>
      </c>
      <c r="D153" s="2059" t="e">
        <f>IF(I$140=0,0,G153/I$140)</f>
        <v>#DIV/0!</v>
      </c>
      <c r="E153" s="1741" t="e">
        <f>IF(J$140=0,0,H153/J$140)</f>
        <v>#DIV/0!</v>
      </c>
      <c r="F153"/>
      <c r="G153" s="1741" t="e">
        <f t="shared" si="158"/>
        <v>#DIV/0!</v>
      </c>
      <c r="H153" s="1741" t="e">
        <f t="shared" si="158"/>
        <v>#DIV/0!</v>
      </c>
      <c r="I153" s="1741" t="e">
        <f>G154+G155</f>
        <v>#DIV/0!</v>
      </c>
      <c r="J153" s="1741" t="e">
        <f>H154+H155</f>
        <v>#DIV/0!</v>
      </c>
      <c r="K153" s="1607" t="e">
        <f>IF(スコア表示!X153=0,0,1)</f>
        <v>#DIV/0!</v>
      </c>
      <c r="L153" s="1607" t="e">
        <f>IF(スコア表示!AB153=0,0,1)</f>
        <v>#DIV/0!</v>
      </c>
      <c r="M153"/>
      <c r="N153" s="1705" t="e">
        <f>IF(P$140=0,0,R153/P$140)</f>
        <v>#DIV/0!</v>
      </c>
      <c r="O153" s="1705" t="e">
        <f>IF(Q$140=0,0,S153/Q$140)</f>
        <v>#DIV/0!</v>
      </c>
      <c r="P153" s="1607" t="e">
        <f>SUM(R154:R158)</f>
        <v>#DIV/0!</v>
      </c>
      <c r="Q153" s="1607" t="e">
        <f>SUM(S154:S158)</f>
        <v>#DIV/0!</v>
      </c>
      <c r="R153" s="1607" t="e">
        <f>IF(スコア入力!R153="EB",重み_対象外!D153,U153)</f>
        <v>#DIV/0!</v>
      </c>
      <c r="S153" s="1607" t="e">
        <f>IF(スコア入力!Y153="EB",重み_対象外!E153,V153)</f>
        <v>#DIV/0!</v>
      </c>
      <c r="T153" s="1558"/>
      <c r="U153" s="1605" t="e">
        <f>SUM(U154:U158)</f>
        <v>#DIV/0!</v>
      </c>
      <c r="V153" s="1605" t="e">
        <f>SUM(V154:V158)</f>
        <v>#DIV/0!</v>
      </c>
      <c r="W153" s="1558"/>
      <c r="X153" s="1607" t="e">
        <f t="shared" si="159"/>
        <v>#DIV/0!</v>
      </c>
      <c r="Y153" s="1607" t="e">
        <f t="shared" si="160"/>
        <v>#DIV/0!</v>
      </c>
      <c r="Z153" s="1599"/>
      <c r="AA153" s="1604">
        <f t="shared" si="163"/>
        <v>3</v>
      </c>
      <c r="AB153" s="1604" t="str">
        <f t="shared" ref="AB153:AB180" si="164">IF($AA$3=1,AS153,BJ153)</f>
        <v>LR2</v>
      </c>
      <c r="AC153" s="1604" t="str">
        <f t="shared" si="155"/>
        <v>汚染物質含有材料の使用回避</v>
      </c>
      <c r="AD153" s="1754">
        <f t="shared" si="130"/>
        <v>0.2</v>
      </c>
      <c r="AE153" s="1754">
        <f t="shared" si="131"/>
        <v>0.2</v>
      </c>
      <c r="AF153" s="1754">
        <f t="shared" si="132"/>
        <v>0.2</v>
      </c>
      <c r="AG153" s="1754">
        <f t="shared" si="133"/>
        <v>0.2</v>
      </c>
      <c r="AH153" s="1754">
        <f t="shared" si="134"/>
        <v>0.2</v>
      </c>
      <c r="AI153" s="1754">
        <f t="shared" si="135"/>
        <v>0.2</v>
      </c>
      <c r="AJ153" s="1754">
        <f t="shared" si="141"/>
        <v>0.2</v>
      </c>
      <c r="AK153" s="1766">
        <f t="shared" si="136"/>
        <v>0.2</v>
      </c>
      <c r="AL153" s="1754">
        <f t="shared" si="137"/>
        <v>0.2</v>
      </c>
      <c r="AM153" s="1754">
        <f t="shared" si="137"/>
        <v>0.2</v>
      </c>
      <c r="AN153" s="1782">
        <f t="shared" si="138"/>
        <v>0</v>
      </c>
      <c r="AO153" s="1783">
        <f t="shared" si="139"/>
        <v>0</v>
      </c>
      <c r="AP153" s="1783">
        <f t="shared" si="140"/>
        <v>0</v>
      </c>
      <c r="AQ153" s="1683"/>
      <c r="AR153" s="1639">
        <v>3</v>
      </c>
      <c r="AS153" s="1742" t="s">
        <v>367</v>
      </c>
      <c r="AT153" s="1785" t="s">
        <v>769</v>
      </c>
      <c r="AU153" s="1709">
        <v>0.2</v>
      </c>
      <c r="AV153" s="1709">
        <v>0.2</v>
      </c>
      <c r="AW153" s="1709">
        <v>0.2</v>
      </c>
      <c r="AX153" s="1709">
        <v>0.2</v>
      </c>
      <c r="AY153" s="1709">
        <v>0.2</v>
      </c>
      <c r="AZ153" s="1709">
        <v>0.2</v>
      </c>
      <c r="BA153" s="1709">
        <v>0.2</v>
      </c>
      <c r="BB153" s="1709">
        <v>0.2</v>
      </c>
      <c r="BC153" s="1709">
        <v>0.2</v>
      </c>
      <c r="BD153" s="1709">
        <v>0.2</v>
      </c>
      <c r="BE153" s="2095"/>
      <c r="BF153" s="2096"/>
      <c r="BG153" s="2096"/>
      <c r="BH153"/>
      <c r="BI153" s="1639">
        <v>3</v>
      </c>
      <c r="BJ153" s="1742" t="s">
        <v>367</v>
      </c>
      <c r="BK153" s="1785" t="s">
        <v>769</v>
      </c>
      <c r="BL153" s="1709">
        <v>0.2</v>
      </c>
      <c r="BM153" s="1709">
        <v>0.2</v>
      </c>
      <c r="BN153" s="1709">
        <v>0.2</v>
      </c>
      <c r="BO153" s="1709">
        <v>0.2</v>
      </c>
      <c r="BP153" s="1709">
        <v>0.2</v>
      </c>
      <c r="BQ153" s="1709">
        <v>0.2</v>
      </c>
      <c r="BR153" s="1709">
        <v>0.2</v>
      </c>
      <c r="BS153" s="1709">
        <v>0.2</v>
      </c>
      <c r="BT153" s="1709">
        <v>0.2</v>
      </c>
      <c r="BU153" s="1709">
        <v>0.2</v>
      </c>
      <c r="BV153" s="2095"/>
      <c r="BW153" s="2096"/>
      <c r="BX153" s="2096"/>
      <c r="BY153"/>
    </row>
    <row r="154" spans="1:77" ht="13.5" customHeight="1">
      <c r="B154" s="1619" t="str">
        <f t="shared" si="156"/>
        <v>3.1</v>
      </c>
      <c r="C154" s="1645" t="str">
        <f t="shared" si="157"/>
        <v>有害物質を含まない材料の使用</v>
      </c>
      <c r="D154" s="1714" t="e">
        <f>IF(I$153=0,0,G154/I$153)</f>
        <v>#DIV/0!</v>
      </c>
      <c r="E154" s="1689" t="e">
        <f>IF(J$153=0,0,H154/J$153)</f>
        <v>#DIV/0!</v>
      </c>
      <c r="G154" s="1689" t="e">
        <f t="shared" si="158"/>
        <v>#DIV/0!</v>
      </c>
      <c r="H154" s="1689" t="e">
        <f t="shared" si="158"/>
        <v>#DIV/0!</v>
      </c>
      <c r="I154" s="1689"/>
      <c r="J154" s="1689"/>
      <c r="K154" s="1614">
        <f>IF(スコア表示!X154=0,0,1)</f>
        <v>1</v>
      </c>
      <c r="L154" s="1614">
        <f>IF(スコア表示!AB154=0,0,1)</f>
        <v>0</v>
      </c>
      <c r="N154" s="1711" t="e">
        <f>IF(P$153=0,0,R154/P$153)</f>
        <v>#DIV/0!</v>
      </c>
      <c r="O154" s="1711" t="e">
        <f>IF(Q$153=0,0,S154/Q$153)</f>
        <v>#DIV/0!</v>
      </c>
      <c r="P154" s="1614"/>
      <c r="Q154" s="1614"/>
      <c r="R154" s="1614" t="e">
        <f>IF(スコア入力!R154="EB",重み_対象外!D154,U154)</f>
        <v>#DIV/0!</v>
      </c>
      <c r="S154" s="1614" t="e">
        <f>IF(スコア入力!Y154="EB",重み_対象外!E154,V154)</f>
        <v>#DIV/0!</v>
      </c>
      <c r="T154" s="1558"/>
      <c r="U154" s="1612" t="e">
        <f>X$153*X154</f>
        <v>#DIV/0!</v>
      </c>
      <c r="V154" s="1612" t="e">
        <f>Y$153*Y154</f>
        <v>#DIV/0!</v>
      </c>
      <c r="W154" s="1558"/>
      <c r="X154" s="1614" t="e">
        <f t="shared" si="159"/>
        <v>#DIV/0!</v>
      </c>
      <c r="Y154" s="1614" t="e">
        <f t="shared" si="160"/>
        <v>#DIV/0!</v>
      </c>
      <c r="Z154" s="1569"/>
      <c r="AA154" s="1611" t="str">
        <f t="shared" si="163"/>
        <v>3.1</v>
      </c>
      <c r="AB154" s="1611" t="str">
        <f t="shared" si="164"/>
        <v>LR2 3</v>
      </c>
      <c r="AC154" s="1611" t="str">
        <f t="shared" si="155"/>
        <v>有害物質を含まない材料の使用</v>
      </c>
      <c r="AD154" s="1757">
        <f t="shared" si="130"/>
        <v>0.3</v>
      </c>
      <c r="AE154" s="1757">
        <f t="shared" si="131"/>
        <v>0.3</v>
      </c>
      <c r="AF154" s="1757">
        <f t="shared" si="132"/>
        <v>0.3</v>
      </c>
      <c r="AG154" s="1757">
        <f t="shared" si="133"/>
        <v>0.3</v>
      </c>
      <c r="AH154" s="1757">
        <f t="shared" si="134"/>
        <v>0.3</v>
      </c>
      <c r="AI154" s="1757">
        <f t="shared" si="135"/>
        <v>0.3</v>
      </c>
      <c r="AJ154" s="1757">
        <f t="shared" si="141"/>
        <v>0.3</v>
      </c>
      <c r="AK154" s="1759">
        <f t="shared" si="136"/>
        <v>0.3</v>
      </c>
      <c r="AL154" s="1757">
        <f t="shared" si="137"/>
        <v>0.3</v>
      </c>
      <c r="AM154" s="1757">
        <f t="shared" si="137"/>
        <v>0.3</v>
      </c>
      <c r="AN154" s="1784">
        <f t="shared" si="138"/>
        <v>0</v>
      </c>
      <c r="AO154" s="1762">
        <f t="shared" si="139"/>
        <v>0</v>
      </c>
      <c r="AP154" s="1762">
        <f t="shared" si="140"/>
        <v>0</v>
      </c>
      <c r="AR154" s="1645" t="s">
        <v>1492</v>
      </c>
      <c r="AS154" s="1691" t="s">
        <v>371</v>
      </c>
      <c r="AT154" s="1735" t="s">
        <v>770</v>
      </c>
      <c r="AU154" s="1621">
        <v>0.3</v>
      </c>
      <c r="AV154" s="1621">
        <v>0.3</v>
      </c>
      <c r="AW154" s="1621">
        <v>0.3</v>
      </c>
      <c r="AX154" s="1621">
        <v>0.3</v>
      </c>
      <c r="AY154" s="1621">
        <v>0.3</v>
      </c>
      <c r="AZ154" s="1621">
        <v>0.3</v>
      </c>
      <c r="BA154" s="1621">
        <v>0.3</v>
      </c>
      <c r="BB154" s="1621">
        <v>0.3</v>
      </c>
      <c r="BC154" s="1621">
        <v>0.3</v>
      </c>
      <c r="BD154" s="1621">
        <v>0.3</v>
      </c>
      <c r="BE154" s="1867"/>
      <c r="BF154" s="1713"/>
      <c r="BG154" s="1713"/>
      <c r="BI154" s="1645" t="s">
        <v>1492</v>
      </c>
      <c r="BJ154" s="1691" t="s">
        <v>371</v>
      </c>
      <c r="BK154" s="1735" t="s">
        <v>770</v>
      </c>
      <c r="BL154" s="1621">
        <v>0.3</v>
      </c>
      <c r="BM154" s="1621">
        <v>0.3</v>
      </c>
      <c r="BN154" s="1621">
        <v>0.3</v>
      </c>
      <c r="BO154" s="1621">
        <v>0.3</v>
      </c>
      <c r="BP154" s="1621">
        <v>0.3</v>
      </c>
      <c r="BQ154" s="1621">
        <v>0.3</v>
      </c>
      <c r="BR154" s="1621">
        <v>0.3</v>
      </c>
      <c r="BS154" s="1621">
        <v>0.3</v>
      </c>
      <c r="BT154" s="1621">
        <v>0.3</v>
      </c>
      <c r="BU154" s="1621">
        <v>0.3</v>
      </c>
      <c r="BV154" s="1867"/>
      <c r="BW154" s="1713"/>
      <c r="BX154" s="1713"/>
    </row>
    <row r="155" spans="1:77" ht="13.5" customHeight="1">
      <c r="B155" s="1619" t="str">
        <f t="shared" si="156"/>
        <v>3.2</v>
      </c>
      <c r="C155" s="1645" t="str">
        <f t="shared" si="157"/>
        <v>フロン・ハロンの回避</v>
      </c>
      <c r="D155" s="1714" t="e">
        <f>IF(I$153=0,0,G155/I$153)</f>
        <v>#DIV/0!</v>
      </c>
      <c r="E155" s="1689" t="e">
        <f>IF(J$153=0,0,H155/J$153)</f>
        <v>#DIV/0!</v>
      </c>
      <c r="G155" s="1689" t="e">
        <f t="shared" si="158"/>
        <v>#DIV/0!</v>
      </c>
      <c r="H155" s="1689" t="e">
        <f t="shared" si="158"/>
        <v>#DIV/0!</v>
      </c>
      <c r="I155" s="1689" t="e">
        <f>SUM(G156:G158)</f>
        <v>#DIV/0!</v>
      </c>
      <c r="J155" s="1689" t="e">
        <f>SUM(H156:H158)</f>
        <v>#DIV/0!</v>
      </c>
      <c r="K155" s="1614" t="e">
        <f>IF(スコア表示!X155=0,0,1)</f>
        <v>#DIV/0!</v>
      </c>
      <c r="L155" s="1614" t="e">
        <f>IF(スコア表示!AB155=0,0,1)</f>
        <v>#DIV/0!</v>
      </c>
      <c r="N155" s="1711" t="e">
        <f>IF(P$153=0,0,P155/P$153)</f>
        <v>#DIV/0!</v>
      </c>
      <c r="O155" s="1711" t="e">
        <f>IF(Q$153=0,0,Q155/Q$153)</f>
        <v>#DIV/0!</v>
      </c>
      <c r="P155" s="1614" t="e">
        <f>SUM(R156:R158)</f>
        <v>#DIV/0!</v>
      </c>
      <c r="Q155" s="1614" t="e">
        <f>SUM(S156:S158)</f>
        <v>#DIV/0!</v>
      </c>
      <c r="R155" s="1614">
        <f>IF(スコア入力!R155="EB",重み_対象外!D155,U155)</f>
        <v>0</v>
      </c>
      <c r="S155" s="1614">
        <f>IF(スコア入力!Y155="EB",重み_対象外!E155,V155)</f>
        <v>0</v>
      </c>
      <c r="T155" s="1558"/>
      <c r="U155" s="1628"/>
      <c r="V155" s="1628"/>
      <c r="W155" s="1558"/>
      <c r="X155" s="1614" t="e">
        <f t="shared" si="159"/>
        <v>#DIV/0!</v>
      </c>
      <c r="Y155" s="1614" t="e">
        <f t="shared" si="160"/>
        <v>#DIV/0!</v>
      </c>
      <c r="Z155" s="1569"/>
      <c r="AA155" s="1611" t="str">
        <f t="shared" si="163"/>
        <v>3.2</v>
      </c>
      <c r="AB155" s="1611" t="str">
        <f t="shared" si="164"/>
        <v>LR2 3</v>
      </c>
      <c r="AC155" s="1611" t="str">
        <f t="shared" si="155"/>
        <v>フロン・ハロンの回避</v>
      </c>
      <c r="AD155" s="1757">
        <f t="shared" si="130"/>
        <v>0.7</v>
      </c>
      <c r="AE155" s="1757">
        <f t="shared" si="131"/>
        <v>0.7</v>
      </c>
      <c r="AF155" s="1757">
        <f t="shared" si="132"/>
        <v>0.7</v>
      </c>
      <c r="AG155" s="1757">
        <f t="shared" si="133"/>
        <v>0.7</v>
      </c>
      <c r="AH155" s="1757">
        <f t="shared" si="134"/>
        <v>0.7</v>
      </c>
      <c r="AI155" s="1757">
        <f t="shared" si="135"/>
        <v>0.7</v>
      </c>
      <c r="AJ155" s="1757">
        <f t="shared" si="141"/>
        <v>0.7</v>
      </c>
      <c r="AK155" s="1759">
        <f t="shared" si="136"/>
        <v>0.7</v>
      </c>
      <c r="AL155" s="1757">
        <f t="shared" si="137"/>
        <v>0.7</v>
      </c>
      <c r="AM155" s="1757">
        <f t="shared" si="137"/>
        <v>0.7</v>
      </c>
      <c r="AN155" s="1784">
        <f t="shared" si="138"/>
        <v>0</v>
      </c>
      <c r="AO155" s="1762">
        <f t="shared" si="139"/>
        <v>0</v>
      </c>
      <c r="AP155" s="1762">
        <f t="shared" si="140"/>
        <v>0</v>
      </c>
      <c r="AR155" s="1645" t="s">
        <v>1494</v>
      </c>
      <c r="AS155" s="1691" t="s">
        <v>371</v>
      </c>
      <c r="AT155" s="1735" t="s">
        <v>771</v>
      </c>
      <c r="AU155" s="1621">
        <v>0.7</v>
      </c>
      <c r="AV155" s="1621">
        <v>0.7</v>
      </c>
      <c r="AW155" s="1621">
        <v>0.7</v>
      </c>
      <c r="AX155" s="1621">
        <v>0.7</v>
      </c>
      <c r="AY155" s="1621">
        <v>0.7</v>
      </c>
      <c r="AZ155" s="1621">
        <v>0.7</v>
      </c>
      <c r="BA155" s="1621">
        <v>0.7</v>
      </c>
      <c r="BB155" s="1621">
        <v>0.7</v>
      </c>
      <c r="BC155" s="1621">
        <v>0.7</v>
      </c>
      <c r="BD155" s="1621">
        <v>0.7</v>
      </c>
      <c r="BE155" s="1867"/>
      <c r="BF155" s="1713"/>
      <c r="BG155" s="1713"/>
      <c r="BI155" s="1645" t="s">
        <v>1494</v>
      </c>
      <c r="BJ155" s="1691" t="s">
        <v>371</v>
      </c>
      <c r="BK155" s="1735" t="s">
        <v>771</v>
      </c>
      <c r="BL155" s="1621">
        <v>0.7</v>
      </c>
      <c r="BM155" s="1621">
        <v>0.7</v>
      </c>
      <c r="BN155" s="1621">
        <v>0.7</v>
      </c>
      <c r="BO155" s="1621">
        <v>0.7</v>
      </c>
      <c r="BP155" s="1621">
        <v>0.7</v>
      </c>
      <c r="BQ155" s="1621">
        <v>0.7</v>
      </c>
      <c r="BR155" s="1621">
        <v>0.7</v>
      </c>
      <c r="BS155" s="1621">
        <v>0.7</v>
      </c>
      <c r="BT155" s="1621">
        <v>0.7</v>
      </c>
      <c r="BU155" s="1621">
        <v>0.7</v>
      </c>
      <c r="BV155" s="1867"/>
      <c r="BW155" s="1713"/>
      <c r="BX155" s="1713"/>
    </row>
    <row r="156" spans="1:77" ht="13.5" customHeight="1">
      <c r="B156" s="1619" t="str">
        <f t="shared" si="156"/>
        <v>3.2.1</v>
      </c>
      <c r="C156" s="1612" t="str">
        <f t="shared" si="157"/>
        <v>消火剤</v>
      </c>
      <c r="D156" s="1719" t="e">
        <f t="shared" ref="D156:E158" si="165">IF(I$155&gt;0,G156/I$155,0)</f>
        <v>#DIV/0!</v>
      </c>
      <c r="E156" s="1689" t="e">
        <f t="shared" si="165"/>
        <v>#DIV/0!</v>
      </c>
      <c r="G156" s="1689" t="e">
        <f t="shared" si="158"/>
        <v>#DIV/0!</v>
      </c>
      <c r="H156" s="1689" t="e">
        <f t="shared" si="158"/>
        <v>#DIV/0!</v>
      </c>
      <c r="I156" s="1689"/>
      <c r="J156" s="1689"/>
      <c r="K156" s="1614">
        <f>IF(スコア表示!X156=0,0,1)</f>
        <v>1</v>
      </c>
      <c r="L156" s="1614">
        <f>IF(スコア表示!AB156=0,0,1)</f>
        <v>0</v>
      </c>
      <c r="N156" s="1706" t="e">
        <f t="shared" ref="N156:O158" si="166">IF(P$155&gt;0,R156/P$155,0)</f>
        <v>#DIV/0!</v>
      </c>
      <c r="O156" s="1706" t="e">
        <f t="shared" si="166"/>
        <v>#DIV/0!</v>
      </c>
      <c r="P156" s="1614"/>
      <c r="Q156" s="1614"/>
      <c r="R156" s="1614" t="e">
        <f>IF(スコア入力!R156="EB",重み_対象外!D156,U156)</f>
        <v>#DIV/0!</v>
      </c>
      <c r="S156" s="1614" t="e">
        <f>IF(スコア入力!Y156="EB",重み_対象外!E156,V156)</f>
        <v>#DIV/0!</v>
      </c>
      <c r="T156" s="1558"/>
      <c r="U156" s="1612" t="e">
        <f t="shared" ref="U156:V158" si="167">X$153*X$155*X156</f>
        <v>#DIV/0!</v>
      </c>
      <c r="V156" s="1612" t="e">
        <f t="shared" si="167"/>
        <v>#DIV/0!</v>
      </c>
      <c r="W156" s="1558"/>
      <c r="X156" s="1614" t="e">
        <f t="shared" si="159"/>
        <v>#DIV/0!</v>
      </c>
      <c r="Y156" s="1614" t="e">
        <f t="shared" si="160"/>
        <v>#DIV/0!</v>
      </c>
      <c r="Z156" s="1569"/>
      <c r="AA156" s="1611" t="str">
        <f t="shared" si="163"/>
        <v>3.2.1</v>
      </c>
      <c r="AB156" s="1611" t="str">
        <f t="shared" si="164"/>
        <v>LR2 3.2</v>
      </c>
      <c r="AC156" s="1611" t="str">
        <f t="shared" si="155"/>
        <v>消火剤</v>
      </c>
      <c r="AD156" s="1757">
        <f t="shared" si="130"/>
        <v>0.33333333333333331</v>
      </c>
      <c r="AE156" s="1757">
        <f t="shared" si="131"/>
        <v>0.33333333333333331</v>
      </c>
      <c r="AF156" s="1757">
        <f t="shared" si="132"/>
        <v>0.33333333333333331</v>
      </c>
      <c r="AG156" s="1757">
        <f t="shared" si="133"/>
        <v>0.33333333333333331</v>
      </c>
      <c r="AH156" s="1757">
        <f t="shared" si="134"/>
        <v>0.33333333333333331</v>
      </c>
      <c r="AI156" s="1757">
        <f t="shared" si="135"/>
        <v>0.33333333333333331</v>
      </c>
      <c r="AJ156" s="1757">
        <f t="shared" si="141"/>
        <v>0.33333333333333331</v>
      </c>
      <c r="AK156" s="1759">
        <f t="shared" si="136"/>
        <v>0.33333333333333331</v>
      </c>
      <c r="AL156" s="1757">
        <f t="shared" si="137"/>
        <v>0.33333333333333331</v>
      </c>
      <c r="AM156" s="1757">
        <f t="shared" si="137"/>
        <v>0.33333333333333331</v>
      </c>
      <c r="AN156" s="1784">
        <f t="shared" si="138"/>
        <v>0</v>
      </c>
      <c r="AO156" s="1762">
        <f t="shared" si="139"/>
        <v>0</v>
      </c>
      <c r="AP156" s="1762">
        <f t="shared" si="140"/>
        <v>0</v>
      </c>
      <c r="AR156" s="1645" t="s">
        <v>1535</v>
      </c>
      <c r="AS156" s="1691" t="s">
        <v>372</v>
      </c>
      <c r="AT156" s="2061" t="s">
        <v>1537</v>
      </c>
      <c r="AU156" s="1621">
        <v>0.33333333333333331</v>
      </c>
      <c r="AV156" s="1621">
        <v>0.33333333333333331</v>
      </c>
      <c r="AW156" s="1621">
        <v>0.33333333333333331</v>
      </c>
      <c r="AX156" s="1621">
        <v>0.33333333333333331</v>
      </c>
      <c r="AY156" s="1621">
        <v>0.33333333333333331</v>
      </c>
      <c r="AZ156" s="1621">
        <v>0.33333333333333331</v>
      </c>
      <c r="BA156" s="1621">
        <v>0.33333333333333331</v>
      </c>
      <c r="BB156" s="1621">
        <v>0.33333333333333331</v>
      </c>
      <c r="BC156" s="1621">
        <v>0.33333333333333331</v>
      </c>
      <c r="BD156" s="1621">
        <v>0.33333333333333331</v>
      </c>
      <c r="BE156" s="1867"/>
      <c r="BF156" s="1713"/>
      <c r="BG156" s="1713"/>
      <c r="BI156" s="1645" t="s">
        <v>1535</v>
      </c>
      <c r="BJ156" s="1691" t="s">
        <v>372</v>
      </c>
      <c r="BK156" s="2061" t="s">
        <v>1537</v>
      </c>
      <c r="BL156" s="1621">
        <v>0.33333333333333331</v>
      </c>
      <c r="BM156" s="1621">
        <v>0.33333333333333331</v>
      </c>
      <c r="BN156" s="1621">
        <v>0.33333333333333331</v>
      </c>
      <c r="BO156" s="1621">
        <v>0.33333333333333331</v>
      </c>
      <c r="BP156" s="1621">
        <v>0.33333333333333331</v>
      </c>
      <c r="BQ156" s="1621">
        <v>0.33333333333333331</v>
      </c>
      <c r="BR156" s="1621">
        <v>0.33333333333333331</v>
      </c>
      <c r="BS156" s="1621">
        <v>0.33333333333333331</v>
      </c>
      <c r="BT156" s="1621">
        <v>0.33333333333333331</v>
      </c>
      <c r="BU156" s="1621">
        <v>0.33333333333333331</v>
      </c>
      <c r="BV156" s="1867"/>
      <c r="BW156" s="1713"/>
      <c r="BX156" s="1713"/>
    </row>
    <row r="157" spans="1:77" ht="13.5" customHeight="1">
      <c r="B157" s="1619" t="str">
        <f t="shared" si="156"/>
        <v>3.2.2</v>
      </c>
      <c r="C157" s="1612" t="str">
        <f t="shared" si="157"/>
        <v>発泡剤（断熱材等）</v>
      </c>
      <c r="D157" s="1719" t="e">
        <f t="shared" si="165"/>
        <v>#DIV/0!</v>
      </c>
      <c r="E157" s="1689" t="e">
        <f t="shared" si="165"/>
        <v>#DIV/0!</v>
      </c>
      <c r="G157" s="1689" t="e">
        <f t="shared" si="158"/>
        <v>#DIV/0!</v>
      </c>
      <c r="H157" s="1689" t="e">
        <f t="shared" si="158"/>
        <v>#DIV/0!</v>
      </c>
      <c r="I157" s="1689"/>
      <c r="J157" s="1689"/>
      <c r="K157" s="1614">
        <f>IF(スコア表示!X157=0,0,1)</f>
        <v>1</v>
      </c>
      <c r="L157" s="1614">
        <f>IF(スコア表示!AB157=0,0,1)</f>
        <v>0</v>
      </c>
      <c r="N157" s="1706" t="e">
        <f t="shared" si="166"/>
        <v>#DIV/0!</v>
      </c>
      <c r="O157" s="1706" t="e">
        <f t="shared" si="166"/>
        <v>#DIV/0!</v>
      </c>
      <c r="P157" s="1614"/>
      <c r="Q157" s="1614"/>
      <c r="R157" s="1614" t="e">
        <f>IF(スコア入力!R157="EB",重み_対象外!D157,U157)</f>
        <v>#DIV/0!</v>
      </c>
      <c r="S157" s="1614" t="e">
        <f>IF(スコア入力!Y157="EB",重み_対象外!E157,V157)</f>
        <v>#DIV/0!</v>
      </c>
      <c r="T157" s="1558"/>
      <c r="U157" s="1612" t="e">
        <f t="shared" si="167"/>
        <v>#DIV/0!</v>
      </c>
      <c r="V157" s="1612" t="e">
        <f t="shared" si="167"/>
        <v>#DIV/0!</v>
      </c>
      <c r="W157" s="1558"/>
      <c r="X157" s="1614" t="e">
        <f t="shared" si="159"/>
        <v>#DIV/0!</v>
      </c>
      <c r="Y157" s="1614" t="e">
        <f t="shared" si="160"/>
        <v>#DIV/0!</v>
      </c>
      <c r="Z157" s="1569"/>
      <c r="AA157" s="1611" t="str">
        <f t="shared" si="163"/>
        <v>3.2.2</v>
      </c>
      <c r="AB157" s="1611" t="str">
        <f t="shared" si="164"/>
        <v>LR2 3.2</v>
      </c>
      <c r="AC157" s="1611" t="str">
        <f t="shared" si="155"/>
        <v>発泡剤（断熱材等）</v>
      </c>
      <c r="AD157" s="1757">
        <f t="shared" si="130"/>
        <v>0.33333333333333331</v>
      </c>
      <c r="AE157" s="1757">
        <f t="shared" si="131"/>
        <v>0.33333333333333331</v>
      </c>
      <c r="AF157" s="1757">
        <f t="shared" si="132"/>
        <v>0.33333333333333331</v>
      </c>
      <c r="AG157" s="1757">
        <f t="shared" si="133"/>
        <v>0.33333333333333331</v>
      </c>
      <c r="AH157" s="1757">
        <f t="shared" si="134"/>
        <v>0.33333333333333331</v>
      </c>
      <c r="AI157" s="1757">
        <f t="shared" si="135"/>
        <v>0.33333333333333331</v>
      </c>
      <c r="AJ157" s="1757">
        <f t="shared" si="141"/>
        <v>0.33333333333333331</v>
      </c>
      <c r="AK157" s="1759">
        <f t="shared" si="136"/>
        <v>0.33333333333333331</v>
      </c>
      <c r="AL157" s="1757">
        <f t="shared" si="137"/>
        <v>0.33333333333333331</v>
      </c>
      <c r="AM157" s="1757">
        <f t="shared" si="137"/>
        <v>0.33333333333333331</v>
      </c>
      <c r="AN157" s="1784">
        <f t="shared" si="138"/>
        <v>0</v>
      </c>
      <c r="AO157" s="1762">
        <f t="shared" si="139"/>
        <v>0</v>
      </c>
      <c r="AP157" s="1762">
        <f t="shared" si="140"/>
        <v>0</v>
      </c>
      <c r="AR157" s="1645" t="s">
        <v>1538</v>
      </c>
      <c r="AS157" s="1691" t="s">
        <v>372</v>
      </c>
      <c r="AT157" s="2061" t="s">
        <v>1539</v>
      </c>
      <c r="AU157" s="1621">
        <v>0.33333333333333331</v>
      </c>
      <c r="AV157" s="1621">
        <v>0.33333333333333331</v>
      </c>
      <c r="AW157" s="1621">
        <v>0.33333333333333331</v>
      </c>
      <c r="AX157" s="1621">
        <v>0.33333333333333331</v>
      </c>
      <c r="AY157" s="1621">
        <v>0.33333333333333331</v>
      </c>
      <c r="AZ157" s="1621">
        <v>0.33333333333333331</v>
      </c>
      <c r="BA157" s="1621">
        <v>0.33333333333333331</v>
      </c>
      <c r="BB157" s="1621">
        <v>0.33333333333333331</v>
      </c>
      <c r="BC157" s="1621">
        <v>0.33333333333333331</v>
      </c>
      <c r="BD157" s="1621">
        <v>0.33333333333333331</v>
      </c>
      <c r="BE157" s="1867"/>
      <c r="BF157" s="1713"/>
      <c r="BG157" s="1713"/>
      <c r="BI157" s="1645" t="s">
        <v>1538</v>
      </c>
      <c r="BJ157" s="1691" t="s">
        <v>372</v>
      </c>
      <c r="BK157" s="2061" t="s">
        <v>1539</v>
      </c>
      <c r="BL157" s="1621">
        <v>0.33333333333333331</v>
      </c>
      <c r="BM157" s="1621">
        <v>0.33333333333333331</v>
      </c>
      <c r="BN157" s="1621">
        <v>0.33333333333333331</v>
      </c>
      <c r="BO157" s="1621">
        <v>0.33333333333333331</v>
      </c>
      <c r="BP157" s="1621">
        <v>0.33333333333333331</v>
      </c>
      <c r="BQ157" s="1621">
        <v>0.33333333333333331</v>
      </c>
      <c r="BR157" s="1621">
        <v>0.33333333333333331</v>
      </c>
      <c r="BS157" s="1621">
        <v>0.33333333333333331</v>
      </c>
      <c r="BT157" s="1621">
        <v>0.33333333333333331</v>
      </c>
      <c r="BU157" s="1621">
        <v>0.33333333333333331</v>
      </c>
      <c r="BV157" s="1867"/>
      <c r="BW157" s="1713"/>
      <c r="BX157" s="1713"/>
    </row>
    <row r="158" spans="1:77" ht="13.5" customHeight="1">
      <c r="B158" s="1619" t="str">
        <f t="shared" si="156"/>
        <v>3.2.3</v>
      </c>
      <c r="C158" s="1612" t="str">
        <f t="shared" si="157"/>
        <v>冷媒</v>
      </c>
      <c r="D158" s="1719" t="e">
        <f t="shared" si="165"/>
        <v>#DIV/0!</v>
      </c>
      <c r="E158" s="1689" t="e">
        <f t="shared" si="165"/>
        <v>#DIV/0!</v>
      </c>
      <c r="G158" s="1689" t="e">
        <f t="shared" si="158"/>
        <v>#DIV/0!</v>
      </c>
      <c r="H158" s="1689" t="e">
        <f t="shared" si="158"/>
        <v>#DIV/0!</v>
      </c>
      <c r="I158" s="1689"/>
      <c r="J158" s="1689"/>
      <c r="K158" s="1614">
        <f>IF(スコア表示!X158=0,0,1)</f>
        <v>1</v>
      </c>
      <c r="L158" s="1614">
        <f>IF(スコア表示!AB158=0,0,1)</f>
        <v>0</v>
      </c>
      <c r="N158" s="1706" t="e">
        <f t="shared" si="166"/>
        <v>#DIV/0!</v>
      </c>
      <c r="O158" s="1706" t="e">
        <f t="shared" si="166"/>
        <v>#DIV/0!</v>
      </c>
      <c r="P158" s="1614"/>
      <c r="Q158" s="1614"/>
      <c r="R158" s="1614" t="e">
        <f>IF(スコア入力!R158="EB",重み_対象外!D158,U158)</f>
        <v>#DIV/0!</v>
      </c>
      <c r="S158" s="1614" t="e">
        <f>IF(スコア入力!Y158="EB",重み_対象外!E158,V158)</f>
        <v>#DIV/0!</v>
      </c>
      <c r="T158" s="1558"/>
      <c r="U158" s="1612" t="e">
        <f t="shared" si="167"/>
        <v>#DIV/0!</v>
      </c>
      <c r="V158" s="1612" t="e">
        <f t="shared" si="167"/>
        <v>#DIV/0!</v>
      </c>
      <c r="W158" s="1558"/>
      <c r="X158" s="1614" t="e">
        <f t="shared" si="159"/>
        <v>#DIV/0!</v>
      </c>
      <c r="Y158" s="1614" t="e">
        <f t="shared" si="160"/>
        <v>#DIV/0!</v>
      </c>
      <c r="Z158" s="1569"/>
      <c r="AA158" s="1611" t="str">
        <f t="shared" si="163"/>
        <v>3.2.3</v>
      </c>
      <c r="AB158" s="1611" t="str">
        <f t="shared" si="164"/>
        <v>LR2 3.2</v>
      </c>
      <c r="AC158" s="1611" t="str">
        <f t="shared" si="155"/>
        <v>冷媒</v>
      </c>
      <c r="AD158" s="1757">
        <f t="shared" si="130"/>
        <v>0.33333333333333331</v>
      </c>
      <c r="AE158" s="1757">
        <f t="shared" si="131"/>
        <v>0.33333333333333331</v>
      </c>
      <c r="AF158" s="1757">
        <f t="shared" si="132"/>
        <v>0.33333333333333331</v>
      </c>
      <c r="AG158" s="1757">
        <f t="shared" si="133"/>
        <v>0.33333333333333331</v>
      </c>
      <c r="AH158" s="1757">
        <f t="shared" si="134"/>
        <v>0.33333333333333331</v>
      </c>
      <c r="AI158" s="1757">
        <f t="shared" si="135"/>
        <v>0.33333333333333331</v>
      </c>
      <c r="AJ158" s="1757">
        <f t="shared" si="141"/>
        <v>0.33333333333333331</v>
      </c>
      <c r="AK158" s="1759">
        <f t="shared" si="136"/>
        <v>0.33333333333333331</v>
      </c>
      <c r="AL158" s="1757">
        <f t="shared" si="137"/>
        <v>0.33333333333333331</v>
      </c>
      <c r="AM158" s="1757">
        <f t="shared" si="137"/>
        <v>0.33333333333333331</v>
      </c>
      <c r="AN158" s="1784">
        <f t="shared" si="138"/>
        <v>0</v>
      </c>
      <c r="AO158" s="1762">
        <f t="shared" si="139"/>
        <v>0</v>
      </c>
      <c r="AP158" s="1762">
        <f t="shared" si="140"/>
        <v>0</v>
      </c>
      <c r="AR158" s="1645" t="s">
        <v>1541</v>
      </c>
      <c r="AS158" s="1691" t="s">
        <v>372</v>
      </c>
      <c r="AT158" s="2061" t="s">
        <v>374</v>
      </c>
      <c r="AU158" s="1621">
        <v>0.33333333333333331</v>
      </c>
      <c r="AV158" s="1621">
        <v>0.33333333333333331</v>
      </c>
      <c r="AW158" s="1621">
        <v>0.33333333333333331</v>
      </c>
      <c r="AX158" s="1621">
        <v>0.33333333333333331</v>
      </c>
      <c r="AY158" s="1621">
        <v>0.33333333333333331</v>
      </c>
      <c r="AZ158" s="1621">
        <v>0.33333333333333331</v>
      </c>
      <c r="BA158" s="1621">
        <v>0.33333333333333331</v>
      </c>
      <c r="BB158" s="1621">
        <v>0.33333333333333331</v>
      </c>
      <c r="BC158" s="1621">
        <v>0.33333333333333331</v>
      </c>
      <c r="BD158" s="1621">
        <v>0.33333333333333331</v>
      </c>
      <c r="BE158" s="1867"/>
      <c r="BF158" s="1713"/>
      <c r="BG158" s="1713"/>
      <c r="BI158" s="1645" t="s">
        <v>1541</v>
      </c>
      <c r="BJ158" s="1691" t="s">
        <v>372</v>
      </c>
      <c r="BK158" s="2061" t="s">
        <v>374</v>
      </c>
      <c r="BL158" s="1621">
        <v>0.33333333333333331</v>
      </c>
      <c r="BM158" s="1621">
        <v>0.33333333333333331</v>
      </c>
      <c r="BN158" s="1621">
        <v>0.33333333333333331</v>
      </c>
      <c r="BO158" s="1621">
        <v>0.33333333333333331</v>
      </c>
      <c r="BP158" s="1621">
        <v>0.33333333333333331</v>
      </c>
      <c r="BQ158" s="1621">
        <v>0.33333333333333331</v>
      </c>
      <c r="BR158" s="1621">
        <v>0.33333333333333331</v>
      </c>
      <c r="BS158" s="1621">
        <v>0.33333333333333331</v>
      </c>
      <c r="BT158" s="1621">
        <v>0.33333333333333331</v>
      </c>
      <c r="BU158" s="1621">
        <v>0.33333333333333331</v>
      </c>
      <c r="BV158" s="1867"/>
      <c r="BW158" s="1713"/>
      <c r="BX158" s="1713"/>
    </row>
    <row r="159" spans="1:77" s="1603" customFormat="1" ht="13.5" customHeight="1">
      <c r="A159"/>
      <c r="B159" s="1595" t="str">
        <f t="shared" si="156"/>
        <v>LR3</v>
      </c>
      <c r="C159" s="1596" t="str">
        <f t="shared" si="157"/>
        <v>敷地外環境</v>
      </c>
      <c r="D159" s="2088" t="e">
        <f>IF(I$116=0,0,G159/I$116)</f>
        <v>#VALUE!</v>
      </c>
      <c r="E159" s="2054" t="e">
        <f>IF(J$116=0,0,H159/J$116)</f>
        <v>#DIV/0!</v>
      </c>
      <c r="F159"/>
      <c r="G159" s="2054" t="e">
        <f t="shared" si="158"/>
        <v>#DIV/0!</v>
      </c>
      <c r="H159" s="2054" t="e">
        <f t="shared" si="158"/>
        <v>#DIV/0!</v>
      </c>
      <c r="I159" s="2054" t="e">
        <f>G160+G161+G169</f>
        <v>#DIV/0!</v>
      </c>
      <c r="J159" s="2054" t="e">
        <f>H160+H161+H169</f>
        <v>#DIV/0!</v>
      </c>
      <c r="K159" s="1598" t="e">
        <f>IF(スコア表示!X159=0,0,1)</f>
        <v>#DIV/0!</v>
      </c>
      <c r="L159" s="1598">
        <f>IF(スコア表示!AB159=0,0,1)</f>
        <v>0</v>
      </c>
      <c r="M159"/>
      <c r="N159" s="1729" t="e">
        <f>IF(P$116=0,0,R159/P$116)</f>
        <v>#DIV/0!</v>
      </c>
      <c r="O159" s="1729" t="e">
        <f>IF(Q$116=0,0,S159/Q$116)</f>
        <v>#DIV/0!</v>
      </c>
      <c r="P159" s="1598" t="e">
        <f>R160+R161+R169</f>
        <v>#DIV/0!</v>
      </c>
      <c r="Q159" s="1598" t="e">
        <f>S160+S161+S169</f>
        <v>#DIV/0!</v>
      </c>
      <c r="R159" s="1598" t="e">
        <f>IF(スコア入力!R159="EB",重み_対象外!D159,U159)</f>
        <v>#DIV/0!</v>
      </c>
      <c r="S159" s="1598" t="e">
        <f>IF(スコア入力!Y159="EB",重み_対象外!E159,V159)</f>
        <v>#DIV/0!</v>
      </c>
      <c r="T159" s="1558"/>
      <c r="U159" s="1751" t="e">
        <f>X159</f>
        <v>#DIV/0!</v>
      </c>
      <c r="V159" s="1751" t="e">
        <f>Y159</f>
        <v>#DIV/0!</v>
      </c>
      <c r="W159" s="1558"/>
      <c r="X159" s="1598" t="e">
        <f t="shared" si="159"/>
        <v>#DIV/0!</v>
      </c>
      <c r="Y159" s="1598" t="e">
        <f t="shared" si="160"/>
        <v>#DIV/0!</v>
      </c>
      <c r="Z159" s="1599"/>
      <c r="AA159" s="1679" t="str">
        <f t="shared" si="163"/>
        <v>LR3</v>
      </c>
      <c r="AB159" s="1679" t="str">
        <f t="shared" si="164"/>
        <v>LR</v>
      </c>
      <c r="AC159" s="1600" t="str">
        <f t="shared" si="155"/>
        <v>敷地外環境</v>
      </c>
      <c r="AD159" s="1752">
        <f t="shared" si="130"/>
        <v>0.3</v>
      </c>
      <c r="AE159" s="1752">
        <f t="shared" si="131"/>
        <v>0.3</v>
      </c>
      <c r="AF159" s="1752">
        <f t="shared" si="132"/>
        <v>0.3</v>
      </c>
      <c r="AG159" s="1752">
        <f t="shared" si="133"/>
        <v>0.3</v>
      </c>
      <c r="AH159" s="1752">
        <f t="shared" si="134"/>
        <v>0.3</v>
      </c>
      <c r="AI159" s="1752">
        <f t="shared" si="135"/>
        <v>0.3</v>
      </c>
      <c r="AJ159" s="1752">
        <f t="shared" si="141"/>
        <v>0.3</v>
      </c>
      <c r="AK159" s="1752">
        <f t="shared" si="136"/>
        <v>0.3</v>
      </c>
      <c r="AL159" s="1752">
        <f t="shared" si="137"/>
        <v>0.3</v>
      </c>
      <c r="AM159" s="1752">
        <f t="shared" si="137"/>
        <v>0.3</v>
      </c>
      <c r="AN159" s="1780">
        <f t="shared" si="138"/>
        <v>0</v>
      </c>
      <c r="AO159" s="1781">
        <f t="shared" si="139"/>
        <v>0</v>
      </c>
      <c r="AP159" s="1781">
        <f t="shared" si="140"/>
        <v>0</v>
      </c>
      <c r="AQ159" s="1683"/>
      <c r="AR159" s="1596" t="s">
        <v>1542</v>
      </c>
      <c r="AS159" s="2091" t="s">
        <v>1500</v>
      </c>
      <c r="AT159" s="2055" t="s">
        <v>1543</v>
      </c>
      <c r="AU159" s="2057">
        <v>0.3</v>
      </c>
      <c r="AV159" s="2057">
        <v>0.3</v>
      </c>
      <c r="AW159" s="2057">
        <v>0.3</v>
      </c>
      <c r="AX159" s="2057">
        <v>0.3</v>
      </c>
      <c r="AY159" s="2057">
        <v>0.3</v>
      </c>
      <c r="AZ159" s="2057">
        <v>0.3</v>
      </c>
      <c r="BA159" s="2057">
        <v>0.3</v>
      </c>
      <c r="BB159" s="2057">
        <v>0.3</v>
      </c>
      <c r="BC159" s="2057">
        <v>0.3</v>
      </c>
      <c r="BD159" s="2057">
        <v>0.3</v>
      </c>
      <c r="BE159" s="2093"/>
      <c r="BF159" s="2094"/>
      <c r="BG159" s="2094"/>
      <c r="BH159"/>
      <c r="BI159" s="1596" t="s">
        <v>1542</v>
      </c>
      <c r="BJ159" s="2091" t="s">
        <v>1500</v>
      </c>
      <c r="BK159" s="2055" t="s">
        <v>1543</v>
      </c>
      <c r="BL159" s="2057">
        <v>0.3</v>
      </c>
      <c r="BM159" s="2057">
        <v>0.3</v>
      </c>
      <c r="BN159" s="2057">
        <v>0.3</v>
      </c>
      <c r="BO159" s="2057">
        <v>0.3</v>
      </c>
      <c r="BP159" s="2057">
        <v>0.3</v>
      </c>
      <c r="BQ159" s="2057">
        <v>0.3</v>
      </c>
      <c r="BR159" s="2057">
        <v>0.3</v>
      </c>
      <c r="BS159" s="2057">
        <v>0.3</v>
      </c>
      <c r="BT159" s="2057">
        <v>0.3</v>
      </c>
      <c r="BU159" s="2057">
        <v>0.3</v>
      </c>
      <c r="BV159" s="2093"/>
      <c r="BW159" s="2094"/>
      <c r="BX159" s="2094"/>
      <c r="BY159"/>
    </row>
    <row r="160" spans="1:77" s="1603" customFormat="1" ht="13.5" customHeight="1">
      <c r="A160"/>
      <c r="B160" s="1730">
        <f t="shared" si="156"/>
        <v>1</v>
      </c>
      <c r="C160" s="1639" t="str">
        <f t="shared" si="157"/>
        <v>地球温暖化への配慮</v>
      </c>
      <c r="D160" s="2059" t="e">
        <f>IF(I$159=0,0,G160/I$159)</f>
        <v>#DIV/0!</v>
      </c>
      <c r="E160" s="2059" t="e">
        <f>IF(J$159=0,0,H160/J$159)</f>
        <v>#DIV/0!</v>
      </c>
      <c r="F160"/>
      <c r="G160" s="1741" t="e">
        <f t="shared" si="158"/>
        <v>#DIV/0!</v>
      </c>
      <c r="H160" s="1741" t="e">
        <f t="shared" si="158"/>
        <v>#DIV/0!</v>
      </c>
      <c r="I160" s="1741"/>
      <c r="J160" s="1741"/>
      <c r="K160" s="1607" t="e">
        <f>IF(スコア表示!X160=0,0,1)</f>
        <v>#DIV/0!</v>
      </c>
      <c r="L160" s="1607">
        <f>IF(スコア表示!AB160=0,0,1)</f>
        <v>0</v>
      </c>
      <c r="M160"/>
      <c r="N160" s="1705" t="e">
        <f>IF(P$159=0,0,R160/P$159)</f>
        <v>#DIV/0!</v>
      </c>
      <c r="O160" s="1705" t="e">
        <f>IF(Q$159=0,0,S160/Q$159)</f>
        <v>#DIV/0!</v>
      </c>
      <c r="P160" s="1607"/>
      <c r="Q160" s="1607"/>
      <c r="R160" s="1607" t="e">
        <f>IF(スコア入力!R160="EB",重み_対象外!D160,U160)</f>
        <v>#DIV/0!</v>
      </c>
      <c r="S160" s="1607" t="e">
        <f>IF(スコア入力!Y160="EB",重み_対象外!E160,V160)</f>
        <v>#DIV/0!</v>
      </c>
      <c r="T160" s="1558"/>
      <c r="U160" s="1708" t="e">
        <f>X160</f>
        <v>#DIV/0!</v>
      </c>
      <c r="V160" s="1708" t="e">
        <f>Y160</f>
        <v>#DIV/0!</v>
      </c>
      <c r="W160" s="1558"/>
      <c r="X160" s="1607" t="e">
        <f t="shared" si="159"/>
        <v>#DIV/0!</v>
      </c>
      <c r="Y160" s="1607" t="e">
        <f t="shared" si="160"/>
        <v>#DIV/0!</v>
      </c>
      <c r="Z160" s="1599"/>
      <c r="AA160" s="1672">
        <f t="shared" si="163"/>
        <v>1</v>
      </c>
      <c r="AB160" s="1604" t="str">
        <f t="shared" si="164"/>
        <v>LR3</v>
      </c>
      <c r="AC160" s="1604" t="str">
        <f t="shared" si="155"/>
        <v>地球温暖化への配慮</v>
      </c>
      <c r="AD160" s="1763">
        <f t="shared" si="130"/>
        <v>0.33333333333333331</v>
      </c>
      <c r="AE160" s="1763">
        <f t="shared" si="131"/>
        <v>0.33333333333333331</v>
      </c>
      <c r="AF160" s="1763">
        <f t="shared" si="132"/>
        <v>0.33333333333333331</v>
      </c>
      <c r="AG160" s="1763">
        <f t="shared" si="133"/>
        <v>0.33333333333333331</v>
      </c>
      <c r="AH160" s="1763">
        <f t="shared" si="134"/>
        <v>0.33333333333333331</v>
      </c>
      <c r="AI160" s="1763">
        <f t="shared" si="135"/>
        <v>0.33333333333333331</v>
      </c>
      <c r="AJ160" s="1763">
        <f t="shared" si="141"/>
        <v>0.33333333333333331</v>
      </c>
      <c r="AK160" s="1755">
        <f t="shared" si="136"/>
        <v>0.33333333333333331</v>
      </c>
      <c r="AL160" s="1763">
        <f t="shared" si="137"/>
        <v>0.33333333333333331</v>
      </c>
      <c r="AM160" s="1763">
        <f t="shared" si="137"/>
        <v>0.33333333333333331</v>
      </c>
      <c r="AN160" s="1764">
        <f t="shared" si="138"/>
        <v>0</v>
      </c>
      <c r="AO160" s="1763">
        <f t="shared" si="139"/>
        <v>0</v>
      </c>
      <c r="AP160" s="1763">
        <f t="shared" si="140"/>
        <v>0</v>
      </c>
      <c r="AQ160" s="1683"/>
      <c r="AR160" s="1639">
        <v>1</v>
      </c>
      <c r="AS160" s="1742" t="s">
        <v>375</v>
      </c>
      <c r="AT160" s="1778" t="s">
        <v>1101</v>
      </c>
      <c r="AU160" s="1709">
        <f t="shared" ref="AU160:BD161" si="168">1/3</f>
        <v>0.33333333333333331</v>
      </c>
      <c r="AV160" s="1709">
        <f t="shared" si="168"/>
        <v>0.33333333333333331</v>
      </c>
      <c r="AW160" s="1709">
        <f t="shared" si="168"/>
        <v>0.33333333333333331</v>
      </c>
      <c r="AX160" s="1709">
        <f t="shared" si="168"/>
        <v>0.33333333333333331</v>
      </c>
      <c r="AY160" s="1709">
        <f t="shared" si="168"/>
        <v>0.33333333333333331</v>
      </c>
      <c r="AZ160" s="1709">
        <f t="shared" si="168"/>
        <v>0.33333333333333331</v>
      </c>
      <c r="BA160" s="1709">
        <f t="shared" si="168"/>
        <v>0.33333333333333331</v>
      </c>
      <c r="BB160" s="1709">
        <f t="shared" si="168"/>
        <v>0.33333333333333331</v>
      </c>
      <c r="BC160" s="1709">
        <f t="shared" si="168"/>
        <v>0.33333333333333331</v>
      </c>
      <c r="BD160" s="1709">
        <f t="shared" si="168"/>
        <v>0.33333333333333331</v>
      </c>
      <c r="BE160" s="2060"/>
      <c r="BF160" s="1709"/>
      <c r="BG160" s="1709"/>
      <c r="BH160"/>
      <c r="BI160" s="1639">
        <v>1</v>
      </c>
      <c r="BJ160" s="1742" t="s">
        <v>375</v>
      </c>
      <c r="BK160" s="1778" t="s">
        <v>1101</v>
      </c>
      <c r="BL160" s="1709">
        <f t="shared" ref="BL160:BU161" si="169">1/3</f>
        <v>0.33333333333333331</v>
      </c>
      <c r="BM160" s="1709">
        <f t="shared" si="169"/>
        <v>0.33333333333333331</v>
      </c>
      <c r="BN160" s="1709">
        <f t="shared" si="169"/>
        <v>0.33333333333333331</v>
      </c>
      <c r="BO160" s="1709">
        <f t="shared" si="169"/>
        <v>0.33333333333333331</v>
      </c>
      <c r="BP160" s="1709">
        <f t="shared" si="169"/>
        <v>0.33333333333333331</v>
      </c>
      <c r="BQ160" s="1709">
        <f t="shared" si="169"/>
        <v>0.33333333333333331</v>
      </c>
      <c r="BR160" s="1709">
        <f t="shared" si="169"/>
        <v>0.33333333333333331</v>
      </c>
      <c r="BS160" s="1709">
        <f t="shared" si="169"/>
        <v>0.33333333333333331</v>
      </c>
      <c r="BT160" s="1709">
        <f t="shared" si="169"/>
        <v>0.33333333333333331</v>
      </c>
      <c r="BU160" s="1709">
        <f t="shared" si="169"/>
        <v>0.33333333333333331</v>
      </c>
      <c r="BV160" s="2060"/>
      <c r="BW160" s="1709"/>
      <c r="BX160" s="1709"/>
      <c r="BY160"/>
    </row>
    <row r="161" spans="1:77" s="1603" customFormat="1" ht="13.5" customHeight="1">
      <c r="A161"/>
      <c r="B161" s="1730">
        <f t="shared" si="156"/>
        <v>2</v>
      </c>
      <c r="C161" s="1639" t="str">
        <f t="shared" si="157"/>
        <v>地域環境への配慮</v>
      </c>
      <c r="D161" s="2059" t="e">
        <f>IF(I$159=0,0,G161/I$159)</f>
        <v>#DIV/0!</v>
      </c>
      <c r="E161" s="2059" t="e">
        <f>IF(J$159=0,0,H161/J$159)</f>
        <v>#DIV/0!</v>
      </c>
      <c r="F161"/>
      <c r="G161" s="1741" t="e">
        <f t="shared" si="158"/>
        <v>#DIV/0!</v>
      </c>
      <c r="H161" s="1741" t="e">
        <f t="shared" si="158"/>
        <v>#DIV/0!</v>
      </c>
      <c r="I161" s="1741" t="e">
        <f>G162+G163+G164</f>
        <v>#DIV/0!</v>
      </c>
      <c r="J161" s="1741" t="e">
        <f>H162+H163+H164</f>
        <v>#DIV/0!</v>
      </c>
      <c r="K161" s="1607" t="e">
        <f>IF(スコア表示!X161=0,0,1)</f>
        <v>#DIV/0!</v>
      </c>
      <c r="L161" s="1607" t="e">
        <f>IF(スコア表示!AB161=0,0,1)</f>
        <v>#DIV/0!</v>
      </c>
      <c r="M161"/>
      <c r="N161" s="1705" t="e">
        <f>IF(P$159=0,0,R161/P$159)</f>
        <v>#DIV/0!</v>
      </c>
      <c r="O161" s="1705" t="e">
        <f>IF(Q$159=0,0,S161/Q$159)</f>
        <v>#DIV/0!</v>
      </c>
      <c r="P161" s="1607" t="e">
        <f>SUM(R162:R168)</f>
        <v>#DIV/0!</v>
      </c>
      <c r="Q161" s="1607" t="e">
        <f>SUM(S162:S168)</f>
        <v>#DIV/0!</v>
      </c>
      <c r="R161" s="1607" t="e">
        <f>IF(スコア入力!R161="EB",重み_対象外!D161,U161)</f>
        <v>#DIV/0!</v>
      </c>
      <c r="S161" s="1607" t="e">
        <f>IF(スコア入力!Y161="EB",重み_対象外!E161,V161)</f>
        <v>#DIV/0!</v>
      </c>
      <c r="T161" s="1558"/>
      <c r="U161" s="1708" t="e">
        <f>SUM(U162:U168)</f>
        <v>#DIV/0!</v>
      </c>
      <c r="V161" s="1708" t="e">
        <f>SUM(V162:V168)</f>
        <v>#DIV/0!</v>
      </c>
      <c r="W161" s="1558"/>
      <c r="X161" s="1607" t="e">
        <f t="shared" si="159"/>
        <v>#DIV/0!</v>
      </c>
      <c r="Y161" s="1607" t="e">
        <f t="shared" si="160"/>
        <v>#DIV/0!</v>
      </c>
      <c r="Z161" s="1599"/>
      <c r="AA161" s="1672">
        <f t="shared" si="163"/>
        <v>2</v>
      </c>
      <c r="AB161" s="1604" t="str">
        <f t="shared" si="164"/>
        <v>LR3</v>
      </c>
      <c r="AC161" s="1604" t="str">
        <f t="shared" si="155"/>
        <v>地域環境への配慮</v>
      </c>
      <c r="AD161" s="1763">
        <f t="shared" si="130"/>
        <v>0.33333333333333331</v>
      </c>
      <c r="AE161" s="1763">
        <f t="shared" si="131"/>
        <v>0.33333333333333331</v>
      </c>
      <c r="AF161" s="1763">
        <f t="shared" si="132"/>
        <v>0.33333333333333331</v>
      </c>
      <c r="AG161" s="1763">
        <f t="shared" si="133"/>
        <v>0.33333333333333331</v>
      </c>
      <c r="AH161" s="1763">
        <f t="shared" si="134"/>
        <v>0.33333333333333331</v>
      </c>
      <c r="AI161" s="1763">
        <f t="shared" si="135"/>
        <v>0.33333333333333331</v>
      </c>
      <c r="AJ161" s="1763">
        <f t="shared" si="141"/>
        <v>0.33333333333333331</v>
      </c>
      <c r="AK161" s="1755">
        <f t="shared" si="136"/>
        <v>0.33333333333333331</v>
      </c>
      <c r="AL161" s="1763">
        <f t="shared" si="137"/>
        <v>0.33333333333333331</v>
      </c>
      <c r="AM161" s="1763">
        <f t="shared" si="137"/>
        <v>0.33333333333333331</v>
      </c>
      <c r="AN161" s="1764">
        <f t="shared" si="138"/>
        <v>0</v>
      </c>
      <c r="AO161" s="1763">
        <f t="shared" si="139"/>
        <v>0</v>
      </c>
      <c r="AP161" s="1763">
        <f t="shared" si="140"/>
        <v>0</v>
      </c>
      <c r="AQ161" s="1683"/>
      <c r="AR161" s="1639">
        <v>2</v>
      </c>
      <c r="AS161" s="1742" t="s">
        <v>375</v>
      </c>
      <c r="AT161" s="1778" t="s">
        <v>1102</v>
      </c>
      <c r="AU161" s="1709">
        <f t="shared" si="168"/>
        <v>0.33333333333333331</v>
      </c>
      <c r="AV161" s="1709">
        <f t="shared" si="168"/>
        <v>0.33333333333333331</v>
      </c>
      <c r="AW161" s="1709">
        <f t="shared" si="168"/>
        <v>0.33333333333333331</v>
      </c>
      <c r="AX161" s="1709">
        <f t="shared" si="168"/>
        <v>0.33333333333333331</v>
      </c>
      <c r="AY161" s="1709">
        <f t="shared" si="168"/>
        <v>0.33333333333333331</v>
      </c>
      <c r="AZ161" s="1709">
        <f t="shared" si="168"/>
        <v>0.33333333333333331</v>
      </c>
      <c r="BA161" s="1709">
        <f t="shared" si="168"/>
        <v>0.33333333333333331</v>
      </c>
      <c r="BB161" s="1709">
        <f t="shared" si="168"/>
        <v>0.33333333333333331</v>
      </c>
      <c r="BC161" s="1709">
        <f t="shared" si="168"/>
        <v>0.33333333333333331</v>
      </c>
      <c r="BD161" s="1709">
        <f t="shared" si="168"/>
        <v>0.33333333333333331</v>
      </c>
      <c r="BE161" s="2060"/>
      <c r="BF161" s="1709"/>
      <c r="BG161" s="1709"/>
      <c r="BH161"/>
      <c r="BI161" s="1639">
        <v>2</v>
      </c>
      <c r="BJ161" s="1742" t="s">
        <v>375</v>
      </c>
      <c r="BK161" s="1778" t="s">
        <v>1102</v>
      </c>
      <c r="BL161" s="1709">
        <f t="shared" si="169"/>
        <v>0.33333333333333331</v>
      </c>
      <c r="BM161" s="1709">
        <f t="shared" si="169"/>
        <v>0.33333333333333331</v>
      </c>
      <c r="BN161" s="1709">
        <f t="shared" si="169"/>
        <v>0.33333333333333331</v>
      </c>
      <c r="BO161" s="1709">
        <f t="shared" si="169"/>
        <v>0.33333333333333331</v>
      </c>
      <c r="BP161" s="1709">
        <f t="shared" si="169"/>
        <v>0.33333333333333331</v>
      </c>
      <c r="BQ161" s="1709">
        <f t="shared" si="169"/>
        <v>0.33333333333333331</v>
      </c>
      <c r="BR161" s="1709">
        <f t="shared" si="169"/>
        <v>0.33333333333333331</v>
      </c>
      <c r="BS161" s="1709">
        <f t="shared" si="169"/>
        <v>0.33333333333333331</v>
      </c>
      <c r="BT161" s="1709">
        <f t="shared" si="169"/>
        <v>0.33333333333333331</v>
      </c>
      <c r="BU161" s="1709">
        <f t="shared" si="169"/>
        <v>0.33333333333333331</v>
      </c>
      <c r="BV161" s="2060"/>
      <c r="BW161" s="1709"/>
      <c r="BX161" s="1709"/>
      <c r="BY161"/>
    </row>
    <row r="162" spans="1:77" ht="13.5" customHeight="1">
      <c r="B162" s="1615" t="str">
        <f t="shared" si="156"/>
        <v>2.1</v>
      </c>
      <c r="C162" s="1645" t="str">
        <f t="shared" si="157"/>
        <v>大気汚染防止</v>
      </c>
      <c r="D162" s="1714" t="e">
        <f t="shared" ref="D162:E164" si="170">IF(I$161=0,0,G162/I$161)</f>
        <v>#DIV/0!</v>
      </c>
      <c r="E162" s="1714" t="e">
        <f t="shared" si="170"/>
        <v>#DIV/0!</v>
      </c>
      <c r="G162" s="1689" t="e">
        <f t="shared" si="158"/>
        <v>#DIV/0!</v>
      </c>
      <c r="H162" s="1689" t="e">
        <f t="shared" si="158"/>
        <v>#DIV/0!</v>
      </c>
      <c r="I162" s="1689"/>
      <c r="J162" s="1689"/>
      <c r="K162" s="1614">
        <f>IF(スコア表示!X162=0,0,1)</f>
        <v>1</v>
      </c>
      <c r="L162" s="1614">
        <f>IF(スコア表示!AB162=0,0,1)</f>
        <v>0</v>
      </c>
      <c r="N162" s="1711" t="e">
        <f>IF(P$161=0,0,R162/P$161)</f>
        <v>#DIV/0!</v>
      </c>
      <c r="O162" s="1711" t="e">
        <f>IF(Q$161=0,0,S162/Q$161)</f>
        <v>#DIV/0!</v>
      </c>
      <c r="P162" s="1614"/>
      <c r="Q162" s="1614"/>
      <c r="R162" s="1614" t="e">
        <f>IF(スコア入力!R162="EB",重み_対象外!D162,U162)</f>
        <v>#DIV/0!</v>
      </c>
      <c r="S162" s="1614" t="e">
        <f>IF(スコア入力!Y162="EB",重み_対象外!E162,V162)</f>
        <v>#DIV/0!</v>
      </c>
      <c r="T162" s="1558"/>
      <c r="U162" s="1612" t="e">
        <f>X$161*X162</f>
        <v>#DIV/0!</v>
      </c>
      <c r="V162" s="1612" t="e">
        <f>Y$161*Y162</f>
        <v>#DIV/0!</v>
      </c>
      <c r="W162" s="1558"/>
      <c r="X162" s="1614" t="e">
        <f t="shared" si="159"/>
        <v>#DIV/0!</v>
      </c>
      <c r="Y162" s="1614" t="e">
        <f t="shared" si="160"/>
        <v>#DIV/0!</v>
      </c>
      <c r="Z162" s="1569"/>
      <c r="AA162" s="1611" t="str">
        <f t="shared" si="163"/>
        <v>2.1</v>
      </c>
      <c r="AB162" s="1611" t="str">
        <f t="shared" si="164"/>
        <v>LR3 2</v>
      </c>
      <c r="AC162" s="1611" t="str">
        <f t="shared" si="155"/>
        <v>大気汚染防止</v>
      </c>
      <c r="AD162" s="1757">
        <f t="shared" si="130"/>
        <v>0.25</v>
      </c>
      <c r="AE162" s="1757">
        <f t="shared" si="131"/>
        <v>0.25</v>
      </c>
      <c r="AF162" s="1757">
        <f t="shared" si="132"/>
        <v>0.25</v>
      </c>
      <c r="AG162" s="1757">
        <f t="shared" si="133"/>
        <v>0.25</v>
      </c>
      <c r="AH162" s="1757">
        <f t="shared" si="134"/>
        <v>0.25</v>
      </c>
      <c r="AI162" s="1757">
        <f t="shared" si="135"/>
        <v>0.25</v>
      </c>
      <c r="AJ162" s="1757">
        <f t="shared" si="141"/>
        <v>0.25</v>
      </c>
      <c r="AK162" s="1759">
        <f t="shared" si="136"/>
        <v>0.25</v>
      </c>
      <c r="AL162" s="1757">
        <f t="shared" si="137"/>
        <v>0.25</v>
      </c>
      <c r="AM162" s="1757">
        <f t="shared" si="137"/>
        <v>0.25</v>
      </c>
      <c r="AN162" s="1758">
        <f t="shared" si="138"/>
        <v>0</v>
      </c>
      <c r="AO162" s="1757">
        <f t="shared" si="139"/>
        <v>0</v>
      </c>
      <c r="AP162" s="1757">
        <f t="shared" si="140"/>
        <v>0</v>
      </c>
      <c r="AR162" s="1628" t="s">
        <v>1504</v>
      </c>
      <c r="AS162" s="1691" t="s">
        <v>376</v>
      </c>
      <c r="AT162" s="1735" t="s">
        <v>1103</v>
      </c>
      <c r="AU162" s="1621">
        <v>0.25</v>
      </c>
      <c r="AV162" s="1621">
        <v>0.25</v>
      </c>
      <c r="AW162" s="1621">
        <v>0.25</v>
      </c>
      <c r="AX162" s="1621">
        <v>0.25</v>
      </c>
      <c r="AY162" s="1621">
        <v>0.25</v>
      </c>
      <c r="AZ162" s="1621">
        <v>0.25</v>
      </c>
      <c r="BA162" s="1621">
        <v>0.25</v>
      </c>
      <c r="BB162" s="1621">
        <v>0.25</v>
      </c>
      <c r="BC162" s="1621">
        <v>0.25</v>
      </c>
      <c r="BD162" s="1621">
        <v>0.25</v>
      </c>
      <c r="BE162" s="1623"/>
      <c r="BF162" s="1621"/>
      <c r="BG162" s="1621"/>
      <c r="BI162" s="1628" t="s">
        <v>1504</v>
      </c>
      <c r="BJ162" s="1691" t="s">
        <v>376</v>
      </c>
      <c r="BK162" s="1735" t="s">
        <v>1103</v>
      </c>
      <c r="BL162" s="1621">
        <v>0.25</v>
      </c>
      <c r="BM162" s="1621">
        <v>0.25</v>
      </c>
      <c r="BN162" s="1621">
        <v>0.25</v>
      </c>
      <c r="BO162" s="1621">
        <v>0.25</v>
      </c>
      <c r="BP162" s="1621">
        <v>0.25</v>
      </c>
      <c r="BQ162" s="1621">
        <v>0.25</v>
      </c>
      <c r="BR162" s="1621">
        <v>0.25</v>
      </c>
      <c r="BS162" s="1621">
        <v>0.25</v>
      </c>
      <c r="BT162" s="1621">
        <v>0.25</v>
      </c>
      <c r="BU162" s="1621">
        <v>0.25</v>
      </c>
      <c r="BV162" s="1623"/>
      <c r="BW162" s="1621"/>
      <c r="BX162" s="1621"/>
    </row>
    <row r="163" spans="1:77" ht="13.5" customHeight="1">
      <c r="B163" s="1615" t="str">
        <f t="shared" si="156"/>
        <v>2.2</v>
      </c>
      <c r="C163" s="1645" t="str">
        <f t="shared" si="157"/>
        <v>温熱環境悪化の改善</v>
      </c>
      <c r="D163" s="1714" t="e">
        <f t="shared" si="170"/>
        <v>#DIV/0!</v>
      </c>
      <c r="E163" s="1714" t="e">
        <f t="shared" si="170"/>
        <v>#DIV/0!</v>
      </c>
      <c r="G163" s="1689" t="e">
        <f t="shared" si="158"/>
        <v>#DIV/0!</v>
      </c>
      <c r="H163" s="1689" t="e">
        <f t="shared" si="158"/>
        <v>#DIV/0!</v>
      </c>
      <c r="I163" s="1689"/>
      <c r="J163" s="1689"/>
      <c r="K163" s="1614">
        <f>IF(スコア表示!X163=0,0,1)</f>
        <v>1</v>
      </c>
      <c r="L163" s="1614">
        <f>IF(スコア表示!AB163=0,0,1)</f>
        <v>0</v>
      </c>
      <c r="N163" s="1711" t="e">
        <f>IF(P$161=0,0,R163/P$161)</f>
        <v>#DIV/0!</v>
      </c>
      <c r="O163" s="1711" t="e">
        <f>IF(Q$161=0,0,S163/Q$161)</f>
        <v>#DIV/0!</v>
      </c>
      <c r="P163" s="1614"/>
      <c r="Q163" s="1614"/>
      <c r="R163" s="1614" t="e">
        <f>IF(スコア入力!R163="EB",重み_対象外!D163,U163)</f>
        <v>#DIV/0!</v>
      </c>
      <c r="S163" s="1614" t="e">
        <f>IF(スコア入力!Y163="EB",重み_対象外!E163,V163)</f>
        <v>#DIV/0!</v>
      </c>
      <c r="T163" s="1558"/>
      <c r="U163" s="1612" t="e">
        <f>X$161*X163</f>
        <v>#DIV/0!</v>
      </c>
      <c r="V163" s="1612" t="e">
        <f>Y$161*Y163</f>
        <v>#DIV/0!</v>
      </c>
      <c r="W163" s="1558"/>
      <c r="X163" s="1614" t="e">
        <f t="shared" si="159"/>
        <v>#DIV/0!</v>
      </c>
      <c r="Y163" s="1614" t="e">
        <f t="shared" si="160"/>
        <v>#DIV/0!</v>
      </c>
      <c r="Z163" s="1569"/>
      <c r="AA163" s="1611" t="str">
        <f t="shared" si="163"/>
        <v>2.2</v>
      </c>
      <c r="AB163" s="1611" t="str">
        <f t="shared" si="164"/>
        <v>LR3 2</v>
      </c>
      <c r="AC163" s="1611" t="str">
        <f t="shared" ref="AC163:AC180" si="171">IF($AA$3=1,AT163,BK163)</f>
        <v>温熱環境悪化の改善</v>
      </c>
      <c r="AD163" s="1757">
        <f t="shared" ref="AD163:AD180" si="172">IF($AA$3=1,AU163,BL163)</f>
        <v>0.5</v>
      </c>
      <c r="AE163" s="1757">
        <f t="shared" ref="AE163:AE180" si="173">IF($AA$3=1,AV163,BM163)</f>
        <v>0.5</v>
      </c>
      <c r="AF163" s="1757">
        <f t="shared" ref="AF163:AF180" si="174">IF($AA$3=1,AW163,BN163)</f>
        <v>0.5</v>
      </c>
      <c r="AG163" s="1757">
        <f t="shared" ref="AG163:AG180" si="175">IF($AA$3=1,AX163,BO163)</f>
        <v>0.5</v>
      </c>
      <c r="AH163" s="1757">
        <f t="shared" ref="AH163:AH180" si="176">IF($AA$3=1,AY163,BP163)</f>
        <v>0.5</v>
      </c>
      <c r="AI163" s="1757">
        <f t="shared" ref="AI163:AI180" si="177">IF($AA$3=1,AZ163,BQ163)</f>
        <v>0.5</v>
      </c>
      <c r="AJ163" s="1757">
        <f t="shared" si="141"/>
        <v>0.5</v>
      </c>
      <c r="AK163" s="1759">
        <f t="shared" ref="AK163:AK180" si="178">IF($AA$3=1,BB163,BS163)</f>
        <v>0.5</v>
      </c>
      <c r="AL163" s="1757">
        <f t="shared" ref="AL163:AM180" si="179">IF($AA$3=1,BC163,BT163)</f>
        <v>0.5</v>
      </c>
      <c r="AM163" s="1757">
        <f t="shared" si="179"/>
        <v>0.5</v>
      </c>
      <c r="AN163" s="1758">
        <f t="shared" si="138"/>
        <v>0</v>
      </c>
      <c r="AO163" s="1757">
        <f t="shared" si="139"/>
        <v>0</v>
      </c>
      <c r="AP163" s="1757">
        <f t="shared" si="140"/>
        <v>0</v>
      </c>
      <c r="AR163" s="1628" t="s">
        <v>1506</v>
      </c>
      <c r="AS163" s="1691" t="s">
        <v>376</v>
      </c>
      <c r="AT163" s="1735" t="s">
        <v>1544</v>
      </c>
      <c r="AU163" s="2084">
        <v>0.5</v>
      </c>
      <c r="AV163" s="2084">
        <v>0.5</v>
      </c>
      <c r="AW163" s="2084">
        <v>0.5</v>
      </c>
      <c r="AX163" s="2084">
        <v>0.5</v>
      </c>
      <c r="AY163" s="2084">
        <v>0.5</v>
      </c>
      <c r="AZ163" s="2084">
        <v>0.5</v>
      </c>
      <c r="BA163" s="2084">
        <v>0.5</v>
      </c>
      <c r="BB163" s="2084">
        <v>0.5</v>
      </c>
      <c r="BC163" s="2084">
        <v>0.5</v>
      </c>
      <c r="BD163" s="2084">
        <v>0.5</v>
      </c>
      <c r="BE163" s="2085"/>
      <c r="BF163" s="2084"/>
      <c r="BG163" s="2084"/>
      <c r="BI163" s="1628" t="s">
        <v>1506</v>
      </c>
      <c r="BJ163" s="1691" t="s">
        <v>376</v>
      </c>
      <c r="BK163" s="1735" t="s">
        <v>1544</v>
      </c>
      <c r="BL163" s="2084">
        <v>0.5</v>
      </c>
      <c r="BM163" s="2084">
        <v>0.5</v>
      </c>
      <c r="BN163" s="2084">
        <v>0.5</v>
      </c>
      <c r="BO163" s="2084">
        <v>0.5</v>
      </c>
      <c r="BP163" s="2084">
        <v>0.5</v>
      </c>
      <c r="BQ163" s="2084">
        <v>0.5</v>
      </c>
      <c r="BR163" s="2084">
        <v>0.5</v>
      </c>
      <c r="BS163" s="2084">
        <v>0.5</v>
      </c>
      <c r="BT163" s="2084">
        <v>0.5</v>
      </c>
      <c r="BU163" s="2084">
        <v>0.5</v>
      </c>
      <c r="BV163" s="2085"/>
      <c r="BW163" s="2084"/>
      <c r="BX163" s="2084"/>
    </row>
    <row r="164" spans="1:77" ht="13.5" customHeight="1">
      <c r="B164" s="1615" t="str">
        <f t="shared" si="156"/>
        <v>2.3</v>
      </c>
      <c r="C164" s="1645" t="str">
        <f t="shared" si="157"/>
        <v>地域インフラへの負荷抑制</v>
      </c>
      <c r="D164" s="1714" t="e">
        <f t="shared" si="170"/>
        <v>#DIV/0!</v>
      </c>
      <c r="E164" s="1714" t="e">
        <f t="shared" si="170"/>
        <v>#DIV/0!</v>
      </c>
      <c r="G164" s="1689" t="e">
        <f t="shared" si="158"/>
        <v>#DIV/0!</v>
      </c>
      <c r="H164" s="1689" t="e">
        <f t="shared" si="158"/>
        <v>#DIV/0!</v>
      </c>
      <c r="I164" s="1689" t="e">
        <f>SUM(G165:G168)</f>
        <v>#DIV/0!</v>
      </c>
      <c r="J164" s="1689" t="e">
        <f>SUM(H165:H168)</f>
        <v>#DIV/0!</v>
      </c>
      <c r="K164" s="1614" t="e">
        <f>IF(スコア表示!X164=0,0,1)</f>
        <v>#DIV/0!</v>
      </c>
      <c r="L164" s="1614" t="e">
        <f>IF(スコア表示!AB164=0,0,1)</f>
        <v>#DIV/0!</v>
      </c>
      <c r="N164" s="1711" t="e">
        <f>IF(P$161=0,0,P164/P$161)</f>
        <v>#DIV/0!</v>
      </c>
      <c r="O164" s="1711" t="e">
        <f>IF(Q$161=0,0,Q164/Q$161)</f>
        <v>#DIV/0!</v>
      </c>
      <c r="P164" s="1614" t="e">
        <f>SUM(R165:R168)</f>
        <v>#DIV/0!</v>
      </c>
      <c r="Q164" s="1614" t="e">
        <f>SUM(S165:S168)</f>
        <v>#DIV/0!</v>
      </c>
      <c r="R164" s="1614">
        <f>IF(スコア入力!R164="EB",重み_対象外!D164,U164)</f>
        <v>0</v>
      </c>
      <c r="S164" s="1614">
        <f>IF(スコア入力!Y164="EB",重み_対象外!E164,V164)</f>
        <v>0</v>
      </c>
      <c r="T164" s="1558"/>
      <c r="U164" s="1612"/>
      <c r="V164" s="1612"/>
      <c r="W164" s="1558"/>
      <c r="X164" s="1614" t="e">
        <f t="shared" si="159"/>
        <v>#DIV/0!</v>
      </c>
      <c r="Y164" s="1614" t="e">
        <f t="shared" si="160"/>
        <v>#DIV/0!</v>
      </c>
      <c r="Z164" s="1569"/>
      <c r="AA164" s="1611" t="str">
        <f t="shared" si="163"/>
        <v>2.3</v>
      </c>
      <c r="AB164" s="1611" t="str">
        <f t="shared" si="164"/>
        <v>LR3 2</v>
      </c>
      <c r="AC164" s="1611" t="str">
        <f t="shared" si="171"/>
        <v>地域インフラへの負荷抑制</v>
      </c>
      <c r="AD164" s="1757">
        <f t="shared" si="172"/>
        <v>0.25</v>
      </c>
      <c r="AE164" s="1757">
        <f t="shared" si="173"/>
        <v>0.25</v>
      </c>
      <c r="AF164" s="1757">
        <f t="shared" si="174"/>
        <v>0.25</v>
      </c>
      <c r="AG164" s="1757">
        <f t="shared" si="175"/>
        <v>0.25</v>
      </c>
      <c r="AH164" s="1757">
        <f t="shared" si="176"/>
        <v>0.25</v>
      </c>
      <c r="AI164" s="1757">
        <f t="shared" si="177"/>
        <v>0.25</v>
      </c>
      <c r="AJ164" s="1757">
        <f t="shared" si="141"/>
        <v>0.25</v>
      </c>
      <c r="AK164" s="1759">
        <f t="shared" si="178"/>
        <v>0.25</v>
      </c>
      <c r="AL164" s="1757">
        <f t="shared" si="179"/>
        <v>0.25</v>
      </c>
      <c r="AM164" s="1757">
        <f t="shared" si="179"/>
        <v>0.25</v>
      </c>
      <c r="AN164" s="1758">
        <f t="shared" si="138"/>
        <v>0</v>
      </c>
      <c r="AO164" s="1757">
        <f t="shared" si="139"/>
        <v>0</v>
      </c>
      <c r="AP164" s="1757">
        <f t="shared" si="140"/>
        <v>0</v>
      </c>
      <c r="AR164" s="1628" t="s">
        <v>1545</v>
      </c>
      <c r="AS164" s="1691" t="s">
        <v>376</v>
      </c>
      <c r="AT164" s="1735" t="s">
        <v>903</v>
      </c>
      <c r="AU164" s="2084">
        <v>0.25</v>
      </c>
      <c r="AV164" s="2084">
        <v>0.25</v>
      </c>
      <c r="AW164" s="2084">
        <v>0.25</v>
      </c>
      <c r="AX164" s="2084">
        <v>0.25</v>
      </c>
      <c r="AY164" s="2084">
        <v>0.25</v>
      </c>
      <c r="AZ164" s="2084">
        <v>0.25</v>
      </c>
      <c r="BA164" s="2084">
        <v>0.25</v>
      </c>
      <c r="BB164" s="2084">
        <v>0.25</v>
      </c>
      <c r="BC164" s="2084">
        <v>0.25</v>
      </c>
      <c r="BD164" s="2084">
        <v>0.25</v>
      </c>
      <c r="BE164" s="2085"/>
      <c r="BF164" s="2084"/>
      <c r="BG164" s="2084"/>
      <c r="BI164" s="1628" t="s">
        <v>1545</v>
      </c>
      <c r="BJ164" s="1691" t="s">
        <v>376</v>
      </c>
      <c r="BK164" s="1735" t="s">
        <v>903</v>
      </c>
      <c r="BL164" s="2084">
        <v>0.25</v>
      </c>
      <c r="BM164" s="2084">
        <v>0.25</v>
      </c>
      <c r="BN164" s="2084">
        <v>0.25</v>
      </c>
      <c r="BO164" s="2084">
        <v>0.25</v>
      </c>
      <c r="BP164" s="2084">
        <v>0.25</v>
      </c>
      <c r="BQ164" s="2084">
        <v>0.25</v>
      </c>
      <c r="BR164" s="2084">
        <v>0.25</v>
      </c>
      <c r="BS164" s="2084">
        <v>0.25</v>
      </c>
      <c r="BT164" s="2084">
        <v>0.25</v>
      </c>
      <c r="BU164" s="2084">
        <v>0.25</v>
      </c>
      <c r="BV164" s="2085"/>
      <c r="BW164" s="2084"/>
      <c r="BX164" s="2084"/>
    </row>
    <row r="165" spans="1:77" ht="13.5" customHeight="1">
      <c r="B165" s="1615" t="str">
        <f t="shared" si="156"/>
        <v>2.3.1</v>
      </c>
      <c r="C165" s="1645" t="str">
        <f t="shared" si="157"/>
        <v>雨水排水負荷低減</v>
      </c>
      <c r="D165" s="1714" t="e">
        <f t="shared" ref="D165:E168" si="180">IF(I$164=0,0,G165/I$164)</f>
        <v>#DIV/0!</v>
      </c>
      <c r="E165" s="1714" t="e">
        <f t="shared" si="180"/>
        <v>#DIV/0!</v>
      </c>
      <c r="G165" s="1689" t="e">
        <f t="shared" si="158"/>
        <v>#DIV/0!</v>
      </c>
      <c r="H165" s="1689" t="e">
        <f t="shared" si="158"/>
        <v>#DIV/0!</v>
      </c>
      <c r="I165" s="1689"/>
      <c r="J165" s="1689"/>
      <c r="K165" s="1614">
        <f>IF(スコア表示!X165=0,0,1)</f>
        <v>1</v>
      </c>
      <c r="L165" s="1614">
        <f>IF(スコア表示!AB165=0,0,1)</f>
        <v>0</v>
      </c>
      <c r="N165" s="1711" t="e">
        <f t="shared" ref="N165:O168" si="181">IF(P$164&gt;0,R165/P$164,0)</f>
        <v>#DIV/0!</v>
      </c>
      <c r="O165" s="1711" t="e">
        <f t="shared" si="181"/>
        <v>#DIV/0!</v>
      </c>
      <c r="P165" s="1614"/>
      <c r="Q165" s="1614"/>
      <c r="R165" s="1614" t="e">
        <f>IF(スコア入力!R165="EB",重み_対象外!D165,U165)</f>
        <v>#DIV/0!</v>
      </c>
      <c r="S165" s="1614" t="e">
        <f>IF(スコア入力!Y165="EB",重み_対象外!E165,V165)</f>
        <v>#DIV/0!</v>
      </c>
      <c r="T165" s="1558"/>
      <c r="U165" s="1612" t="e">
        <f>X$161*X$164*X165</f>
        <v>#DIV/0!</v>
      </c>
      <c r="V165" s="1612" t="e">
        <f>Y$163*Y$164*Y165</f>
        <v>#DIV/0!</v>
      </c>
      <c r="W165" s="1558"/>
      <c r="X165" s="1614" t="e">
        <f t="shared" si="159"/>
        <v>#DIV/0!</v>
      </c>
      <c r="Y165" s="1614" t="e">
        <f t="shared" si="160"/>
        <v>#DIV/0!</v>
      </c>
      <c r="Z165" s="1569"/>
      <c r="AA165" s="1611" t="str">
        <f t="shared" si="163"/>
        <v>2.3.1</v>
      </c>
      <c r="AB165" s="1611" t="str">
        <f t="shared" si="164"/>
        <v>LR3 2.3</v>
      </c>
      <c r="AC165" s="1611" t="str">
        <f t="shared" si="171"/>
        <v>雨水排水負荷低減</v>
      </c>
      <c r="AD165" s="1757">
        <f t="shared" si="172"/>
        <v>0.25</v>
      </c>
      <c r="AE165" s="1757">
        <f t="shared" si="173"/>
        <v>0.25</v>
      </c>
      <c r="AF165" s="1757">
        <f t="shared" si="174"/>
        <v>0.25</v>
      </c>
      <c r="AG165" s="1757">
        <f t="shared" si="175"/>
        <v>0.25</v>
      </c>
      <c r="AH165" s="1757">
        <f t="shared" si="176"/>
        <v>0.25</v>
      </c>
      <c r="AI165" s="1757">
        <f t="shared" si="177"/>
        <v>0.25</v>
      </c>
      <c r="AJ165" s="1757">
        <f t="shared" si="141"/>
        <v>0.25</v>
      </c>
      <c r="AK165" s="1759">
        <f t="shared" si="178"/>
        <v>0.25</v>
      </c>
      <c r="AL165" s="1757">
        <f t="shared" si="179"/>
        <v>0.25</v>
      </c>
      <c r="AM165" s="1757">
        <f t="shared" si="179"/>
        <v>0.25</v>
      </c>
      <c r="AN165" s="1758"/>
      <c r="AO165" s="1757"/>
      <c r="AP165" s="1757"/>
      <c r="AR165" s="1628" t="s">
        <v>1417</v>
      </c>
      <c r="AS165" s="1691" t="s">
        <v>377</v>
      </c>
      <c r="AT165" s="1692" t="s">
        <v>1546</v>
      </c>
      <c r="AU165" s="1621">
        <v>0.25</v>
      </c>
      <c r="AV165" s="1621">
        <v>0.25</v>
      </c>
      <c r="AW165" s="1621">
        <v>0.25</v>
      </c>
      <c r="AX165" s="1621">
        <v>0.25</v>
      </c>
      <c r="AY165" s="1621">
        <v>0.25</v>
      </c>
      <c r="AZ165" s="1621">
        <v>0.25</v>
      </c>
      <c r="BA165" s="1621">
        <v>0.25</v>
      </c>
      <c r="BB165" s="1621">
        <v>0.25</v>
      </c>
      <c r="BC165" s="1621">
        <v>0.25</v>
      </c>
      <c r="BD165" s="1621">
        <v>0.25</v>
      </c>
      <c r="BE165" s="2085"/>
      <c r="BF165" s="2084"/>
      <c r="BG165" s="2084"/>
      <c r="BI165" s="1628" t="s">
        <v>1417</v>
      </c>
      <c r="BJ165" s="1691" t="s">
        <v>377</v>
      </c>
      <c r="BK165" s="1692" t="s">
        <v>1546</v>
      </c>
      <c r="BL165" s="1621">
        <v>0.25</v>
      </c>
      <c r="BM165" s="1621">
        <v>0.25</v>
      </c>
      <c r="BN165" s="1621">
        <v>0.25</v>
      </c>
      <c r="BO165" s="1621">
        <v>0.25</v>
      </c>
      <c r="BP165" s="1621">
        <v>0.25</v>
      </c>
      <c r="BQ165" s="1621">
        <v>0.25</v>
      </c>
      <c r="BR165" s="1621">
        <v>0.25</v>
      </c>
      <c r="BS165" s="1621">
        <v>0.25</v>
      </c>
      <c r="BT165" s="1621">
        <v>0.25</v>
      </c>
      <c r="BU165" s="1621">
        <v>0.25</v>
      </c>
      <c r="BV165" s="2085"/>
      <c r="BW165" s="2084"/>
      <c r="BX165" s="2084"/>
    </row>
    <row r="166" spans="1:77" ht="13.5" customHeight="1">
      <c r="B166" s="1615" t="str">
        <f t="shared" si="156"/>
        <v>2.3.2</v>
      </c>
      <c r="C166" s="1645" t="str">
        <f t="shared" si="157"/>
        <v>汚水処理負荷抑制</v>
      </c>
      <c r="D166" s="1714" t="e">
        <f t="shared" si="180"/>
        <v>#DIV/0!</v>
      </c>
      <c r="E166" s="1714" t="e">
        <f t="shared" si="180"/>
        <v>#DIV/0!</v>
      </c>
      <c r="G166" s="1689" t="e">
        <f t="shared" si="158"/>
        <v>#DIV/0!</v>
      </c>
      <c r="H166" s="1689" t="e">
        <f t="shared" si="158"/>
        <v>#DIV/0!</v>
      </c>
      <c r="I166" s="1689"/>
      <c r="J166" s="1689"/>
      <c r="K166" s="1614">
        <f>IF(スコア表示!X166=0,0,1)</f>
        <v>1</v>
      </c>
      <c r="L166" s="1614">
        <f>IF(スコア表示!AB166=0,0,1)</f>
        <v>0</v>
      </c>
      <c r="N166" s="1711" t="e">
        <f t="shared" si="181"/>
        <v>#DIV/0!</v>
      </c>
      <c r="O166" s="1711" t="e">
        <f t="shared" si="181"/>
        <v>#DIV/0!</v>
      </c>
      <c r="P166" s="1614"/>
      <c r="Q166" s="1614"/>
      <c r="R166" s="1614" t="e">
        <f>IF(スコア入力!R166="EB",重み_対象外!D166,U166)</f>
        <v>#DIV/0!</v>
      </c>
      <c r="S166" s="1614" t="e">
        <f>IF(スコア入力!Y166="EB",重み_対象外!E166,V166)</f>
        <v>#DIV/0!</v>
      </c>
      <c r="T166" s="1558"/>
      <c r="U166" s="1612" t="e">
        <f>X$161*X$164*X166</f>
        <v>#DIV/0!</v>
      </c>
      <c r="V166" s="1612" t="e">
        <f>Y$163*Y$164*Y166</f>
        <v>#DIV/0!</v>
      </c>
      <c r="W166" s="1558"/>
      <c r="X166" s="1614" t="e">
        <f t="shared" si="159"/>
        <v>#DIV/0!</v>
      </c>
      <c r="Y166" s="1614" t="e">
        <f t="shared" si="160"/>
        <v>#DIV/0!</v>
      </c>
      <c r="Z166" s="1569"/>
      <c r="AA166" s="1611" t="str">
        <f t="shared" si="163"/>
        <v>2.3.2</v>
      </c>
      <c r="AB166" s="1611" t="str">
        <f t="shared" si="164"/>
        <v>LR3 2.3</v>
      </c>
      <c r="AC166" s="1611" t="str">
        <f t="shared" si="171"/>
        <v>汚水処理負荷抑制</v>
      </c>
      <c r="AD166" s="1757">
        <f t="shared" si="172"/>
        <v>0.25</v>
      </c>
      <c r="AE166" s="1757">
        <f t="shared" si="173"/>
        <v>0.25</v>
      </c>
      <c r="AF166" s="1757">
        <f t="shared" si="174"/>
        <v>0.25</v>
      </c>
      <c r="AG166" s="1757">
        <f t="shared" si="175"/>
        <v>0.25</v>
      </c>
      <c r="AH166" s="1757">
        <f t="shared" si="176"/>
        <v>0.25</v>
      </c>
      <c r="AI166" s="1757">
        <f t="shared" si="177"/>
        <v>0.25</v>
      </c>
      <c r="AJ166" s="1757">
        <f t="shared" si="141"/>
        <v>0.25</v>
      </c>
      <c r="AK166" s="1759">
        <f t="shared" si="178"/>
        <v>0.25</v>
      </c>
      <c r="AL166" s="1757">
        <f t="shared" si="179"/>
        <v>0.25</v>
      </c>
      <c r="AM166" s="1757">
        <f t="shared" si="179"/>
        <v>0.25</v>
      </c>
      <c r="AN166" s="1758"/>
      <c r="AO166" s="1757"/>
      <c r="AP166" s="1757"/>
      <c r="AR166" s="1628" t="s">
        <v>1419</v>
      </c>
      <c r="AS166" s="1691" t="s">
        <v>377</v>
      </c>
      <c r="AT166" s="1692" t="s">
        <v>1547</v>
      </c>
      <c r="AU166" s="1621">
        <v>0.25</v>
      </c>
      <c r="AV166" s="1621">
        <v>0.25</v>
      </c>
      <c r="AW166" s="1621">
        <v>0.25</v>
      </c>
      <c r="AX166" s="1621">
        <v>0.25</v>
      </c>
      <c r="AY166" s="1621">
        <v>0.25</v>
      </c>
      <c r="AZ166" s="1621">
        <v>0.25</v>
      </c>
      <c r="BA166" s="1621">
        <v>0.25</v>
      </c>
      <c r="BB166" s="1621">
        <v>0.25</v>
      </c>
      <c r="BC166" s="1621">
        <v>0.25</v>
      </c>
      <c r="BD166" s="1621">
        <v>0.25</v>
      </c>
      <c r="BE166" s="2085"/>
      <c r="BF166" s="2084"/>
      <c r="BG166" s="2084"/>
      <c r="BI166" s="1628" t="s">
        <v>1419</v>
      </c>
      <c r="BJ166" s="1691" t="s">
        <v>377</v>
      </c>
      <c r="BK166" s="1692" t="s">
        <v>1547</v>
      </c>
      <c r="BL166" s="1621">
        <v>0.25</v>
      </c>
      <c r="BM166" s="1621">
        <v>0.25</v>
      </c>
      <c r="BN166" s="1621">
        <v>0.25</v>
      </c>
      <c r="BO166" s="1621">
        <v>0.25</v>
      </c>
      <c r="BP166" s="1621">
        <v>0.25</v>
      </c>
      <c r="BQ166" s="1621">
        <v>0.25</v>
      </c>
      <c r="BR166" s="1621">
        <v>0.25</v>
      </c>
      <c r="BS166" s="1621">
        <v>0.25</v>
      </c>
      <c r="BT166" s="1621">
        <v>0.25</v>
      </c>
      <c r="BU166" s="1621">
        <v>0.25</v>
      </c>
      <c r="BV166" s="2085"/>
      <c r="BW166" s="2084"/>
      <c r="BX166" s="2084"/>
    </row>
    <row r="167" spans="1:77" ht="13.5" customHeight="1">
      <c r="B167" s="1615" t="str">
        <f t="shared" si="156"/>
        <v>2.3.3</v>
      </c>
      <c r="C167" s="1645" t="str">
        <f t="shared" si="157"/>
        <v>交通負荷抑制</v>
      </c>
      <c r="D167" s="1714" t="e">
        <f t="shared" si="180"/>
        <v>#DIV/0!</v>
      </c>
      <c r="E167" s="1714" t="e">
        <f t="shared" si="180"/>
        <v>#DIV/0!</v>
      </c>
      <c r="G167" s="1689" t="e">
        <f t="shared" si="158"/>
        <v>#DIV/0!</v>
      </c>
      <c r="H167" s="1689" t="e">
        <f t="shared" si="158"/>
        <v>#DIV/0!</v>
      </c>
      <c r="I167" s="1689"/>
      <c r="J167" s="1689"/>
      <c r="K167" s="1614">
        <f>IF(スコア表示!X167=0,0,1)</f>
        <v>1</v>
      </c>
      <c r="L167" s="1614">
        <f>IF(スコア表示!AB167=0,0,1)</f>
        <v>0</v>
      </c>
      <c r="N167" s="1711" t="e">
        <f t="shared" si="181"/>
        <v>#DIV/0!</v>
      </c>
      <c r="O167" s="1711" t="e">
        <f t="shared" si="181"/>
        <v>#DIV/0!</v>
      </c>
      <c r="P167" s="1614"/>
      <c r="Q167" s="1614"/>
      <c r="R167" s="1614" t="e">
        <f>IF(スコア入力!R167="EB",重み_対象外!D167,U167)</f>
        <v>#DIV/0!</v>
      </c>
      <c r="S167" s="1614" t="e">
        <f>IF(スコア入力!Y167="EB",重み_対象外!E167,V167)</f>
        <v>#DIV/0!</v>
      </c>
      <c r="T167" s="1558"/>
      <c r="U167" s="1612" t="e">
        <f>X$161*X$164*X167</f>
        <v>#DIV/0!</v>
      </c>
      <c r="V167" s="1612" t="e">
        <f>Y$163*Y$164*Y167</f>
        <v>#DIV/0!</v>
      </c>
      <c r="W167" s="1558"/>
      <c r="X167" s="1614" t="e">
        <f t="shared" si="159"/>
        <v>#DIV/0!</v>
      </c>
      <c r="Y167" s="1614" t="e">
        <f t="shared" si="160"/>
        <v>#DIV/0!</v>
      </c>
      <c r="Z167" s="1569"/>
      <c r="AA167" s="1611" t="str">
        <f t="shared" si="163"/>
        <v>2.3.3</v>
      </c>
      <c r="AB167" s="1611" t="str">
        <f t="shared" si="164"/>
        <v>LR3 2.3</v>
      </c>
      <c r="AC167" s="1611" t="str">
        <f t="shared" si="171"/>
        <v>交通負荷抑制</v>
      </c>
      <c r="AD167" s="1757">
        <f t="shared" si="172"/>
        <v>0.25</v>
      </c>
      <c r="AE167" s="1757">
        <f t="shared" si="173"/>
        <v>0.25</v>
      </c>
      <c r="AF167" s="1757">
        <f t="shared" si="174"/>
        <v>0.25</v>
      </c>
      <c r="AG167" s="1757">
        <f t="shared" si="175"/>
        <v>0.25</v>
      </c>
      <c r="AH167" s="1757">
        <f t="shared" si="176"/>
        <v>0.25</v>
      </c>
      <c r="AI167" s="1757">
        <f t="shared" si="177"/>
        <v>0.25</v>
      </c>
      <c r="AJ167" s="1757">
        <f t="shared" si="141"/>
        <v>0.25</v>
      </c>
      <c r="AK167" s="1759">
        <f t="shared" si="178"/>
        <v>0.25</v>
      </c>
      <c r="AL167" s="1757">
        <f t="shared" si="179"/>
        <v>0.25</v>
      </c>
      <c r="AM167" s="1757">
        <f t="shared" si="179"/>
        <v>0.25</v>
      </c>
      <c r="AN167" s="1758"/>
      <c r="AO167" s="1757"/>
      <c r="AP167" s="1757"/>
      <c r="AR167" s="1628" t="s">
        <v>1548</v>
      </c>
      <c r="AS167" s="1691" t="s">
        <v>377</v>
      </c>
      <c r="AT167" s="1692" t="s">
        <v>1104</v>
      </c>
      <c r="AU167" s="1621">
        <v>0.25</v>
      </c>
      <c r="AV167" s="1621">
        <v>0.25</v>
      </c>
      <c r="AW167" s="1621">
        <v>0.25</v>
      </c>
      <c r="AX167" s="1621">
        <v>0.25</v>
      </c>
      <c r="AY167" s="1621">
        <v>0.25</v>
      </c>
      <c r="AZ167" s="1621">
        <v>0.25</v>
      </c>
      <c r="BA167" s="1621">
        <v>0.25</v>
      </c>
      <c r="BB167" s="1621">
        <v>0.25</v>
      </c>
      <c r="BC167" s="1621">
        <v>0.25</v>
      </c>
      <c r="BD167" s="1621">
        <v>0.25</v>
      </c>
      <c r="BE167" s="2085"/>
      <c r="BF167" s="2084"/>
      <c r="BG167" s="2084"/>
      <c r="BI167" s="1628" t="s">
        <v>1548</v>
      </c>
      <c r="BJ167" s="1691" t="s">
        <v>377</v>
      </c>
      <c r="BK167" s="1692" t="s">
        <v>1104</v>
      </c>
      <c r="BL167" s="1621">
        <v>0.25</v>
      </c>
      <c r="BM167" s="1621">
        <v>0.25</v>
      </c>
      <c r="BN167" s="1621">
        <v>0.25</v>
      </c>
      <c r="BO167" s="1621">
        <v>0.25</v>
      </c>
      <c r="BP167" s="1621">
        <v>0.25</v>
      </c>
      <c r="BQ167" s="1621">
        <v>0.25</v>
      </c>
      <c r="BR167" s="1621">
        <v>0.25</v>
      </c>
      <c r="BS167" s="1621">
        <v>0.25</v>
      </c>
      <c r="BT167" s="1621">
        <v>0.25</v>
      </c>
      <c r="BU167" s="1621">
        <v>0.25</v>
      </c>
      <c r="BV167" s="2085"/>
      <c r="BW167" s="2084"/>
      <c r="BX167" s="2084"/>
    </row>
    <row r="168" spans="1:77" ht="13.5" customHeight="1">
      <c r="B168" s="1615" t="str">
        <f t="shared" si="156"/>
        <v>2.3.4</v>
      </c>
      <c r="C168" s="1645" t="str">
        <f t="shared" si="157"/>
        <v>廃棄物処理負荷抑制</v>
      </c>
      <c r="D168" s="1714" t="e">
        <f t="shared" si="180"/>
        <v>#DIV/0!</v>
      </c>
      <c r="E168" s="1714" t="e">
        <f t="shared" si="180"/>
        <v>#DIV/0!</v>
      </c>
      <c r="G168" s="1689" t="e">
        <f t="shared" si="158"/>
        <v>#DIV/0!</v>
      </c>
      <c r="H168" s="1689" t="e">
        <f t="shared" si="158"/>
        <v>#DIV/0!</v>
      </c>
      <c r="I168" s="1689"/>
      <c r="J168" s="1689"/>
      <c r="K168" s="1614">
        <f>IF(スコア表示!X168=0,0,1)</f>
        <v>1</v>
      </c>
      <c r="L168" s="1614">
        <f>IF(スコア表示!AB168=0,0,1)</f>
        <v>0</v>
      </c>
      <c r="N168" s="1711" t="e">
        <f t="shared" si="181"/>
        <v>#DIV/0!</v>
      </c>
      <c r="O168" s="1711" t="e">
        <f t="shared" si="181"/>
        <v>#DIV/0!</v>
      </c>
      <c r="P168" s="1614"/>
      <c r="Q168" s="1614"/>
      <c r="R168" s="1614" t="e">
        <f>IF(スコア入力!R168="EB",重み_対象外!D168,U168)</f>
        <v>#DIV/0!</v>
      </c>
      <c r="S168" s="1614" t="e">
        <f>IF(スコア入力!Y168="EB",重み_対象外!E168,V168)</f>
        <v>#DIV/0!</v>
      </c>
      <c r="T168" s="1558"/>
      <c r="U168" s="1612" t="e">
        <f>X$161*X$164*X168</f>
        <v>#DIV/0!</v>
      </c>
      <c r="V168" s="1612" t="e">
        <f>Y$163*Y$164*Y168</f>
        <v>#DIV/0!</v>
      </c>
      <c r="W168" s="1558"/>
      <c r="X168" s="1614" t="e">
        <f t="shared" si="159"/>
        <v>#DIV/0!</v>
      </c>
      <c r="Y168" s="1614" t="e">
        <f t="shared" si="160"/>
        <v>#DIV/0!</v>
      </c>
      <c r="Z168" s="1569"/>
      <c r="AA168" s="1611" t="str">
        <f t="shared" si="163"/>
        <v>2.3.4</v>
      </c>
      <c r="AB168" s="1611" t="str">
        <f t="shared" si="164"/>
        <v>LR3 2.3</v>
      </c>
      <c r="AC168" s="1611" t="str">
        <f t="shared" si="171"/>
        <v>廃棄物処理負荷抑制</v>
      </c>
      <c r="AD168" s="1757">
        <f t="shared" si="172"/>
        <v>0.25</v>
      </c>
      <c r="AE168" s="1757">
        <f t="shared" si="173"/>
        <v>0.25</v>
      </c>
      <c r="AF168" s="1757">
        <f t="shared" si="174"/>
        <v>0.25</v>
      </c>
      <c r="AG168" s="1757">
        <f t="shared" si="175"/>
        <v>0.25</v>
      </c>
      <c r="AH168" s="1757">
        <f t="shared" si="176"/>
        <v>0.25</v>
      </c>
      <c r="AI168" s="1757">
        <f t="shared" si="177"/>
        <v>0.25</v>
      </c>
      <c r="AJ168" s="1757">
        <f t="shared" si="141"/>
        <v>0.25</v>
      </c>
      <c r="AK168" s="1759">
        <f t="shared" si="178"/>
        <v>0.25</v>
      </c>
      <c r="AL168" s="1757">
        <f t="shared" si="179"/>
        <v>0.25</v>
      </c>
      <c r="AM168" s="1757">
        <f t="shared" si="179"/>
        <v>0.25</v>
      </c>
      <c r="AN168" s="1758"/>
      <c r="AO168" s="1757"/>
      <c r="AP168" s="1757"/>
      <c r="AR168" s="1628" t="s">
        <v>1549</v>
      </c>
      <c r="AS168" s="1691" t="s">
        <v>377</v>
      </c>
      <c r="AT168" s="1693" t="s">
        <v>1105</v>
      </c>
      <c r="AU168" s="1621">
        <v>0.25</v>
      </c>
      <c r="AV168" s="1621">
        <v>0.25</v>
      </c>
      <c r="AW168" s="1621">
        <v>0.25</v>
      </c>
      <c r="AX168" s="1621">
        <v>0.25</v>
      </c>
      <c r="AY168" s="1621">
        <v>0.25</v>
      </c>
      <c r="AZ168" s="1621">
        <v>0.25</v>
      </c>
      <c r="BA168" s="1621">
        <v>0.25</v>
      </c>
      <c r="BB168" s="1621">
        <v>0.25</v>
      </c>
      <c r="BC168" s="1621">
        <v>0.25</v>
      </c>
      <c r="BD168" s="1621">
        <v>0.25</v>
      </c>
      <c r="BE168" s="2085"/>
      <c r="BF168" s="2084"/>
      <c r="BG168" s="2084"/>
      <c r="BI168" s="1628" t="s">
        <v>1549</v>
      </c>
      <c r="BJ168" s="1691" t="s">
        <v>377</v>
      </c>
      <c r="BK168" s="1693" t="s">
        <v>1105</v>
      </c>
      <c r="BL168" s="1621">
        <v>0.25</v>
      </c>
      <c r="BM168" s="1621">
        <v>0.25</v>
      </c>
      <c r="BN168" s="1621">
        <v>0.25</v>
      </c>
      <c r="BO168" s="1621">
        <v>0.25</v>
      </c>
      <c r="BP168" s="1621">
        <v>0.25</v>
      </c>
      <c r="BQ168" s="1621">
        <v>0.25</v>
      </c>
      <c r="BR168" s="1621">
        <v>0.25</v>
      </c>
      <c r="BS168" s="1621">
        <v>0.25</v>
      </c>
      <c r="BT168" s="1621">
        <v>0.25</v>
      </c>
      <c r="BU168" s="1621">
        <v>0.25</v>
      </c>
      <c r="BV168" s="2085"/>
      <c r="BW168" s="2084"/>
      <c r="BX168" s="2084"/>
    </row>
    <row r="169" spans="1:77" s="1603" customFormat="1" ht="13.5" customHeight="1">
      <c r="A169"/>
      <c r="B169" s="1730">
        <f t="shared" si="156"/>
        <v>3</v>
      </c>
      <c r="C169" s="1639" t="str">
        <f t="shared" si="157"/>
        <v>周辺環境への配慮</v>
      </c>
      <c r="D169" s="2059" t="e">
        <f>IF(I$159=0,0,G169/I$159)</f>
        <v>#DIV/0!</v>
      </c>
      <c r="E169" s="2059" t="e">
        <f>IF(J$159=0,0,H169/J$159)</f>
        <v>#DIV/0!</v>
      </c>
      <c r="F169"/>
      <c r="G169" s="1741" t="e">
        <f t="shared" si="158"/>
        <v>#DIV/0!</v>
      </c>
      <c r="H169" s="1741" t="e">
        <f t="shared" si="158"/>
        <v>#DIV/0!</v>
      </c>
      <c r="I169" s="1741" t="e">
        <f>G170+G174+G178</f>
        <v>#DIV/0!</v>
      </c>
      <c r="J169" s="1741" t="e">
        <f>H170+H174+H178</f>
        <v>#DIV/0!</v>
      </c>
      <c r="K169" s="1607" t="e">
        <f>IF(スコア表示!X169=0,0,1)</f>
        <v>#DIV/0!</v>
      </c>
      <c r="L169" s="1607" t="e">
        <f>IF(スコア表示!AB169=0,0,1)</f>
        <v>#DIV/0!</v>
      </c>
      <c r="M169"/>
      <c r="N169" s="1705" t="e">
        <f>IF(P$159=0,0,R169/P$159)</f>
        <v>#DIV/0!</v>
      </c>
      <c r="O169" s="1705" t="e">
        <f>IF(Q$159=0,0,S169/Q$159)</f>
        <v>#DIV/0!</v>
      </c>
      <c r="P169" s="1607" t="e">
        <f>SUM(R170:R180)</f>
        <v>#DIV/0!</v>
      </c>
      <c r="Q169" s="1607" t="e">
        <f>SUM(S170:S180)</f>
        <v>#DIV/0!</v>
      </c>
      <c r="R169" s="1607" t="e">
        <f>IF(スコア入力!R169="EB",重み_対象外!D169,U169)</f>
        <v>#DIV/0!</v>
      </c>
      <c r="S169" s="1607" t="e">
        <f>IF(スコア入力!Y169="EB",重み_対象外!E169,V169)</f>
        <v>#DIV/0!</v>
      </c>
      <c r="T169" s="1558"/>
      <c r="U169" s="1708" t="e">
        <f>SUM(U170:U180)</f>
        <v>#DIV/0!</v>
      </c>
      <c r="V169" s="1708" t="e">
        <f>SUM(V170:V180)</f>
        <v>#DIV/0!</v>
      </c>
      <c r="W169" s="1558"/>
      <c r="X169" s="1607" t="e">
        <f t="shared" si="159"/>
        <v>#DIV/0!</v>
      </c>
      <c r="Y169" s="1607" t="e">
        <f t="shared" si="160"/>
        <v>#DIV/0!</v>
      </c>
      <c r="Z169" s="1599"/>
      <c r="AA169" s="1672">
        <f t="shared" si="163"/>
        <v>3</v>
      </c>
      <c r="AB169" s="1604" t="str">
        <f t="shared" si="164"/>
        <v>LR3</v>
      </c>
      <c r="AC169" s="1604" t="str">
        <f t="shared" si="171"/>
        <v>周辺環境への配慮</v>
      </c>
      <c r="AD169" s="1763">
        <f t="shared" si="172"/>
        <v>0.33333333333333331</v>
      </c>
      <c r="AE169" s="1763">
        <f t="shared" si="173"/>
        <v>0.33333333333333331</v>
      </c>
      <c r="AF169" s="1763">
        <f t="shared" si="174"/>
        <v>0.33333333333333331</v>
      </c>
      <c r="AG169" s="1763">
        <f t="shared" si="175"/>
        <v>0.33333333333333331</v>
      </c>
      <c r="AH169" s="1763">
        <f t="shared" si="176"/>
        <v>0.33333333333333331</v>
      </c>
      <c r="AI169" s="1763">
        <f t="shared" si="177"/>
        <v>0.33333333333333331</v>
      </c>
      <c r="AJ169" s="1763">
        <f t="shared" si="141"/>
        <v>0.33333333333333331</v>
      </c>
      <c r="AK169" s="1755">
        <f t="shared" si="178"/>
        <v>0.33333333333333331</v>
      </c>
      <c r="AL169" s="1763">
        <f t="shared" si="179"/>
        <v>0.33333333333333331</v>
      </c>
      <c r="AM169" s="1763">
        <f t="shared" si="179"/>
        <v>0.33333333333333331</v>
      </c>
      <c r="AN169" s="1764">
        <f t="shared" ref="AN169:AP174" si="182">IF($AA$3=1,BE169,BV169)</f>
        <v>0</v>
      </c>
      <c r="AO169" s="1763">
        <f t="shared" si="182"/>
        <v>0</v>
      </c>
      <c r="AP169" s="1763">
        <f t="shared" si="182"/>
        <v>0</v>
      </c>
      <c r="AQ169" s="1683"/>
      <c r="AR169" s="1639">
        <v>3</v>
      </c>
      <c r="AS169" s="1742" t="s">
        <v>375</v>
      </c>
      <c r="AT169" s="1778" t="s">
        <v>1106</v>
      </c>
      <c r="AU169" s="1709">
        <f t="shared" ref="AU169:BD169" si="183">1/3</f>
        <v>0.33333333333333331</v>
      </c>
      <c r="AV169" s="1709">
        <f t="shared" si="183"/>
        <v>0.33333333333333331</v>
      </c>
      <c r="AW169" s="1709">
        <f t="shared" si="183"/>
        <v>0.33333333333333331</v>
      </c>
      <c r="AX169" s="1709">
        <f t="shared" si="183"/>
        <v>0.33333333333333331</v>
      </c>
      <c r="AY169" s="1709">
        <f t="shared" si="183"/>
        <v>0.33333333333333331</v>
      </c>
      <c r="AZ169" s="1709">
        <f t="shared" si="183"/>
        <v>0.33333333333333331</v>
      </c>
      <c r="BA169" s="1709">
        <f t="shared" si="183"/>
        <v>0.33333333333333331</v>
      </c>
      <c r="BB169" s="1709">
        <f t="shared" si="183"/>
        <v>0.33333333333333331</v>
      </c>
      <c r="BC169" s="1709">
        <f t="shared" si="183"/>
        <v>0.33333333333333331</v>
      </c>
      <c r="BD169" s="1709">
        <f t="shared" si="183"/>
        <v>0.33333333333333331</v>
      </c>
      <c r="BE169" s="2060"/>
      <c r="BF169" s="1709"/>
      <c r="BG169" s="1709"/>
      <c r="BH169"/>
      <c r="BI169" s="1639">
        <v>3</v>
      </c>
      <c r="BJ169" s="1742" t="s">
        <v>375</v>
      </c>
      <c r="BK169" s="1778" t="s">
        <v>1106</v>
      </c>
      <c r="BL169" s="1709">
        <f t="shared" ref="BL169:BU169" si="184">1/3</f>
        <v>0.33333333333333331</v>
      </c>
      <c r="BM169" s="1709">
        <f t="shared" si="184"/>
        <v>0.33333333333333331</v>
      </c>
      <c r="BN169" s="1709">
        <f t="shared" si="184"/>
        <v>0.33333333333333331</v>
      </c>
      <c r="BO169" s="1709">
        <f t="shared" si="184"/>
        <v>0.33333333333333331</v>
      </c>
      <c r="BP169" s="1709">
        <f t="shared" si="184"/>
        <v>0.33333333333333331</v>
      </c>
      <c r="BQ169" s="1709">
        <f t="shared" si="184"/>
        <v>0.33333333333333331</v>
      </c>
      <c r="BR169" s="1709">
        <f t="shared" si="184"/>
        <v>0.33333333333333331</v>
      </c>
      <c r="BS169" s="1709">
        <f t="shared" si="184"/>
        <v>0.33333333333333331</v>
      </c>
      <c r="BT169" s="1709">
        <f t="shared" si="184"/>
        <v>0.33333333333333331</v>
      </c>
      <c r="BU169" s="1709">
        <f t="shared" si="184"/>
        <v>0.33333333333333331</v>
      </c>
      <c r="BV169" s="2060"/>
      <c r="BW169" s="1709"/>
      <c r="BX169" s="1709"/>
      <c r="BY169"/>
    </row>
    <row r="170" spans="1:77" ht="13.5" customHeight="1">
      <c r="B170" s="1615" t="str">
        <f t="shared" si="156"/>
        <v>3.1</v>
      </c>
      <c r="C170" s="1645" t="str">
        <f t="shared" si="157"/>
        <v>騒音・振動・悪臭の防止</v>
      </c>
      <c r="D170" s="1714" t="e">
        <f>IF(I$169=0,0,G170/I$169)</f>
        <v>#DIV/0!</v>
      </c>
      <c r="E170" s="1714" t="e">
        <f>IF(J$169=0,0,H170/J$169)</f>
        <v>#DIV/0!</v>
      </c>
      <c r="G170" s="1689" t="e">
        <f t="shared" si="158"/>
        <v>#DIV/0!</v>
      </c>
      <c r="H170" s="1689" t="e">
        <f t="shared" si="158"/>
        <v>#DIV/0!</v>
      </c>
      <c r="I170" s="1689" t="e">
        <f>SUM(G171:G173)</f>
        <v>#DIV/0!</v>
      </c>
      <c r="J170" s="1689" t="e">
        <f>SUM(H171:H173)</f>
        <v>#DIV/0!</v>
      </c>
      <c r="K170" s="1614" t="e">
        <f>IF(スコア表示!X170=0,0,1)</f>
        <v>#DIV/0!</v>
      </c>
      <c r="L170" s="1614" t="e">
        <f>IF(スコア表示!AB170=0,0,1)</f>
        <v>#DIV/0!</v>
      </c>
      <c r="N170" s="1711" t="e">
        <f>IF(P$169=0,0,P170/P$169)</f>
        <v>#DIV/0!</v>
      </c>
      <c r="O170" s="1711" t="e">
        <f>IF(Q$169=0,0,Q170/Q$169)</f>
        <v>#DIV/0!</v>
      </c>
      <c r="P170" s="1614" t="e">
        <f>SUM(R171:R173)</f>
        <v>#DIV/0!</v>
      </c>
      <c r="Q170" s="1614" t="e">
        <f>SUM(S171:S173)</f>
        <v>#DIV/0!</v>
      </c>
      <c r="R170" s="1614">
        <f>IF(スコア入力!R170="EB",重み_対象外!D170,U170)</f>
        <v>0</v>
      </c>
      <c r="S170" s="1614">
        <f>IF(スコア入力!Y170="EB",重み_対象外!E170,V170)</f>
        <v>0</v>
      </c>
      <c r="T170" s="1558"/>
      <c r="U170" s="1612"/>
      <c r="V170" s="1612"/>
      <c r="W170" s="1558"/>
      <c r="X170" s="1614" t="e">
        <f t="shared" si="159"/>
        <v>#DIV/0!</v>
      </c>
      <c r="Y170" s="1614" t="e">
        <f t="shared" si="160"/>
        <v>#DIV/0!</v>
      </c>
      <c r="Z170" s="1569"/>
      <c r="AA170" s="1611" t="str">
        <f t="shared" si="163"/>
        <v>3.1</v>
      </c>
      <c r="AB170" s="1611" t="str">
        <f t="shared" si="164"/>
        <v>LR3 3</v>
      </c>
      <c r="AC170" s="1611" t="str">
        <f t="shared" si="171"/>
        <v>騒音・振動・悪臭の防止</v>
      </c>
      <c r="AD170" s="1757">
        <f t="shared" si="172"/>
        <v>0.4</v>
      </c>
      <c r="AE170" s="1757">
        <f t="shared" si="173"/>
        <v>0.4</v>
      </c>
      <c r="AF170" s="1757">
        <f t="shared" si="174"/>
        <v>0.4</v>
      </c>
      <c r="AG170" s="1757">
        <f t="shared" si="175"/>
        <v>0.4</v>
      </c>
      <c r="AH170" s="1757">
        <f t="shared" si="176"/>
        <v>0.4</v>
      </c>
      <c r="AI170" s="1757">
        <f t="shared" si="177"/>
        <v>0.4</v>
      </c>
      <c r="AJ170" s="1757">
        <f t="shared" si="141"/>
        <v>0.4</v>
      </c>
      <c r="AK170" s="1759">
        <f t="shared" si="178"/>
        <v>0.4</v>
      </c>
      <c r="AL170" s="1757">
        <f t="shared" si="179"/>
        <v>0.4</v>
      </c>
      <c r="AM170" s="1757">
        <f t="shared" si="179"/>
        <v>0.4</v>
      </c>
      <c r="AN170" s="1758">
        <f t="shared" si="182"/>
        <v>0</v>
      </c>
      <c r="AO170" s="1757">
        <f t="shared" si="182"/>
        <v>0</v>
      </c>
      <c r="AP170" s="1757">
        <f t="shared" si="182"/>
        <v>0</v>
      </c>
      <c r="AR170" s="1628" t="s">
        <v>1491</v>
      </c>
      <c r="AS170" s="1691" t="s">
        <v>378</v>
      </c>
      <c r="AT170" s="1735" t="s">
        <v>1107</v>
      </c>
      <c r="AU170" s="2084">
        <v>0.4</v>
      </c>
      <c r="AV170" s="2084">
        <v>0.4</v>
      </c>
      <c r="AW170" s="2084">
        <v>0.4</v>
      </c>
      <c r="AX170" s="2084">
        <v>0.4</v>
      </c>
      <c r="AY170" s="2084">
        <v>0.4</v>
      </c>
      <c r="AZ170" s="2084">
        <v>0.4</v>
      </c>
      <c r="BA170" s="2084">
        <v>0.4</v>
      </c>
      <c r="BB170" s="2084">
        <v>0.4</v>
      </c>
      <c r="BC170" s="2084">
        <v>0.4</v>
      </c>
      <c r="BD170" s="2084">
        <v>0.4</v>
      </c>
      <c r="BE170" s="2085"/>
      <c r="BF170" s="2084"/>
      <c r="BG170" s="2084"/>
      <c r="BI170" s="1628" t="s">
        <v>1491</v>
      </c>
      <c r="BJ170" s="1691" t="s">
        <v>378</v>
      </c>
      <c r="BK170" s="1735" t="s">
        <v>1107</v>
      </c>
      <c r="BL170" s="2084">
        <v>0.4</v>
      </c>
      <c r="BM170" s="2084">
        <v>0.4</v>
      </c>
      <c r="BN170" s="2084">
        <v>0.4</v>
      </c>
      <c r="BO170" s="2084">
        <v>0.4</v>
      </c>
      <c r="BP170" s="2084">
        <v>0.4</v>
      </c>
      <c r="BQ170" s="2084">
        <v>0.4</v>
      </c>
      <c r="BR170" s="2084">
        <v>0.4</v>
      </c>
      <c r="BS170" s="2084">
        <v>0.4</v>
      </c>
      <c r="BT170" s="2084">
        <v>0.4</v>
      </c>
      <c r="BU170" s="2084">
        <v>0.4</v>
      </c>
      <c r="BV170" s="2085"/>
      <c r="BW170" s="2084"/>
      <c r="BX170" s="2084"/>
    </row>
    <row r="171" spans="1:77" ht="13.5" customHeight="1">
      <c r="B171" s="1615" t="str">
        <f t="shared" si="156"/>
        <v>3.1.1</v>
      </c>
      <c r="C171" s="1645" t="str">
        <f t="shared" si="157"/>
        <v>騒音</v>
      </c>
      <c r="D171" s="1714" t="e">
        <f t="shared" ref="D171:E173" si="185">IF(I$170=0,0,G171/I$170)</f>
        <v>#DIV/0!</v>
      </c>
      <c r="E171" s="1714" t="e">
        <f t="shared" si="185"/>
        <v>#DIV/0!</v>
      </c>
      <c r="G171" s="1689" t="e">
        <f t="shared" si="158"/>
        <v>#DIV/0!</v>
      </c>
      <c r="H171" s="1689" t="e">
        <f t="shared" si="158"/>
        <v>#DIV/0!</v>
      </c>
      <c r="I171" s="1689"/>
      <c r="J171" s="1689"/>
      <c r="K171" s="1614">
        <f>IF(スコア表示!X171=0,0,1)</f>
        <v>1</v>
      </c>
      <c r="L171" s="1614">
        <f>IF(スコア表示!AB171=0,0,1)</f>
        <v>0</v>
      </c>
      <c r="N171" s="1711" t="e">
        <f t="shared" ref="N171:O173" si="186">IF(P$170&gt;0,R171/P$170,0)</f>
        <v>#DIV/0!</v>
      </c>
      <c r="O171" s="1711" t="e">
        <f t="shared" si="186"/>
        <v>#DIV/0!</v>
      </c>
      <c r="P171" s="1614"/>
      <c r="Q171" s="1614"/>
      <c r="R171" s="1614" t="e">
        <f>IF(スコア入力!R171="EB",重み_対象外!D171,U171)</f>
        <v>#DIV/0!</v>
      </c>
      <c r="S171" s="1614" t="e">
        <f>IF(スコア入力!Y171="EB",重み_対象外!E171,V171)</f>
        <v>#DIV/0!</v>
      </c>
      <c r="T171" s="1558"/>
      <c r="U171" s="1612" t="e">
        <f t="shared" ref="U171:V173" si="187">X$169*X$170*X171</f>
        <v>#DIV/0!</v>
      </c>
      <c r="V171" s="1612" t="e">
        <f t="shared" si="187"/>
        <v>#DIV/0!</v>
      </c>
      <c r="W171" s="1558"/>
      <c r="X171" s="1614" t="e">
        <f t="shared" si="159"/>
        <v>#DIV/0!</v>
      </c>
      <c r="Y171" s="1614" t="e">
        <f t="shared" si="160"/>
        <v>#DIV/0!</v>
      </c>
      <c r="Z171" s="1569"/>
      <c r="AA171" s="1611" t="str">
        <f t="shared" si="163"/>
        <v>3.1.1</v>
      </c>
      <c r="AB171" s="1611" t="str">
        <f t="shared" si="164"/>
        <v>LR3 3.1</v>
      </c>
      <c r="AC171" s="1611" t="str">
        <f t="shared" si="171"/>
        <v>騒音</v>
      </c>
      <c r="AD171" s="1757">
        <f t="shared" si="172"/>
        <v>0.33333333333333331</v>
      </c>
      <c r="AE171" s="1757">
        <f t="shared" si="173"/>
        <v>0.33333333333333331</v>
      </c>
      <c r="AF171" s="1757">
        <f t="shared" si="174"/>
        <v>0.33333333333333331</v>
      </c>
      <c r="AG171" s="1757">
        <f t="shared" si="175"/>
        <v>0.33333333333333331</v>
      </c>
      <c r="AH171" s="1757">
        <f t="shared" si="176"/>
        <v>0.33333333333333331</v>
      </c>
      <c r="AI171" s="1757">
        <f t="shared" si="177"/>
        <v>0.33333333333333331</v>
      </c>
      <c r="AJ171" s="1757">
        <f t="shared" si="141"/>
        <v>0.33333333333333331</v>
      </c>
      <c r="AK171" s="1759">
        <f t="shared" si="178"/>
        <v>0.33333333333333331</v>
      </c>
      <c r="AL171" s="1757">
        <f t="shared" si="179"/>
        <v>0.33333333333333331</v>
      </c>
      <c r="AM171" s="1757">
        <f t="shared" si="179"/>
        <v>0.33333333333333331</v>
      </c>
      <c r="AN171" s="1758">
        <f t="shared" si="182"/>
        <v>0</v>
      </c>
      <c r="AO171" s="1757">
        <f t="shared" si="182"/>
        <v>0</v>
      </c>
      <c r="AP171" s="1757">
        <f t="shared" si="182"/>
        <v>0</v>
      </c>
      <c r="AR171" s="1628" t="s">
        <v>1550</v>
      </c>
      <c r="AS171" s="1645" t="s">
        <v>379</v>
      </c>
      <c r="AT171" s="1735" t="s">
        <v>1108</v>
      </c>
      <c r="AU171" s="1621">
        <v>0.33333333333333331</v>
      </c>
      <c r="AV171" s="1621">
        <v>0.33333333333333331</v>
      </c>
      <c r="AW171" s="1621">
        <v>0.33333333333333331</v>
      </c>
      <c r="AX171" s="1621">
        <v>0.33333333333333331</v>
      </c>
      <c r="AY171" s="1621">
        <v>0.33333333333333331</v>
      </c>
      <c r="AZ171" s="1621">
        <v>0.33333333333333331</v>
      </c>
      <c r="BA171" s="1621">
        <v>0.33333333333333331</v>
      </c>
      <c r="BB171" s="1621">
        <v>0.33333333333333331</v>
      </c>
      <c r="BC171" s="1621">
        <v>0.33333333333333331</v>
      </c>
      <c r="BD171" s="1621">
        <v>0.33333333333333331</v>
      </c>
      <c r="BE171" s="1621"/>
      <c r="BF171" s="1621"/>
      <c r="BG171" s="1621"/>
      <c r="BI171" s="1628" t="s">
        <v>1550</v>
      </c>
      <c r="BJ171" s="1645" t="s">
        <v>379</v>
      </c>
      <c r="BK171" s="1735" t="s">
        <v>1108</v>
      </c>
      <c r="BL171" s="1621">
        <v>0.33333333333333331</v>
      </c>
      <c r="BM171" s="1621">
        <v>0.33333333333333331</v>
      </c>
      <c r="BN171" s="1621">
        <v>0.33333333333333331</v>
      </c>
      <c r="BO171" s="1621">
        <v>0.33333333333333331</v>
      </c>
      <c r="BP171" s="1621">
        <v>0.33333333333333331</v>
      </c>
      <c r="BQ171" s="1621">
        <v>0.33333333333333331</v>
      </c>
      <c r="BR171" s="1621">
        <v>0.33333333333333331</v>
      </c>
      <c r="BS171" s="1621">
        <v>0.33333333333333331</v>
      </c>
      <c r="BT171" s="1621">
        <v>0.33333333333333331</v>
      </c>
      <c r="BU171" s="1621">
        <v>0.33333333333333331</v>
      </c>
      <c r="BV171" s="1621"/>
      <c r="BW171" s="1621"/>
      <c r="BX171" s="1621"/>
    </row>
    <row r="172" spans="1:77" ht="13.5" customHeight="1">
      <c r="B172" s="1615" t="str">
        <f t="shared" si="156"/>
        <v>3.1.2</v>
      </c>
      <c r="C172" s="1645" t="str">
        <f t="shared" si="157"/>
        <v>振動</v>
      </c>
      <c r="D172" s="1714" t="e">
        <f t="shared" si="185"/>
        <v>#DIV/0!</v>
      </c>
      <c r="E172" s="1714" t="e">
        <f t="shared" si="185"/>
        <v>#DIV/0!</v>
      </c>
      <c r="G172" s="1689" t="e">
        <f t="shared" si="158"/>
        <v>#DIV/0!</v>
      </c>
      <c r="H172" s="1689" t="e">
        <f t="shared" si="158"/>
        <v>#DIV/0!</v>
      </c>
      <c r="I172" s="1689"/>
      <c r="J172" s="1689"/>
      <c r="K172" s="1614">
        <f>IF(スコア表示!X172=0,0,1)</f>
        <v>1</v>
      </c>
      <c r="L172" s="1614">
        <f>IF(スコア表示!AB172=0,0,1)</f>
        <v>0</v>
      </c>
      <c r="N172" s="1711" t="e">
        <f t="shared" si="186"/>
        <v>#DIV/0!</v>
      </c>
      <c r="O172" s="1711" t="e">
        <f t="shared" si="186"/>
        <v>#DIV/0!</v>
      </c>
      <c r="P172" s="1614"/>
      <c r="Q172" s="1614"/>
      <c r="R172" s="1614" t="e">
        <f>IF(スコア入力!R172="EB",重み_対象外!D172,U172)</f>
        <v>#DIV/0!</v>
      </c>
      <c r="S172" s="1614" t="e">
        <f>IF(スコア入力!Y172="EB",重み_対象外!E172,V172)</f>
        <v>#DIV/0!</v>
      </c>
      <c r="T172" s="1558"/>
      <c r="U172" s="1612" t="e">
        <f t="shared" si="187"/>
        <v>#DIV/0!</v>
      </c>
      <c r="V172" s="1612" t="e">
        <f t="shared" si="187"/>
        <v>#DIV/0!</v>
      </c>
      <c r="W172" s="1558"/>
      <c r="X172" s="1614" t="e">
        <f t="shared" si="159"/>
        <v>#DIV/0!</v>
      </c>
      <c r="Y172" s="1614" t="e">
        <f t="shared" si="160"/>
        <v>#DIV/0!</v>
      </c>
      <c r="Z172" s="1569"/>
      <c r="AA172" s="1611" t="str">
        <f t="shared" si="163"/>
        <v>3.1.2</v>
      </c>
      <c r="AB172" s="1611" t="str">
        <f t="shared" si="164"/>
        <v>LR3 3.1</v>
      </c>
      <c r="AC172" s="1611" t="str">
        <f t="shared" si="171"/>
        <v>振動</v>
      </c>
      <c r="AD172" s="1757">
        <f t="shared" si="172"/>
        <v>0.33333333333333331</v>
      </c>
      <c r="AE172" s="1757">
        <f t="shared" si="173"/>
        <v>0.33333333333333331</v>
      </c>
      <c r="AF172" s="1757">
        <f t="shared" si="174"/>
        <v>0.33333333333333331</v>
      </c>
      <c r="AG172" s="1757">
        <f t="shared" si="175"/>
        <v>0.33333333333333331</v>
      </c>
      <c r="AH172" s="1757">
        <f t="shared" si="176"/>
        <v>0.33333333333333331</v>
      </c>
      <c r="AI172" s="1757">
        <f t="shared" si="177"/>
        <v>0.33333333333333331</v>
      </c>
      <c r="AJ172" s="1757">
        <f t="shared" si="141"/>
        <v>0.33333333333333331</v>
      </c>
      <c r="AK172" s="1759">
        <f t="shared" si="178"/>
        <v>0.33333333333333331</v>
      </c>
      <c r="AL172" s="1757">
        <f t="shared" si="179"/>
        <v>0.33333333333333331</v>
      </c>
      <c r="AM172" s="1757">
        <f t="shared" si="179"/>
        <v>0.33333333333333331</v>
      </c>
      <c r="AN172" s="1758">
        <f t="shared" si="182"/>
        <v>0</v>
      </c>
      <c r="AO172" s="1757">
        <f t="shared" si="182"/>
        <v>0</v>
      </c>
      <c r="AP172" s="1757">
        <f t="shared" si="182"/>
        <v>0</v>
      </c>
      <c r="AR172" s="1628" t="s">
        <v>1422</v>
      </c>
      <c r="AS172" s="1645" t="s">
        <v>379</v>
      </c>
      <c r="AT172" s="1735" t="s">
        <v>1109</v>
      </c>
      <c r="AU172" s="1621">
        <v>0.33333333333333331</v>
      </c>
      <c r="AV172" s="1621">
        <v>0.33333333333333331</v>
      </c>
      <c r="AW172" s="1621">
        <v>0.33333333333333331</v>
      </c>
      <c r="AX172" s="1621">
        <v>0.33333333333333331</v>
      </c>
      <c r="AY172" s="1621">
        <v>0.33333333333333331</v>
      </c>
      <c r="AZ172" s="1621">
        <v>0.33333333333333331</v>
      </c>
      <c r="BA172" s="1621">
        <v>0.33333333333333331</v>
      </c>
      <c r="BB172" s="1621">
        <v>0.33333333333333331</v>
      </c>
      <c r="BC172" s="1621">
        <v>0.33333333333333331</v>
      </c>
      <c r="BD172" s="1621">
        <v>0.33333333333333331</v>
      </c>
      <c r="BE172" s="1621"/>
      <c r="BF172" s="1621"/>
      <c r="BG172" s="1621"/>
      <c r="BI172" s="1628" t="s">
        <v>1422</v>
      </c>
      <c r="BJ172" s="1645" t="s">
        <v>379</v>
      </c>
      <c r="BK172" s="1735" t="s">
        <v>1109</v>
      </c>
      <c r="BL172" s="1621">
        <v>0.33333333333333331</v>
      </c>
      <c r="BM172" s="1621">
        <v>0.33333333333333331</v>
      </c>
      <c r="BN172" s="1621">
        <v>0.33333333333333331</v>
      </c>
      <c r="BO172" s="1621">
        <v>0.33333333333333331</v>
      </c>
      <c r="BP172" s="1621">
        <v>0.33333333333333331</v>
      </c>
      <c r="BQ172" s="1621">
        <v>0.33333333333333331</v>
      </c>
      <c r="BR172" s="1621">
        <v>0.33333333333333331</v>
      </c>
      <c r="BS172" s="1621">
        <v>0.33333333333333331</v>
      </c>
      <c r="BT172" s="1621">
        <v>0.33333333333333331</v>
      </c>
      <c r="BU172" s="1621">
        <v>0.33333333333333331</v>
      </c>
      <c r="BV172" s="1621"/>
      <c r="BW172" s="1621"/>
      <c r="BX172" s="1621"/>
    </row>
    <row r="173" spans="1:77" ht="13.5" customHeight="1">
      <c r="B173" s="1615" t="str">
        <f t="shared" ref="B173:B180" si="188">AA173</f>
        <v>3.1.3</v>
      </c>
      <c r="C173" s="1645" t="str">
        <f t="shared" ref="C173:C180" si="189">AC173</f>
        <v>悪臭</v>
      </c>
      <c r="D173" s="1714" t="e">
        <f t="shared" si="185"/>
        <v>#DIV/0!</v>
      </c>
      <c r="E173" s="1714" t="e">
        <f t="shared" si="185"/>
        <v>#DIV/0!</v>
      </c>
      <c r="G173" s="1689" t="e">
        <f t="shared" ref="G173:H180" si="190">K173*N173</f>
        <v>#DIV/0!</v>
      </c>
      <c r="H173" s="1689" t="e">
        <f t="shared" si="190"/>
        <v>#DIV/0!</v>
      </c>
      <c r="I173" s="1689"/>
      <c r="J173" s="1689"/>
      <c r="K173" s="1614">
        <f>IF(スコア表示!X173=0,0,1)</f>
        <v>1</v>
      </c>
      <c r="L173" s="1614">
        <f>IF(スコア表示!AB173=0,0,1)</f>
        <v>0</v>
      </c>
      <c r="N173" s="1711" t="e">
        <f t="shared" si="186"/>
        <v>#DIV/0!</v>
      </c>
      <c r="O173" s="1711" t="e">
        <f t="shared" si="186"/>
        <v>#DIV/0!</v>
      </c>
      <c r="P173" s="1614"/>
      <c r="Q173" s="1614"/>
      <c r="R173" s="1614" t="e">
        <f>IF(スコア入力!R173="EB",重み_対象外!D173,U173)</f>
        <v>#DIV/0!</v>
      </c>
      <c r="S173" s="1614" t="e">
        <f>IF(スコア入力!Y173="EB",重み_対象外!E173,V173)</f>
        <v>#DIV/0!</v>
      </c>
      <c r="T173" s="1558"/>
      <c r="U173" s="1612" t="e">
        <f t="shared" si="187"/>
        <v>#DIV/0!</v>
      </c>
      <c r="V173" s="1612" t="e">
        <f t="shared" si="187"/>
        <v>#DIV/0!</v>
      </c>
      <c r="W173" s="1558"/>
      <c r="X173" s="1614" t="e">
        <f t="shared" si="159"/>
        <v>#DIV/0!</v>
      </c>
      <c r="Y173" s="1614" t="e">
        <f t="shared" si="160"/>
        <v>#DIV/0!</v>
      </c>
      <c r="Z173" s="1569"/>
      <c r="AA173" s="1611" t="str">
        <f t="shared" si="163"/>
        <v>3.1.3</v>
      </c>
      <c r="AB173" s="1611" t="str">
        <f t="shared" si="164"/>
        <v>LR3 3.1</v>
      </c>
      <c r="AC173" s="1611" t="str">
        <f t="shared" si="171"/>
        <v>悪臭</v>
      </c>
      <c r="AD173" s="1757">
        <f t="shared" si="172"/>
        <v>0.33333333333333331</v>
      </c>
      <c r="AE173" s="1757">
        <f t="shared" si="173"/>
        <v>0.33333333333333331</v>
      </c>
      <c r="AF173" s="1757">
        <f t="shared" si="174"/>
        <v>0.33333333333333331</v>
      </c>
      <c r="AG173" s="1757">
        <f t="shared" si="175"/>
        <v>0.33333333333333331</v>
      </c>
      <c r="AH173" s="1757">
        <f t="shared" si="176"/>
        <v>0.33333333333333331</v>
      </c>
      <c r="AI173" s="1757">
        <f t="shared" si="177"/>
        <v>0.33333333333333331</v>
      </c>
      <c r="AJ173" s="1757">
        <f t="shared" si="141"/>
        <v>0.33333333333333331</v>
      </c>
      <c r="AK173" s="1759">
        <f t="shared" si="178"/>
        <v>0.33333333333333331</v>
      </c>
      <c r="AL173" s="1757">
        <f t="shared" si="179"/>
        <v>0.33333333333333331</v>
      </c>
      <c r="AM173" s="1757">
        <f t="shared" si="179"/>
        <v>0.33333333333333331</v>
      </c>
      <c r="AN173" s="1758">
        <f t="shared" si="182"/>
        <v>0</v>
      </c>
      <c r="AO173" s="1757">
        <f t="shared" si="182"/>
        <v>0</v>
      </c>
      <c r="AP173" s="1757">
        <f t="shared" si="182"/>
        <v>0</v>
      </c>
      <c r="AR173" s="1628" t="s">
        <v>1551</v>
      </c>
      <c r="AS173" s="1645" t="s">
        <v>379</v>
      </c>
      <c r="AT173" s="1735" t="s">
        <v>904</v>
      </c>
      <c r="AU173" s="1621">
        <v>0.33333333333333331</v>
      </c>
      <c r="AV173" s="1621">
        <v>0.33333333333333331</v>
      </c>
      <c r="AW173" s="1621">
        <v>0.33333333333333331</v>
      </c>
      <c r="AX173" s="1621">
        <v>0.33333333333333331</v>
      </c>
      <c r="AY173" s="1621">
        <v>0.33333333333333331</v>
      </c>
      <c r="AZ173" s="1621">
        <v>0.33333333333333331</v>
      </c>
      <c r="BA173" s="1621">
        <v>0.33333333333333331</v>
      </c>
      <c r="BB173" s="1621">
        <v>0.33333333333333331</v>
      </c>
      <c r="BC173" s="1621">
        <v>0.33333333333333331</v>
      </c>
      <c r="BD173" s="1621">
        <v>0.33333333333333331</v>
      </c>
      <c r="BE173" s="1621"/>
      <c r="BF173" s="1621"/>
      <c r="BG173" s="1621"/>
      <c r="BI173" s="1628" t="s">
        <v>1551</v>
      </c>
      <c r="BJ173" s="1645" t="s">
        <v>379</v>
      </c>
      <c r="BK173" s="1735" t="s">
        <v>904</v>
      </c>
      <c r="BL173" s="1621">
        <v>0.33333333333333331</v>
      </c>
      <c r="BM173" s="1621">
        <v>0.33333333333333331</v>
      </c>
      <c r="BN173" s="1621">
        <v>0.33333333333333331</v>
      </c>
      <c r="BO173" s="1621">
        <v>0.33333333333333331</v>
      </c>
      <c r="BP173" s="1621">
        <v>0.33333333333333331</v>
      </c>
      <c r="BQ173" s="1621">
        <v>0.33333333333333331</v>
      </c>
      <c r="BR173" s="1621">
        <v>0.33333333333333331</v>
      </c>
      <c r="BS173" s="1621">
        <v>0.33333333333333331</v>
      </c>
      <c r="BT173" s="1621">
        <v>0.33333333333333331</v>
      </c>
      <c r="BU173" s="1621">
        <v>0.33333333333333331</v>
      </c>
      <c r="BV173" s="1621"/>
      <c r="BW173" s="1621"/>
      <c r="BX173" s="1621"/>
    </row>
    <row r="174" spans="1:77" ht="13.5" customHeight="1">
      <c r="B174" s="1615" t="str">
        <f t="shared" si="188"/>
        <v>3.2</v>
      </c>
      <c r="C174" s="1645" t="str">
        <f t="shared" si="189"/>
        <v>風害・砂塵，日照阻害の抑制</v>
      </c>
      <c r="D174" s="1714" t="e">
        <f>IF(I$169=0,0,G174/I$169)</f>
        <v>#DIV/0!</v>
      </c>
      <c r="E174" s="1714" t="e">
        <f>IF(J$169=0,0,H174/J$169)</f>
        <v>#DIV/0!</v>
      </c>
      <c r="G174" s="1689" t="e">
        <f t="shared" si="190"/>
        <v>#DIV/0!</v>
      </c>
      <c r="H174" s="1689" t="e">
        <f t="shared" si="190"/>
        <v>#DIV/0!</v>
      </c>
      <c r="I174" s="1689" t="e">
        <f>SUM(G175:G177)</f>
        <v>#DIV/0!</v>
      </c>
      <c r="J174" s="1689" t="e">
        <f>SUM(H175:H177)</f>
        <v>#DIV/0!</v>
      </c>
      <c r="K174" s="1614" t="e">
        <f>IF(スコア表示!X174=0,0,1)</f>
        <v>#DIV/0!</v>
      </c>
      <c r="L174" s="1614" t="e">
        <f>IF(スコア表示!AB174=0,0,1)</f>
        <v>#DIV/0!</v>
      </c>
      <c r="N174" s="1711" t="e">
        <f>IF(P$169=0,0,P174/P$169)</f>
        <v>#DIV/0!</v>
      </c>
      <c r="O174" s="1711" t="e">
        <f>IF(Q$169=0,0,Q174/Q$169)</f>
        <v>#DIV/0!</v>
      </c>
      <c r="P174" s="1614" t="e">
        <f>SUM(R175:R177)</f>
        <v>#DIV/0!</v>
      </c>
      <c r="Q174" s="1614" t="e">
        <f>SUM(S175:S177)</f>
        <v>#DIV/0!</v>
      </c>
      <c r="R174" s="1614">
        <f>IF(スコア入力!R174="EB",重み_対象外!D174,U174)</f>
        <v>0</v>
      </c>
      <c r="S174" s="1614">
        <f>IF(スコア入力!Y174="EB",重み_対象外!E174,V174)</f>
        <v>0</v>
      </c>
      <c r="T174" s="1558"/>
      <c r="U174" s="1612"/>
      <c r="V174" s="1612"/>
      <c r="W174" s="1558"/>
      <c r="X174" s="1614" t="e">
        <f t="shared" si="159"/>
        <v>#DIV/0!</v>
      </c>
      <c r="Y174" s="1614" t="e">
        <f t="shared" si="160"/>
        <v>#DIV/0!</v>
      </c>
      <c r="Z174" s="1569"/>
      <c r="AA174" s="1611" t="str">
        <f t="shared" si="163"/>
        <v>3.2</v>
      </c>
      <c r="AB174" s="1611" t="str">
        <f t="shared" si="164"/>
        <v>LR3 3</v>
      </c>
      <c r="AC174" s="1611" t="str">
        <f t="shared" si="171"/>
        <v>風害・砂塵，日照阻害の抑制</v>
      </c>
      <c r="AD174" s="1757">
        <f t="shared" si="172"/>
        <v>0.4</v>
      </c>
      <c r="AE174" s="1757">
        <f t="shared" si="173"/>
        <v>0.4</v>
      </c>
      <c r="AF174" s="1757">
        <f t="shared" si="174"/>
        <v>0.4</v>
      </c>
      <c r="AG174" s="1757">
        <f t="shared" si="175"/>
        <v>0.4</v>
      </c>
      <c r="AH174" s="1757">
        <f t="shared" si="176"/>
        <v>0.4</v>
      </c>
      <c r="AI174" s="1757">
        <f t="shared" si="177"/>
        <v>0.4</v>
      </c>
      <c r="AJ174" s="1757">
        <f t="shared" si="141"/>
        <v>0.4</v>
      </c>
      <c r="AK174" s="1759">
        <f t="shared" si="178"/>
        <v>0.4</v>
      </c>
      <c r="AL174" s="1757">
        <f t="shared" si="179"/>
        <v>0.4</v>
      </c>
      <c r="AM174" s="1757">
        <f t="shared" si="179"/>
        <v>0.4</v>
      </c>
      <c r="AN174" s="1758">
        <f t="shared" si="182"/>
        <v>0</v>
      </c>
      <c r="AO174" s="1757">
        <f t="shared" si="182"/>
        <v>0</v>
      </c>
      <c r="AP174" s="1757">
        <f t="shared" si="182"/>
        <v>0</v>
      </c>
      <c r="AR174" s="1628" t="s">
        <v>1493</v>
      </c>
      <c r="AS174" s="1691" t="s">
        <v>378</v>
      </c>
      <c r="AT174" s="1735" t="s">
        <v>1852</v>
      </c>
      <c r="AU174" s="2084">
        <v>0.4</v>
      </c>
      <c r="AV174" s="2084">
        <v>0.4</v>
      </c>
      <c r="AW174" s="2084">
        <v>0.4</v>
      </c>
      <c r="AX174" s="2084">
        <v>0.4</v>
      </c>
      <c r="AY174" s="2084">
        <v>0.4</v>
      </c>
      <c r="AZ174" s="2084">
        <v>0.4</v>
      </c>
      <c r="BA174" s="2084">
        <v>0.4</v>
      </c>
      <c r="BB174" s="2084">
        <v>0.4</v>
      </c>
      <c r="BC174" s="2084">
        <v>0.4</v>
      </c>
      <c r="BD174" s="2084">
        <v>0.4</v>
      </c>
      <c r="BE174" s="2085"/>
      <c r="BF174" s="2084"/>
      <c r="BG174" s="2084"/>
      <c r="BI174" s="1628" t="s">
        <v>1493</v>
      </c>
      <c r="BJ174" s="1691" t="s">
        <v>378</v>
      </c>
      <c r="BK174" s="1735" t="s">
        <v>1852</v>
      </c>
      <c r="BL174" s="2084">
        <v>0.4</v>
      </c>
      <c r="BM174" s="2084">
        <v>0.4</v>
      </c>
      <c r="BN174" s="2084">
        <v>0.4</v>
      </c>
      <c r="BO174" s="2084">
        <v>0.4</v>
      </c>
      <c r="BP174" s="2084">
        <v>0.4</v>
      </c>
      <c r="BQ174" s="2084">
        <v>0.4</v>
      </c>
      <c r="BR174" s="2084">
        <v>0.4</v>
      </c>
      <c r="BS174" s="2084">
        <v>0.4</v>
      </c>
      <c r="BT174" s="2084">
        <v>0.4</v>
      </c>
      <c r="BU174" s="2084">
        <v>0.4</v>
      </c>
      <c r="BV174" s="2085"/>
      <c r="BW174" s="2084"/>
      <c r="BX174" s="2084"/>
    </row>
    <row r="175" spans="1:77" ht="13.5" customHeight="1">
      <c r="B175" s="1615" t="str">
        <f t="shared" si="188"/>
        <v>3.2.1</v>
      </c>
      <c r="C175" s="1645" t="str">
        <f t="shared" si="189"/>
        <v>風害の抑制</v>
      </c>
      <c r="D175" s="1714" t="e">
        <f t="shared" ref="D175:E177" si="191">IF(I$174=0,0,G175/I$174)</f>
        <v>#DIV/0!</v>
      </c>
      <c r="E175" s="1714" t="e">
        <f t="shared" si="191"/>
        <v>#DIV/0!</v>
      </c>
      <c r="G175" s="1689" t="e">
        <f t="shared" si="190"/>
        <v>#DIV/0!</v>
      </c>
      <c r="H175" s="1689" t="e">
        <f t="shared" si="190"/>
        <v>#DIV/0!</v>
      </c>
      <c r="I175" s="1689"/>
      <c r="J175" s="1689"/>
      <c r="K175" s="1614">
        <f>IF(スコア表示!X175=0,0,1)</f>
        <v>1</v>
      </c>
      <c r="L175" s="1614">
        <f>IF(スコア表示!AB175=0,0,1)</f>
        <v>0</v>
      </c>
      <c r="N175" s="1711" t="e">
        <f t="shared" ref="N175:O177" si="192">IF(P$174&gt;0,R175/P$174,0)</f>
        <v>#DIV/0!</v>
      </c>
      <c r="O175" s="1711" t="e">
        <f t="shared" si="192"/>
        <v>#DIV/0!</v>
      </c>
      <c r="P175" s="1614"/>
      <c r="Q175" s="1614"/>
      <c r="R175" s="1614" t="e">
        <f>IF(スコア入力!R175="EB",重み_対象外!D175,U175)</f>
        <v>#DIV/0!</v>
      </c>
      <c r="S175" s="1614" t="e">
        <f>IF(スコア入力!Y175="EB",重み_対象外!E175,V175)</f>
        <v>#DIV/0!</v>
      </c>
      <c r="T175" s="1558"/>
      <c r="U175" s="1612" t="e">
        <f t="shared" ref="U175:V177" si="193">X$169*X$174*X175</f>
        <v>#DIV/0!</v>
      </c>
      <c r="V175" s="1612" t="e">
        <f t="shared" si="193"/>
        <v>#DIV/0!</v>
      </c>
      <c r="W175" s="1558"/>
      <c r="X175" s="1614" t="e">
        <f t="shared" si="159"/>
        <v>#DIV/0!</v>
      </c>
      <c r="Y175" s="1614" t="e">
        <f t="shared" si="160"/>
        <v>#DIV/0!</v>
      </c>
      <c r="Z175" s="1569"/>
      <c r="AA175" s="1611" t="str">
        <f t="shared" si="163"/>
        <v>3.2.1</v>
      </c>
      <c r="AB175" s="1611" t="str">
        <f t="shared" si="164"/>
        <v>LR3 3.2</v>
      </c>
      <c r="AC175" s="1611" t="str">
        <f t="shared" si="171"/>
        <v>風害の抑制</v>
      </c>
      <c r="AD175" s="1757">
        <f t="shared" si="172"/>
        <v>0.7</v>
      </c>
      <c r="AE175" s="1757">
        <f t="shared" si="173"/>
        <v>0.7</v>
      </c>
      <c r="AF175" s="1757">
        <f t="shared" si="174"/>
        <v>0.7</v>
      </c>
      <c r="AG175" s="1757">
        <f t="shared" si="175"/>
        <v>0.7</v>
      </c>
      <c r="AH175" s="1757">
        <f t="shared" si="176"/>
        <v>0.7</v>
      </c>
      <c r="AI175" s="1757">
        <f t="shared" si="177"/>
        <v>0.7</v>
      </c>
      <c r="AJ175" s="1757">
        <f t="shared" si="141"/>
        <v>0.7</v>
      </c>
      <c r="AK175" s="1759">
        <f t="shared" si="178"/>
        <v>0.7</v>
      </c>
      <c r="AL175" s="1757">
        <f t="shared" si="179"/>
        <v>0.7</v>
      </c>
      <c r="AM175" s="1757">
        <f t="shared" si="179"/>
        <v>0.6</v>
      </c>
      <c r="AN175" s="1758"/>
      <c r="AO175" s="1757"/>
      <c r="AP175" s="1757"/>
      <c r="AR175" s="1628" t="s">
        <v>1425</v>
      </c>
      <c r="AS175" s="1691" t="s">
        <v>380</v>
      </c>
      <c r="AT175" s="1692" t="s">
        <v>1552</v>
      </c>
      <c r="AU175" s="1621">
        <v>0.7</v>
      </c>
      <c r="AV175" s="1621">
        <v>0.7</v>
      </c>
      <c r="AW175" s="1621">
        <v>0.7</v>
      </c>
      <c r="AX175" s="1621">
        <v>0.7</v>
      </c>
      <c r="AY175" s="1621">
        <v>0.7</v>
      </c>
      <c r="AZ175" s="1621">
        <v>0.7</v>
      </c>
      <c r="BA175" s="1621">
        <v>0.7</v>
      </c>
      <c r="BB175" s="1621">
        <v>0.7</v>
      </c>
      <c r="BC175" s="1621">
        <v>0.7</v>
      </c>
      <c r="BD175" s="2084">
        <v>0.6</v>
      </c>
      <c r="BE175" s="2085"/>
      <c r="BF175" s="2084"/>
      <c r="BG175" s="2084"/>
      <c r="BI175" s="1628" t="s">
        <v>1425</v>
      </c>
      <c r="BJ175" s="1691" t="s">
        <v>380</v>
      </c>
      <c r="BK175" s="1692" t="s">
        <v>1552</v>
      </c>
      <c r="BL175" s="1621">
        <v>0.7</v>
      </c>
      <c r="BM175" s="1621">
        <v>0.7</v>
      </c>
      <c r="BN175" s="1621">
        <v>0.7</v>
      </c>
      <c r="BO175" s="1621">
        <v>0.7</v>
      </c>
      <c r="BP175" s="1621">
        <v>0.7</v>
      </c>
      <c r="BQ175" s="1621">
        <v>0.7</v>
      </c>
      <c r="BR175" s="1621">
        <v>0.7</v>
      </c>
      <c r="BS175" s="1621">
        <v>0.7</v>
      </c>
      <c r="BT175" s="1621">
        <v>0.7</v>
      </c>
      <c r="BU175" s="2084">
        <v>0.6</v>
      </c>
      <c r="BV175" s="2085"/>
      <c r="BW175" s="2084"/>
      <c r="BX175" s="2084"/>
    </row>
    <row r="176" spans="1:77" ht="13.5" customHeight="1">
      <c r="B176" s="1615" t="str">
        <f t="shared" si="188"/>
        <v>3.2.2</v>
      </c>
      <c r="C176" s="1658" t="str">
        <f t="shared" si="189"/>
        <v>砂塵の抑制</v>
      </c>
      <c r="D176" s="1714" t="e">
        <f t="shared" si="191"/>
        <v>#DIV/0!</v>
      </c>
      <c r="E176" s="1714" t="e">
        <f t="shared" si="191"/>
        <v>#DIV/0!</v>
      </c>
      <c r="G176" s="1689" t="e">
        <f t="shared" si="190"/>
        <v>#DIV/0!</v>
      </c>
      <c r="H176" s="1689" t="e">
        <f t="shared" si="190"/>
        <v>#DIV/0!</v>
      </c>
      <c r="I176" s="1689"/>
      <c r="J176" s="1689"/>
      <c r="K176" s="1614">
        <f>IF(スコア表示!X176=0,0,1)</f>
        <v>1</v>
      </c>
      <c r="L176" s="1614">
        <f>IF(スコア表示!AB176=0,0,1)</f>
        <v>0</v>
      </c>
      <c r="N176" s="1711" t="e">
        <f t="shared" si="192"/>
        <v>#DIV/0!</v>
      </c>
      <c r="O176" s="1711" t="e">
        <f t="shared" si="192"/>
        <v>#DIV/0!</v>
      </c>
      <c r="P176" s="1614"/>
      <c r="Q176" s="1614"/>
      <c r="R176" s="1614" t="e">
        <f>IF(スコア入力!R176="EB",重み_対象外!D176,U176)</f>
        <v>#DIV/0!</v>
      </c>
      <c r="S176" s="1614" t="e">
        <f>IF(スコア入力!Y176="EB",重み_対象外!E176,V176)</f>
        <v>#DIV/0!</v>
      </c>
      <c r="T176" s="1558"/>
      <c r="U176" s="1612" t="e">
        <f t="shared" si="193"/>
        <v>#DIV/0!</v>
      </c>
      <c r="V176" s="1612" t="e">
        <f t="shared" si="193"/>
        <v>#DIV/0!</v>
      </c>
      <c r="W176" s="1558"/>
      <c r="X176" s="1614" t="e">
        <f t="shared" si="159"/>
        <v>#DIV/0!</v>
      </c>
      <c r="Y176" s="1614" t="e">
        <f t="shared" si="160"/>
        <v>#DIV/0!</v>
      </c>
      <c r="Z176" s="1569"/>
      <c r="AA176" s="1615" t="str">
        <f t="shared" si="163"/>
        <v>3.2.2</v>
      </c>
      <c r="AB176" s="1615" t="str">
        <f t="shared" si="164"/>
        <v>LR3 3.2</v>
      </c>
      <c r="AC176" s="1658" t="str">
        <f t="shared" si="171"/>
        <v>砂塵の抑制</v>
      </c>
      <c r="AD176" s="1757">
        <f t="shared" si="172"/>
        <v>0</v>
      </c>
      <c r="AE176" s="1757">
        <f t="shared" si="173"/>
        <v>0</v>
      </c>
      <c r="AF176" s="1757">
        <f t="shared" si="174"/>
        <v>0</v>
      </c>
      <c r="AG176" s="1757">
        <f t="shared" si="175"/>
        <v>0</v>
      </c>
      <c r="AH176" s="1757">
        <f t="shared" si="176"/>
        <v>0</v>
      </c>
      <c r="AI176" s="1757">
        <f t="shared" si="177"/>
        <v>0</v>
      </c>
      <c r="AJ176" s="1757">
        <f t="shared" si="141"/>
        <v>0</v>
      </c>
      <c r="AK176" s="1759">
        <f t="shared" si="178"/>
        <v>0</v>
      </c>
      <c r="AL176" s="1757">
        <f t="shared" si="179"/>
        <v>0</v>
      </c>
      <c r="AM176" s="1757">
        <f t="shared" si="179"/>
        <v>0.2</v>
      </c>
      <c r="AN176" s="1758"/>
      <c r="AO176" s="1757"/>
      <c r="AP176" s="1757"/>
      <c r="AR176" s="1628" t="s">
        <v>1427</v>
      </c>
      <c r="AS176" s="1691" t="s">
        <v>1553</v>
      </c>
      <c r="AT176" s="1692" t="s">
        <v>1110</v>
      </c>
      <c r="AU176" s="1621"/>
      <c r="AV176" s="1621"/>
      <c r="AW176" s="1621"/>
      <c r="AX176" s="1621"/>
      <c r="AY176" s="1621"/>
      <c r="AZ176" s="1621"/>
      <c r="BA176" s="1621"/>
      <c r="BB176" s="1621"/>
      <c r="BC176" s="1621"/>
      <c r="BD176" s="2084">
        <v>0.2</v>
      </c>
      <c r="BE176" s="2085"/>
      <c r="BF176" s="2084"/>
      <c r="BG176" s="2084"/>
      <c r="BI176" s="1628" t="s">
        <v>1427</v>
      </c>
      <c r="BJ176" s="1691" t="s">
        <v>1553</v>
      </c>
      <c r="BK176" s="1692" t="s">
        <v>1110</v>
      </c>
      <c r="BL176" s="1621"/>
      <c r="BM176" s="1621"/>
      <c r="BN176" s="1621"/>
      <c r="BO176" s="1621"/>
      <c r="BP176" s="1621"/>
      <c r="BQ176" s="1621"/>
      <c r="BR176" s="1621"/>
      <c r="BS176" s="1621"/>
      <c r="BT176" s="1621"/>
      <c r="BU176" s="2084">
        <v>0.2</v>
      </c>
      <c r="BV176" s="2085"/>
      <c r="BW176" s="2084"/>
      <c r="BX176" s="2084"/>
    </row>
    <row r="177" spans="2:76" s="1556" customFormat="1" ht="13.5" customHeight="1">
      <c r="B177" s="1615" t="str">
        <f>AA177</f>
        <v>3.2.3</v>
      </c>
      <c r="C177" s="1658" t="str">
        <f>AC177</f>
        <v>日照阻害の抑制</v>
      </c>
      <c r="D177" s="1714" t="e">
        <f t="shared" si="191"/>
        <v>#DIV/0!</v>
      </c>
      <c r="E177" s="1714" t="e">
        <f t="shared" si="191"/>
        <v>#DIV/0!</v>
      </c>
      <c r="F177"/>
      <c r="G177" s="1689" t="e">
        <f t="shared" si="190"/>
        <v>#DIV/0!</v>
      </c>
      <c r="H177" s="1689" t="e">
        <f t="shared" si="190"/>
        <v>#DIV/0!</v>
      </c>
      <c r="I177" s="1689"/>
      <c r="J177" s="1689"/>
      <c r="K177" s="1614">
        <f>IF(スコア表示!X177=0,0,1)</f>
        <v>1</v>
      </c>
      <c r="L177" s="1614">
        <f>IF(スコア表示!AB177=0,0,1)</f>
        <v>0</v>
      </c>
      <c r="M177"/>
      <c r="N177" s="1711" t="e">
        <f t="shared" si="192"/>
        <v>#DIV/0!</v>
      </c>
      <c r="O177" s="1711" t="e">
        <f t="shared" si="192"/>
        <v>#DIV/0!</v>
      </c>
      <c r="P177" s="1614"/>
      <c r="Q177" s="1614"/>
      <c r="R177" s="1614" t="e">
        <f>IF(スコア入力!R177="EB",重み_対象外!D177,U177)</f>
        <v>#DIV/0!</v>
      </c>
      <c r="S177" s="1614" t="e">
        <f>IF(スコア入力!Y177="EB",重み_対象外!E177,V177)</f>
        <v>#DIV/0!</v>
      </c>
      <c r="T177" s="1558"/>
      <c r="U177" s="1612" t="e">
        <f t="shared" si="193"/>
        <v>#DIV/0!</v>
      </c>
      <c r="V177" s="1612" t="e">
        <f t="shared" si="193"/>
        <v>#DIV/0!</v>
      </c>
      <c r="W177" s="1558"/>
      <c r="X177" s="1614" t="e">
        <f t="shared" si="159"/>
        <v>#DIV/0!</v>
      </c>
      <c r="Y177" s="1614" t="e">
        <f t="shared" si="160"/>
        <v>#DIV/0!</v>
      </c>
      <c r="Z177" s="1569"/>
      <c r="AA177" s="1615" t="str">
        <f t="shared" ref="AA177:AM177" si="194">IF($AA$3=1,AR177,BI177)</f>
        <v>3.2.3</v>
      </c>
      <c r="AB177" s="1615" t="str">
        <f t="shared" si="194"/>
        <v>LR3 3.2</v>
      </c>
      <c r="AC177" s="1658" t="str">
        <f t="shared" si="194"/>
        <v>日照阻害の抑制</v>
      </c>
      <c r="AD177" s="1757">
        <f t="shared" si="194"/>
        <v>0.3</v>
      </c>
      <c r="AE177" s="1757">
        <f t="shared" si="194"/>
        <v>0.3</v>
      </c>
      <c r="AF177" s="1757">
        <f t="shared" si="194"/>
        <v>0.3</v>
      </c>
      <c r="AG177" s="1757">
        <f t="shared" si="194"/>
        <v>0.3</v>
      </c>
      <c r="AH177" s="1757">
        <f t="shared" si="194"/>
        <v>0.3</v>
      </c>
      <c r="AI177" s="1757">
        <f t="shared" si="194"/>
        <v>0.3</v>
      </c>
      <c r="AJ177" s="1757">
        <f t="shared" si="194"/>
        <v>0.3</v>
      </c>
      <c r="AK177" s="1759">
        <f t="shared" si="194"/>
        <v>0.3</v>
      </c>
      <c r="AL177" s="1757">
        <f t="shared" si="194"/>
        <v>0.3</v>
      </c>
      <c r="AM177" s="1757">
        <f t="shared" si="194"/>
        <v>0.2</v>
      </c>
      <c r="AN177" s="1758"/>
      <c r="AO177" s="1757"/>
      <c r="AP177" s="1757"/>
      <c r="AQ177" s="1555"/>
      <c r="AR177" s="1628" t="s">
        <v>1540</v>
      </c>
      <c r="AS177" s="1691" t="s">
        <v>380</v>
      </c>
      <c r="AT177" s="1692" t="s">
        <v>1554</v>
      </c>
      <c r="AU177" s="1621">
        <v>0.3</v>
      </c>
      <c r="AV177" s="1621">
        <v>0.3</v>
      </c>
      <c r="AW177" s="1621">
        <v>0.3</v>
      </c>
      <c r="AX177" s="1621">
        <v>0.3</v>
      </c>
      <c r="AY177" s="1621">
        <v>0.3</v>
      </c>
      <c r="AZ177" s="1621">
        <v>0.3</v>
      </c>
      <c r="BA177" s="1621">
        <v>0.3</v>
      </c>
      <c r="BB177" s="1621">
        <v>0.3</v>
      </c>
      <c r="BC177" s="1621">
        <v>0.3</v>
      </c>
      <c r="BD177" s="2084">
        <v>0.2</v>
      </c>
      <c r="BE177" s="2085"/>
      <c r="BF177" s="2084"/>
      <c r="BG177" s="2084"/>
      <c r="BH177"/>
      <c r="BI177" s="1628" t="s">
        <v>1540</v>
      </c>
      <c r="BJ177" s="1691" t="s">
        <v>380</v>
      </c>
      <c r="BK177" s="1692" t="s">
        <v>1554</v>
      </c>
      <c r="BL177" s="1621">
        <v>0.3</v>
      </c>
      <c r="BM177" s="1621">
        <v>0.3</v>
      </c>
      <c r="BN177" s="1621">
        <v>0.3</v>
      </c>
      <c r="BO177" s="1621">
        <v>0.3</v>
      </c>
      <c r="BP177" s="1621">
        <v>0.3</v>
      </c>
      <c r="BQ177" s="1621">
        <v>0.3</v>
      </c>
      <c r="BR177" s="1621">
        <v>0.3</v>
      </c>
      <c r="BS177" s="1621">
        <v>0.3</v>
      </c>
      <c r="BT177" s="1621">
        <v>0.3</v>
      </c>
      <c r="BU177" s="2084">
        <v>0.2</v>
      </c>
      <c r="BV177" s="2085"/>
      <c r="BW177" s="2084"/>
      <c r="BX177" s="2084"/>
    </row>
    <row r="178" spans="2:76" s="1556" customFormat="1" ht="13.5" customHeight="1">
      <c r="B178" s="1615" t="str">
        <f t="shared" si="188"/>
        <v>3.3</v>
      </c>
      <c r="C178" s="1658" t="str">
        <f t="shared" si="189"/>
        <v>光害の抑制</v>
      </c>
      <c r="D178" s="1714" t="e">
        <f>IF(I$169=0,0,G178/I$169)</f>
        <v>#DIV/0!</v>
      </c>
      <c r="E178" s="1714" t="e">
        <f>IF(J$169=0,0,H178/J$169)</f>
        <v>#DIV/0!</v>
      </c>
      <c r="F178"/>
      <c r="G178" s="1689" t="e">
        <f t="shared" si="190"/>
        <v>#DIV/0!</v>
      </c>
      <c r="H178" s="1689" t="e">
        <f t="shared" si="190"/>
        <v>#DIV/0!</v>
      </c>
      <c r="I178" s="1689" t="e">
        <f>SUM(G179:G180)</f>
        <v>#DIV/0!</v>
      </c>
      <c r="J178" s="1689" t="e">
        <f>SUM(H179:H180)</f>
        <v>#DIV/0!</v>
      </c>
      <c r="K178" s="1614" t="e">
        <f>IF(スコア表示!X178=0,0,1)</f>
        <v>#DIV/0!</v>
      </c>
      <c r="L178" s="1614" t="e">
        <f>IF(スコア表示!AB178=0,0,1)</f>
        <v>#DIV/0!</v>
      </c>
      <c r="M178"/>
      <c r="N178" s="1711" t="e">
        <f>IF(P$169=0,0,P178/P$169)</f>
        <v>#DIV/0!</v>
      </c>
      <c r="O178" s="1711" t="e">
        <f>IF(Q$169=0,0,Q178/Q$169)</f>
        <v>#DIV/0!</v>
      </c>
      <c r="P178" s="1614" t="e">
        <f>SUM(R179:R180)</f>
        <v>#DIV/0!</v>
      </c>
      <c r="Q178" s="1614" t="e">
        <f>SUM(S179:S180)</f>
        <v>#DIV/0!</v>
      </c>
      <c r="R178" s="1614">
        <f>IF(スコア入力!R178="EB",重み_対象外!D178,U178)</f>
        <v>0</v>
      </c>
      <c r="S178" s="1614">
        <f>IF(スコア入力!Y178="EB",重み_対象外!E178,V178)</f>
        <v>0</v>
      </c>
      <c r="T178" s="1558"/>
      <c r="U178" s="1612"/>
      <c r="V178" s="1612"/>
      <c r="W178" s="1558"/>
      <c r="X178" s="1614" t="e">
        <f t="shared" si="159"/>
        <v>#DIV/0!</v>
      </c>
      <c r="Y178" s="1614" t="e">
        <f t="shared" si="160"/>
        <v>#DIV/0!</v>
      </c>
      <c r="Z178" s="1569"/>
      <c r="AA178" s="1615" t="str">
        <f t="shared" si="163"/>
        <v>3.3</v>
      </c>
      <c r="AB178" s="1615" t="str">
        <f t="shared" si="164"/>
        <v>LR3 3</v>
      </c>
      <c r="AC178" s="1658" t="str">
        <f t="shared" si="171"/>
        <v>光害の抑制</v>
      </c>
      <c r="AD178" s="1757">
        <f t="shared" si="172"/>
        <v>0.2</v>
      </c>
      <c r="AE178" s="1757">
        <f t="shared" si="173"/>
        <v>0.2</v>
      </c>
      <c r="AF178" s="1757">
        <f t="shared" si="174"/>
        <v>0.2</v>
      </c>
      <c r="AG178" s="1757">
        <f t="shared" si="175"/>
        <v>0.2</v>
      </c>
      <c r="AH178" s="1757">
        <f t="shared" si="176"/>
        <v>0.2</v>
      </c>
      <c r="AI178" s="1757">
        <f t="shared" si="177"/>
        <v>0.2</v>
      </c>
      <c r="AJ178" s="1757">
        <f t="shared" si="141"/>
        <v>0.2</v>
      </c>
      <c r="AK178" s="1759">
        <f t="shared" si="178"/>
        <v>0.2</v>
      </c>
      <c r="AL178" s="1757">
        <f t="shared" si="179"/>
        <v>0.2</v>
      </c>
      <c r="AM178" s="1757">
        <f t="shared" si="179"/>
        <v>0.2</v>
      </c>
      <c r="AN178" s="1758">
        <f>IF($AA$3=1,BE178,BV178)</f>
        <v>0</v>
      </c>
      <c r="AO178" s="1757">
        <f>IF($AA$3=1,BF178,BW178)</f>
        <v>0</v>
      </c>
      <c r="AP178" s="1757">
        <f>IF($AA$3=1,BG178,BX178)</f>
        <v>0</v>
      </c>
      <c r="AQ178" s="1555"/>
      <c r="AR178" s="1628" t="s">
        <v>1555</v>
      </c>
      <c r="AS178" s="1691" t="s">
        <v>378</v>
      </c>
      <c r="AT178" s="1692" t="s">
        <v>1112</v>
      </c>
      <c r="AU178" s="2084">
        <v>0.2</v>
      </c>
      <c r="AV178" s="2084">
        <v>0.2</v>
      </c>
      <c r="AW178" s="2084">
        <v>0.2</v>
      </c>
      <c r="AX178" s="2084">
        <v>0.2</v>
      </c>
      <c r="AY178" s="2084">
        <v>0.2</v>
      </c>
      <c r="AZ178" s="2084">
        <v>0.2</v>
      </c>
      <c r="BA178" s="2084">
        <v>0.2</v>
      </c>
      <c r="BB178" s="2084">
        <v>0.2</v>
      </c>
      <c r="BC178" s="2084">
        <v>0.2</v>
      </c>
      <c r="BD178" s="2084">
        <v>0.2</v>
      </c>
      <c r="BE178" s="2085"/>
      <c r="BF178" s="2084"/>
      <c r="BG178" s="2084"/>
      <c r="BH178"/>
      <c r="BI178" s="1628" t="s">
        <v>1555</v>
      </c>
      <c r="BJ178" s="1691" t="s">
        <v>378</v>
      </c>
      <c r="BK178" s="1692" t="s">
        <v>1112</v>
      </c>
      <c r="BL178" s="2084">
        <v>0.2</v>
      </c>
      <c r="BM178" s="2084">
        <v>0.2</v>
      </c>
      <c r="BN178" s="2084">
        <v>0.2</v>
      </c>
      <c r="BO178" s="2084">
        <v>0.2</v>
      </c>
      <c r="BP178" s="2084">
        <v>0.2</v>
      </c>
      <c r="BQ178" s="2084">
        <v>0.2</v>
      </c>
      <c r="BR178" s="2084">
        <v>0.2</v>
      </c>
      <c r="BS178" s="2084">
        <v>0.2</v>
      </c>
      <c r="BT178" s="2084">
        <v>0.2</v>
      </c>
      <c r="BU178" s="2084">
        <v>0.2</v>
      </c>
      <c r="BV178" s="2085"/>
      <c r="BW178" s="2084"/>
      <c r="BX178" s="2084"/>
    </row>
    <row r="179" spans="2:76" s="1556" customFormat="1" ht="13.5" customHeight="1">
      <c r="B179" s="1615" t="str">
        <f t="shared" si="188"/>
        <v>3.3.1</v>
      </c>
      <c r="C179" s="1772" t="str">
        <f t="shared" si="189"/>
        <v>屋外照明及び屋内照明のうち外に漏れる光への対策</v>
      </c>
      <c r="D179" s="1714" t="e">
        <f>IF(I$178=0,0,G179/I$178)</f>
        <v>#DIV/0!</v>
      </c>
      <c r="E179" s="1714" t="e">
        <f>IF(J$178=0,0,H179/J$178)</f>
        <v>#DIV/0!</v>
      </c>
      <c r="F179"/>
      <c r="G179" s="1689" t="e">
        <f t="shared" si="190"/>
        <v>#DIV/0!</v>
      </c>
      <c r="H179" s="1689" t="e">
        <f t="shared" si="190"/>
        <v>#DIV/0!</v>
      </c>
      <c r="I179" s="1689"/>
      <c r="J179" s="1689"/>
      <c r="K179" s="1614">
        <f>IF(スコア表示!X179=0,0,1)</f>
        <v>1</v>
      </c>
      <c r="L179" s="1614">
        <f>IF(スコア表示!AB179=0,0,1)</f>
        <v>0</v>
      </c>
      <c r="M179"/>
      <c r="N179" s="1711" t="e">
        <f>IF(P$178&gt;0,R179/P$178,0)</f>
        <v>#DIV/0!</v>
      </c>
      <c r="O179" s="1711" t="e">
        <f>IF(Q$178&gt;0,S179/Q$178,0)</f>
        <v>#DIV/0!</v>
      </c>
      <c r="P179" s="1614"/>
      <c r="Q179" s="1614"/>
      <c r="R179" s="1614" t="e">
        <f>IF(スコア入力!R179="EB",重み_対象外!D179,U179)</f>
        <v>#DIV/0!</v>
      </c>
      <c r="S179" s="1614" t="e">
        <f>IF(スコア入力!Y179="EB",重み_対象外!E179,V179)</f>
        <v>#DIV/0!</v>
      </c>
      <c r="T179" s="1558"/>
      <c r="U179" s="1612" t="e">
        <f>X$169*X$178*X179</f>
        <v>#DIV/0!</v>
      </c>
      <c r="V179" s="1612" t="e">
        <f>Y$169*Y$178*Y179</f>
        <v>#DIV/0!</v>
      </c>
      <c r="W179" s="1558"/>
      <c r="X179" s="1614" t="e">
        <f t="shared" si="159"/>
        <v>#DIV/0!</v>
      </c>
      <c r="Y179" s="1614" t="e">
        <f t="shared" si="160"/>
        <v>#DIV/0!</v>
      </c>
      <c r="Z179" s="1569"/>
      <c r="AA179" s="1615" t="str">
        <f t="shared" si="163"/>
        <v>3.3.1</v>
      </c>
      <c r="AB179" s="1615" t="str">
        <f t="shared" si="164"/>
        <v>LR3 3.3</v>
      </c>
      <c r="AC179" s="1772" t="str">
        <f t="shared" si="171"/>
        <v>屋外照明及び屋内照明のうち外に漏れる光への対策</v>
      </c>
      <c r="AD179" s="1757">
        <f t="shared" si="172"/>
        <v>0.7</v>
      </c>
      <c r="AE179" s="1757">
        <f t="shared" si="173"/>
        <v>0.7</v>
      </c>
      <c r="AF179" s="1757">
        <f t="shared" si="174"/>
        <v>0.7</v>
      </c>
      <c r="AG179" s="1757">
        <f t="shared" si="175"/>
        <v>0.7</v>
      </c>
      <c r="AH179" s="1757">
        <f t="shared" si="176"/>
        <v>0.7</v>
      </c>
      <c r="AI179" s="1757">
        <f t="shared" si="177"/>
        <v>0.7</v>
      </c>
      <c r="AJ179" s="1757">
        <f t="shared" si="141"/>
        <v>0.7</v>
      </c>
      <c r="AK179" s="1759">
        <f t="shared" si="178"/>
        <v>0.7</v>
      </c>
      <c r="AL179" s="1757">
        <f t="shared" si="179"/>
        <v>0.7</v>
      </c>
      <c r="AM179" s="1757">
        <f t="shared" si="179"/>
        <v>0.7</v>
      </c>
      <c r="AN179" s="1758"/>
      <c r="AO179" s="1757"/>
      <c r="AP179" s="1757"/>
      <c r="AQ179" s="1555"/>
      <c r="AR179" s="1628" t="s">
        <v>1430</v>
      </c>
      <c r="AS179" s="1691" t="s">
        <v>381</v>
      </c>
      <c r="AT179" s="1692" t="s">
        <v>1556</v>
      </c>
      <c r="AU179" s="1621">
        <v>0.7</v>
      </c>
      <c r="AV179" s="1621">
        <v>0.7</v>
      </c>
      <c r="AW179" s="1621">
        <v>0.7</v>
      </c>
      <c r="AX179" s="1621">
        <v>0.7</v>
      </c>
      <c r="AY179" s="1621">
        <v>0.7</v>
      </c>
      <c r="AZ179" s="1621">
        <v>0.7</v>
      </c>
      <c r="BA179" s="1621">
        <v>0.7</v>
      </c>
      <c r="BB179" s="1621">
        <v>0.7</v>
      </c>
      <c r="BC179" s="1621">
        <v>0.7</v>
      </c>
      <c r="BD179" s="1621">
        <v>0.7</v>
      </c>
      <c r="BE179" s="2085"/>
      <c r="BF179" s="2084"/>
      <c r="BG179" s="2084"/>
      <c r="BH179"/>
      <c r="BI179" s="1628" t="s">
        <v>1430</v>
      </c>
      <c r="BJ179" s="1691" t="s">
        <v>381</v>
      </c>
      <c r="BK179" s="1692" t="s">
        <v>1556</v>
      </c>
      <c r="BL179" s="1621">
        <v>0.7</v>
      </c>
      <c r="BM179" s="1621">
        <v>0.7</v>
      </c>
      <c r="BN179" s="1621">
        <v>0.7</v>
      </c>
      <c r="BO179" s="1621">
        <v>0.7</v>
      </c>
      <c r="BP179" s="1621">
        <v>0.7</v>
      </c>
      <c r="BQ179" s="1621">
        <v>0.7</v>
      </c>
      <c r="BR179" s="1621">
        <v>0.7</v>
      </c>
      <c r="BS179" s="1621">
        <v>0.7</v>
      </c>
      <c r="BT179" s="1621">
        <v>0.7</v>
      </c>
      <c r="BU179" s="1621">
        <v>0.7</v>
      </c>
      <c r="BV179" s="2085"/>
      <c r="BW179" s="2084"/>
      <c r="BX179" s="2084"/>
    </row>
    <row r="180" spans="2:76" s="1556" customFormat="1" ht="13.5" customHeight="1">
      <c r="B180" s="1615" t="str">
        <f t="shared" si="188"/>
        <v>3.3.2</v>
      </c>
      <c r="C180" s="1772" t="str">
        <f t="shared" si="189"/>
        <v>昼光の建物外壁による反射光（グレア）への対策</v>
      </c>
      <c r="D180" s="1714" t="e">
        <f>IF(I$178=0,0,G180/I$178)</f>
        <v>#DIV/0!</v>
      </c>
      <c r="E180" s="1714" t="e">
        <f>IF(J$178=0,0,H180/J$178)</f>
        <v>#DIV/0!</v>
      </c>
      <c r="F180"/>
      <c r="G180" s="1689" t="e">
        <f t="shared" si="190"/>
        <v>#DIV/0!</v>
      </c>
      <c r="H180" s="1689" t="e">
        <f t="shared" si="190"/>
        <v>#DIV/0!</v>
      </c>
      <c r="I180" s="1689"/>
      <c r="J180" s="1689"/>
      <c r="K180" s="1614">
        <f>IF(スコア表示!X180=0,0,1)</f>
        <v>1</v>
      </c>
      <c r="L180" s="1614">
        <f>IF(スコア表示!AB180=0,0,1)</f>
        <v>0</v>
      </c>
      <c r="M180"/>
      <c r="N180" s="1711" t="e">
        <f>IF(P$178&gt;0,R180/P$178,0)</f>
        <v>#DIV/0!</v>
      </c>
      <c r="O180" s="1711" t="e">
        <f>IF(Q$178&gt;0,S180/Q$178,0)</f>
        <v>#DIV/0!</v>
      </c>
      <c r="P180" s="1614"/>
      <c r="Q180" s="1614"/>
      <c r="R180" s="1614" t="e">
        <f>IF(スコア入力!R180="EB",重み_対象外!D180,U180)</f>
        <v>#DIV/0!</v>
      </c>
      <c r="S180" s="1614" t="e">
        <f>IF(スコア入力!Y180="EB",重み_対象外!E180,V180)</f>
        <v>#DIV/0!</v>
      </c>
      <c r="T180" s="1558"/>
      <c r="U180" s="1612" t="e">
        <f>X$169*X$178*X180</f>
        <v>#DIV/0!</v>
      </c>
      <c r="V180" s="1612" t="e">
        <f>Y$169*Y$178*Y180</f>
        <v>#DIV/0!</v>
      </c>
      <c r="W180" s="1558"/>
      <c r="X180" s="1614" t="e">
        <f t="shared" si="159"/>
        <v>#DIV/0!</v>
      </c>
      <c r="Y180" s="1614" t="e">
        <f t="shared" si="160"/>
        <v>#DIV/0!</v>
      </c>
      <c r="Z180" s="1569"/>
      <c r="AA180" s="1615" t="str">
        <f t="shared" si="163"/>
        <v>3.3.2</v>
      </c>
      <c r="AB180" s="1615" t="str">
        <f t="shared" si="164"/>
        <v>LR3 3.3</v>
      </c>
      <c r="AC180" s="1772" t="str">
        <f t="shared" si="171"/>
        <v>昼光の建物外壁による反射光（グレア）への対策</v>
      </c>
      <c r="AD180" s="1757">
        <f t="shared" si="172"/>
        <v>0.3</v>
      </c>
      <c r="AE180" s="1757">
        <f t="shared" si="173"/>
        <v>0.3</v>
      </c>
      <c r="AF180" s="1757">
        <f t="shared" si="174"/>
        <v>0.3</v>
      </c>
      <c r="AG180" s="1757">
        <f t="shared" si="175"/>
        <v>0.3</v>
      </c>
      <c r="AH180" s="1757">
        <f t="shared" si="176"/>
        <v>0.3</v>
      </c>
      <c r="AI180" s="1757">
        <f t="shared" si="177"/>
        <v>0.3</v>
      </c>
      <c r="AJ180" s="1757">
        <f t="shared" si="141"/>
        <v>0.3</v>
      </c>
      <c r="AK180" s="1759">
        <f t="shared" si="178"/>
        <v>0.3</v>
      </c>
      <c r="AL180" s="1757">
        <f t="shared" si="179"/>
        <v>0.3</v>
      </c>
      <c r="AM180" s="1757">
        <f t="shared" si="179"/>
        <v>0.3</v>
      </c>
      <c r="AN180" s="1758"/>
      <c r="AO180" s="1757"/>
      <c r="AP180" s="1757"/>
      <c r="AQ180" s="1555"/>
      <c r="AR180" s="1628" t="s">
        <v>1476</v>
      </c>
      <c r="AS180" s="1691" t="s">
        <v>381</v>
      </c>
      <c r="AT180" s="1692" t="s">
        <v>1557</v>
      </c>
      <c r="AU180" s="1621">
        <v>0.3</v>
      </c>
      <c r="AV180" s="1621">
        <v>0.3</v>
      </c>
      <c r="AW180" s="1621">
        <v>0.3</v>
      </c>
      <c r="AX180" s="1621">
        <v>0.3</v>
      </c>
      <c r="AY180" s="1621">
        <v>0.3</v>
      </c>
      <c r="AZ180" s="1621">
        <v>0.3</v>
      </c>
      <c r="BA180" s="1621">
        <v>0.3</v>
      </c>
      <c r="BB180" s="1621">
        <v>0.3</v>
      </c>
      <c r="BC180" s="1621">
        <v>0.3</v>
      </c>
      <c r="BD180" s="1621">
        <v>0.3</v>
      </c>
      <c r="BE180" s="2085"/>
      <c r="BF180" s="2084"/>
      <c r="BG180" s="2084"/>
      <c r="BH180"/>
      <c r="BI180" s="1628" t="s">
        <v>1476</v>
      </c>
      <c r="BJ180" s="1691" t="s">
        <v>381</v>
      </c>
      <c r="BK180" s="1692" t="s">
        <v>1557</v>
      </c>
      <c r="BL180" s="1621">
        <v>0.3</v>
      </c>
      <c r="BM180" s="1621">
        <v>0.3</v>
      </c>
      <c r="BN180" s="1621">
        <v>0.3</v>
      </c>
      <c r="BO180" s="1621">
        <v>0.3</v>
      </c>
      <c r="BP180" s="1621">
        <v>0.3</v>
      </c>
      <c r="BQ180" s="1621">
        <v>0.3</v>
      </c>
      <c r="BR180" s="1621">
        <v>0.3</v>
      </c>
      <c r="BS180" s="1621">
        <v>0.3</v>
      </c>
      <c r="BT180" s="1621">
        <v>0.3</v>
      </c>
      <c r="BU180" s="1621">
        <v>0.3</v>
      </c>
      <c r="BV180" s="2085"/>
      <c r="BW180" s="2084"/>
      <c r="BX180" s="2084"/>
    </row>
    <row r="181" spans="2:76" s="1556" customFormat="1">
      <c r="B181" s="1548"/>
      <c r="C181" s="1549"/>
      <c r="D181" s="1694"/>
      <c r="E181" s="1550"/>
      <c r="F181"/>
      <c r="G181" s="1550"/>
      <c r="H181" s="1550"/>
      <c r="I181" s="1550"/>
      <c r="J181" s="1550"/>
      <c r="K181" s="1550"/>
      <c r="L181" s="1550"/>
      <c r="M181"/>
      <c r="N181" s="1694"/>
      <c r="O181" s="1694"/>
      <c r="P181" s="1550"/>
      <c r="Q181" s="1550"/>
      <c r="R181" s="1550"/>
      <c r="S181" s="1550"/>
      <c r="T181" s="1550"/>
      <c r="U181" s="1550"/>
      <c r="V181" s="1550"/>
      <c r="W181" s="1550"/>
      <c r="X181" s="1550"/>
      <c r="Y181" s="1550"/>
      <c r="Z181" s="1551"/>
      <c r="AA181" s="1552"/>
      <c r="AB181" s="1552"/>
      <c r="AC181" s="1553"/>
      <c r="AD181" s="1554"/>
      <c r="AE181" s="1554"/>
      <c r="AF181" s="1554"/>
      <c r="AG181" s="1554"/>
      <c r="AH181" s="1554"/>
      <c r="AI181" s="1554"/>
      <c r="AJ181" s="1554"/>
      <c r="AK181" s="1554"/>
      <c r="AL181" s="1554"/>
      <c r="AM181" s="1554"/>
      <c r="AN181" s="1554"/>
      <c r="AO181" s="1554"/>
      <c r="AP181" s="1554"/>
      <c r="AQ181" s="1555"/>
      <c r="BH181"/>
    </row>
  </sheetData>
  <sheetProtection password="CC47"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3" fitToWidth="2" orientation="portrait" verticalDpi="4294967293" r:id="rId1"/>
  <headerFooter alignWithMargins="0">
    <oddHeader>&amp;L&amp;F&amp;R&amp;A</oddHeader>
    <oddFooter>&amp;C&amp;P/&amp;N</oddFooter>
  </headerFooter>
  <colBreaks count="1" manualBreakCount="1">
    <brk id="26" max="176" man="1"/>
  </colBreaks>
</worksheet>
</file>

<file path=xl/worksheets/sheet2.xml><?xml version="1.0" encoding="utf-8"?>
<worksheet xmlns="http://schemas.openxmlformats.org/spreadsheetml/2006/main" xmlns:r="http://schemas.openxmlformats.org/officeDocument/2006/relationships">
  <sheetPr codeName="Sheet3">
    <pageSetUpPr fitToPage="1"/>
  </sheetPr>
  <dimension ref="A1:AK214"/>
  <sheetViews>
    <sheetView showGridLines="0" workbookViewId="0">
      <selection activeCell="H36" sqref="H36:K38"/>
    </sheetView>
  </sheetViews>
  <sheetFormatPr defaultColWidth="0" defaultRowHeight="0" customHeight="1" zeroHeight="1"/>
  <cols>
    <col min="1" max="1" width="0.75" style="686" customWidth="1"/>
    <col min="2" max="2" width="2.125" style="702" customWidth="1"/>
    <col min="3" max="3" width="13.375" style="702" customWidth="1"/>
    <col min="4" max="4" width="5.375" style="703" customWidth="1"/>
    <col min="5" max="5" width="9.75" style="1073" customWidth="1"/>
    <col min="6" max="6" width="6.25" style="1048" customWidth="1"/>
    <col min="7" max="7" width="6.5" style="1048" customWidth="1"/>
    <col min="8" max="8" width="12.875" style="1048" customWidth="1"/>
    <col min="9" max="9" width="7.125" style="1049" customWidth="1"/>
    <col min="10" max="10" width="12.125" style="1049" customWidth="1"/>
    <col min="11" max="11" width="11.875" style="1048" customWidth="1"/>
    <col min="12" max="12" width="10.75" style="1048" customWidth="1"/>
    <col min="13" max="13" width="11.875" style="1051" customWidth="1"/>
    <col min="14" max="15" width="11.375" style="1051" customWidth="1"/>
    <col min="16" max="16" width="0.75" style="686" customWidth="1"/>
    <col min="17" max="17" width="3.875" style="686" hidden="1" customWidth="1"/>
    <col min="18" max="18" width="20.625" style="695" hidden="1" customWidth="1"/>
    <col min="19" max="19" width="18.625" style="1034" hidden="1" customWidth="1"/>
    <col min="20" max="20" width="15.25" style="695" hidden="1" customWidth="1"/>
    <col min="21" max="21" width="19.25" style="695" hidden="1" customWidth="1"/>
    <col min="22" max="22" width="18.625" style="695" hidden="1" customWidth="1"/>
    <col min="23" max="23" width="11.125" style="695" hidden="1" customWidth="1"/>
    <col min="24" max="24" width="20.5" style="695" hidden="1" customWidth="1"/>
    <col min="25" max="25" width="18.625" style="695" hidden="1" customWidth="1"/>
    <col min="26" max="26" width="23" style="695" hidden="1" customWidth="1"/>
    <col min="27" max="27" width="4.5" style="695" hidden="1" customWidth="1"/>
    <col min="28" max="28" width="5" style="695" hidden="1" customWidth="1"/>
    <col min="29" max="31" width="5" style="1035" hidden="1" customWidth="1"/>
    <col min="32" max="32" width="5.125" style="1035" hidden="1" customWidth="1"/>
    <col min="33" max="16384" width="9" style="1035" hidden="1"/>
  </cols>
  <sheetData>
    <row r="1" spans="1:28" s="684" customFormat="1" ht="6" customHeight="1" thickBot="1">
      <c r="A1" s="676"/>
      <c r="B1" s="677"/>
      <c r="C1" s="678"/>
      <c r="D1" s="679"/>
      <c r="E1" s="680"/>
      <c r="F1" s="681"/>
      <c r="G1" s="681"/>
      <c r="H1" s="681"/>
      <c r="I1" s="682"/>
      <c r="J1" s="682"/>
      <c r="K1" s="681"/>
      <c r="L1" s="683"/>
      <c r="M1" s="680"/>
      <c r="N1" s="680"/>
      <c r="O1" s="676"/>
      <c r="P1" s="676"/>
      <c r="Q1" s="676"/>
      <c r="S1" s="685"/>
    </row>
    <row r="2" spans="1:28" s="695" customFormat="1" ht="18.75" customHeight="1" thickTop="1">
      <c r="A2" s="686"/>
      <c r="B2" s="687"/>
      <c r="C2" s="688"/>
      <c r="D2" s="689"/>
      <c r="E2" s="690"/>
      <c r="F2" s="691"/>
      <c r="G2" s="691"/>
      <c r="H2" s="691"/>
      <c r="I2" s="692"/>
      <c r="J2" s="693"/>
      <c r="K2" s="693"/>
      <c r="L2" s="693"/>
      <c r="M2" s="693"/>
      <c r="N2" s="691"/>
      <c r="O2" s="527"/>
      <c r="P2" s="686"/>
      <c r="Q2" s="2891" t="s">
        <v>426</v>
      </c>
      <c r="R2" s="694"/>
      <c r="S2" s="694"/>
      <c r="T2" s="694"/>
      <c r="U2" s="694"/>
      <c r="V2" s="694"/>
      <c r="W2" s="694"/>
      <c r="X2" s="694"/>
      <c r="Y2" s="694"/>
      <c r="Z2" s="694"/>
      <c r="AA2" s="694"/>
      <c r="AB2" s="694"/>
    </row>
    <row r="3" spans="1:28" s="695" customFormat="1" ht="18.75" customHeight="1">
      <c r="A3" s="686"/>
      <c r="B3" s="687"/>
      <c r="C3" s="688"/>
      <c r="D3" s="689"/>
      <c r="E3" s="690"/>
      <c r="F3" s="691"/>
      <c r="G3" s="691"/>
      <c r="H3" s="691"/>
      <c r="I3" s="692"/>
      <c r="J3" s="693"/>
      <c r="K3" s="693"/>
      <c r="L3" s="693"/>
      <c r="M3" s="693"/>
      <c r="N3" s="691"/>
      <c r="O3" s="526"/>
      <c r="P3" s="686"/>
      <c r="Q3" s="2892"/>
      <c r="R3" s="694"/>
      <c r="S3" s="694"/>
      <c r="T3" s="694"/>
      <c r="U3" s="694"/>
      <c r="V3" s="694"/>
      <c r="W3" s="694"/>
      <c r="X3" s="694"/>
      <c r="Y3" s="694"/>
      <c r="Z3" s="694"/>
      <c r="AA3" s="694"/>
      <c r="AB3" s="694"/>
    </row>
    <row r="4" spans="1:28" s="695" customFormat="1" ht="18.75" customHeight="1">
      <c r="A4" s="686"/>
      <c r="B4" s="687"/>
      <c r="C4" s="688"/>
      <c r="D4" s="689"/>
      <c r="E4" s="690"/>
      <c r="F4" s="691"/>
      <c r="G4" s="691"/>
      <c r="H4" s="691"/>
      <c r="I4" s="696"/>
      <c r="J4" s="693"/>
      <c r="K4" s="693"/>
      <c r="L4" s="693"/>
      <c r="M4" s="693"/>
      <c r="N4" s="691"/>
      <c r="O4" s="527"/>
      <c r="P4" s="686"/>
      <c r="Q4" s="2892"/>
      <c r="R4" s="694"/>
      <c r="S4" s="694"/>
      <c r="T4" s="694"/>
      <c r="U4" s="694"/>
      <c r="V4" s="694"/>
      <c r="W4" s="694"/>
      <c r="X4" s="694"/>
      <c r="Y4" s="694"/>
      <c r="Z4" s="694"/>
      <c r="AA4" s="694"/>
      <c r="AB4" s="694"/>
    </row>
    <row r="5" spans="1:28" s="695" customFormat="1" ht="13.5" customHeight="1" thickBot="1">
      <c r="A5" s="686"/>
      <c r="B5" s="697"/>
      <c r="C5" s="698"/>
      <c r="D5" s="689"/>
      <c r="E5" s="690"/>
      <c r="F5" s="691"/>
      <c r="G5" s="691"/>
      <c r="H5" s="691"/>
      <c r="I5" s="699"/>
      <c r="J5" s="700" t="s">
        <v>456</v>
      </c>
      <c r="K5" s="2894" t="str">
        <f>メイン!C6</f>
        <v>CASBEE京都-改修（2015年版）</v>
      </c>
      <c r="L5" s="2895"/>
      <c r="M5" s="700" t="s">
        <v>938</v>
      </c>
      <c r="N5" s="2894" t="str">
        <f>メイン!C5</f>
        <v>CASBEE京都-改修2015（v.1.0）</v>
      </c>
      <c r="O5" s="2896"/>
      <c r="P5" s="686"/>
      <c r="Q5" s="2893"/>
      <c r="R5" s="694"/>
      <c r="S5" s="694"/>
      <c r="T5" s="694"/>
      <c r="U5" s="694"/>
      <c r="V5" s="694"/>
      <c r="W5" s="694"/>
      <c r="X5" s="694"/>
      <c r="Y5" s="694"/>
      <c r="Z5" s="694"/>
      <c r="AA5" s="694"/>
      <c r="AB5" s="694"/>
    </row>
    <row r="6" spans="1:28" s="695" customFormat="1" ht="6" customHeight="1" thickTop="1" thickBot="1">
      <c r="A6" s="686"/>
      <c r="B6" s="701"/>
      <c r="C6" s="702"/>
      <c r="D6" s="703"/>
      <c r="E6" s="704"/>
      <c r="F6" s="705"/>
      <c r="G6" s="705"/>
      <c r="H6" s="705"/>
      <c r="I6" s="706"/>
      <c r="J6" s="707"/>
      <c r="K6" s="707"/>
      <c r="L6" s="708"/>
      <c r="M6" s="704"/>
      <c r="N6" s="704"/>
      <c r="O6" s="704"/>
      <c r="P6" s="686"/>
      <c r="Q6" s="686"/>
      <c r="R6" s="694"/>
      <c r="S6" s="694"/>
      <c r="T6" s="694"/>
      <c r="U6" s="694"/>
      <c r="V6" s="694"/>
      <c r="W6" s="694"/>
      <c r="X6" s="694"/>
      <c r="Y6" s="694"/>
      <c r="Z6" s="694"/>
      <c r="AA6" s="694"/>
      <c r="AB6" s="694"/>
    </row>
    <row r="7" spans="1:28" s="695" customFormat="1" ht="18" customHeight="1" thickBot="1">
      <c r="A7" s="686"/>
      <c r="B7" s="709" t="s">
        <v>939</v>
      </c>
      <c r="C7" s="710"/>
      <c r="D7" s="711"/>
      <c r="E7" s="710"/>
      <c r="F7" s="710"/>
      <c r="G7" s="710"/>
      <c r="H7" s="712"/>
      <c r="I7" s="713"/>
      <c r="J7" s="713"/>
      <c r="K7" s="713"/>
      <c r="L7" s="714" t="s">
        <v>940</v>
      </c>
      <c r="M7" s="710"/>
      <c r="N7" s="710"/>
      <c r="O7" s="715"/>
      <c r="P7" s="686"/>
      <c r="Q7" s="686"/>
      <c r="R7" s="716" t="s">
        <v>941</v>
      </c>
      <c r="S7" s="694"/>
      <c r="T7" s="694"/>
      <c r="U7" s="716" t="s">
        <v>942</v>
      </c>
      <c r="V7" s="694"/>
      <c r="W7" s="694"/>
      <c r="X7" s="694"/>
      <c r="Y7" s="694"/>
      <c r="Z7" s="694"/>
      <c r="AA7" s="694"/>
      <c r="AB7" s="694"/>
    </row>
    <row r="8" spans="1:28" s="695" customFormat="1" ht="18" customHeight="1">
      <c r="A8" s="686"/>
      <c r="B8" s="717" t="s">
        <v>943</v>
      </c>
      <c r="C8" s="718"/>
      <c r="D8" s="719">
        <f>メイン!H11</f>
        <v>0</v>
      </c>
      <c r="E8" s="718"/>
      <c r="F8" s="718"/>
      <c r="G8" s="720"/>
      <c r="H8" s="721" t="s">
        <v>944</v>
      </c>
      <c r="I8" s="722"/>
      <c r="J8" s="723" t="str">
        <f>メイン!H22</f>
        <v>地上12F</v>
      </c>
      <c r="K8" s="724"/>
      <c r="L8" s="725"/>
      <c r="M8" s="726"/>
      <c r="N8" s="726"/>
      <c r="O8" s="727"/>
      <c r="P8" s="686"/>
      <c r="Q8" s="686"/>
      <c r="R8" s="728" t="s">
        <v>427</v>
      </c>
      <c r="S8" s="728" t="e">
        <f>スコア表示!AO8</f>
        <v>#DIV/0!</v>
      </c>
      <c r="T8" s="694"/>
      <c r="U8" s="729"/>
      <c r="V8" s="729" t="s">
        <v>945</v>
      </c>
      <c r="W8" s="730" t="s">
        <v>428</v>
      </c>
      <c r="X8" s="730">
        <v>4</v>
      </c>
      <c r="Y8" s="730">
        <v>2</v>
      </c>
      <c r="Z8" s="731" t="s">
        <v>429</v>
      </c>
      <c r="AA8" s="732" t="s">
        <v>430</v>
      </c>
      <c r="AB8" s="694"/>
    </row>
    <row r="9" spans="1:28" s="695" customFormat="1" ht="18" customHeight="1">
      <c r="A9" s="686"/>
      <c r="B9" s="733" t="s">
        <v>946</v>
      </c>
      <c r="C9" s="734"/>
      <c r="D9" s="735">
        <f>メイン!H12</f>
        <v>0</v>
      </c>
      <c r="E9" s="734"/>
      <c r="F9" s="736"/>
      <c r="H9" s="737" t="s">
        <v>947</v>
      </c>
      <c r="I9" s="738"/>
      <c r="J9" s="739" t="str">
        <f>メイン!H23</f>
        <v>S造</v>
      </c>
      <c r="K9" s="740"/>
      <c r="L9" s="741"/>
      <c r="O9" s="742"/>
      <c r="P9" s="686"/>
      <c r="Q9" s="686"/>
      <c r="R9" s="728" t="s">
        <v>431</v>
      </c>
      <c r="S9" s="728" t="e">
        <f>スコア表示!AO116</f>
        <v>#VALUE!</v>
      </c>
      <c r="U9" s="743" t="s">
        <v>432</v>
      </c>
      <c r="V9" s="729" t="s">
        <v>433</v>
      </c>
      <c r="W9" s="730">
        <v>5</v>
      </c>
      <c r="X9" s="730">
        <v>4</v>
      </c>
      <c r="Y9" s="730">
        <v>2</v>
      </c>
      <c r="Z9" s="744" t="e">
        <f>V45</f>
        <v>#DIV/0!</v>
      </c>
      <c r="AA9" s="732">
        <v>3</v>
      </c>
    </row>
    <row r="10" spans="1:28" s="695" customFormat="1" ht="18" customHeight="1">
      <c r="A10" s="686"/>
      <c r="B10" s="733" t="s">
        <v>948</v>
      </c>
      <c r="C10" s="745"/>
      <c r="D10" s="735">
        <f>メイン!H14</f>
        <v>0</v>
      </c>
      <c r="E10" s="745"/>
      <c r="F10" s="745"/>
      <c r="H10" s="721" t="s">
        <v>949</v>
      </c>
      <c r="I10" s="722"/>
      <c r="J10" s="746">
        <f>メイン!H24</f>
        <v>0</v>
      </c>
      <c r="K10" s="736" t="s">
        <v>950</v>
      </c>
      <c r="L10" s="747"/>
      <c r="N10" s="748"/>
      <c r="O10" s="749"/>
      <c r="P10" s="686"/>
      <c r="Q10" s="686"/>
      <c r="R10" s="731" t="s">
        <v>951</v>
      </c>
      <c r="S10" s="750" t="e">
        <f>25*(S8-1)</f>
        <v>#DIV/0!</v>
      </c>
      <c r="U10" s="743" t="s">
        <v>952</v>
      </c>
      <c r="V10" s="751" t="s">
        <v>953</v>
      </c>
      <c r="W10" s="730">
        <v>5</v>
      </c>
      <c r="X10" s="730">
        <v>4</v>
      </c>
      <c r="Y10" s="730">
        <v>2</v>
      </c>
      <c r="Z10" s="744" t="e">
        <f>Y45</f>
        <v>#DIV/0!</v>
      </c>
      <c r="AA10" s="732">
        <v>3</v>
      </c>
    </row>
    <row r="11" spans="1:28" s="695" customFormat="1" ht="18" customHeight="1">
      <c r="A11" s="686"/>
      <c r="B11" s="752" t="s">
        <v>434</v>
      </c>
      <c r="C11" s="718"/>
      <c r="D11" s="753" t="str">
        <f>IF(メイン!H13="","",メイン!H13)</f>
        <v>６地域</v>
      </c>
      <c r="E11" s="718"/>
      <c r="F11" s="754"/>
      <c r="G11" s="720"/>
      <c r="H11" s="737" t="s">
        <v>954</v>
      </c>
      <c r="I11" s="738"/>
      <c r="J11" s="755">
        <f>メイン!H25</f>
        <v>0</v>
      </c>
      <c r="K11" s="756" t="s">
        <v>955</v>
      </c>
      <c r="L11" s="747"/>
      <c r="M11" s="757" t="s">
        <v>956</v>
      </c>
      <c r="N11" s="748"/>
      <c r="O11" s="749"/>
      <c r="P11" s="686"/>
      <c r="Q11" s="686"/>
      <c r="R11" s="731" t="s">
        <v>957</v>
      </c>
      <c r="S11" s="750" t="e">
        <f>25*(5-S9)</f>
        <v>#VALUE!</v>
      </c>
      <c r="U11" s="743" t="s">
        <v>958</v>
      </c>
      <c r="V11" s="758" t="s">
        <v>567</v>
      </c>
      <c r="W11" s="730">
        <v>5</v>
      </c>
      <c r="X11" s="730">
        <v>4</v>
      </c>
      <c r="Y11" s="730">
        <v>2</v>
      </c>
      <c r="Z11" s="744" t="e">
        <f>Y56</f>
        <v>#DIV/0!</v>
      </c>
      <c r="AA11" s="732">
        <v>3</v>
      </c>
    </row>
    <row r="12" spans="1:28" s="695" customFormat="1" ht="18" customHeight="1">
      <c r="A12" s="686"/>
      <c r="B12" s="759" t="s">
        <v>959</v>
      </c>
      <c r="C12" s="760"/>
      <c r="D12" s="761" t="str">
        <f>メイン!H21</f>
        <v/>
      </c>
      <c r="E12" s="760"/>
      <c r="F12" s="760"/>
      <c r="G12" s="762"/>
      <c r="H12" s="763" t="s">
        <v>960</v>
      </c>
      <c r="I12" s="764"/>
      <c r="J12" s="765">
        <f>メイン!H26</f>
        <v>0</v>
      </c>
      <c r="K12" s="766" t="s">
        <v>961</v>
      </c>
      <c r="L12" s="747"/>
      <c r="M12" s="767" t="s">
        <v>962</v>
      </c>
      <c r="N12" s="748"/>
      <c r="O12" s="749"/>
      <c r="P12" s="686"/>
      <c r="Q12" s="686"/>
      <c r="R12" s="731" t="s">
        <v>963</v>
      </c>
      <c r="S12" s="731" t="e">
        <f>S10/S11</f>
        <v>#DIV/0!</v>
      </c>
      <c r="U12" s="743" t="s">
        <v>964</v>
      </c>
      <c r="V12" s="758" t="s">
        <v>965</v>
      </c>
      <c r="W12" s="730">
        <v>5</v>
      </c>
      <c r="X12" s="730">
        <v>4</v>
      </c>
      <c r="Y12" s="730">
        <v>2</v>
      </c>
      <c r="Z12" s="744" t="e">
        <f>V56</f>
        <v>#DIV/0!</v>
      </c>
      <c r="AA12" s="732">
        <v>3</v>
      </c>
    </row>
    <row r="13" spans="1:28" s="695" customFormat="1" ht="18" customHeight="1">
      <c r="A13" s="686"/>
      <c r="B13" s="768" t="s">
        <v>966</v>
      </c>
      <c r="C13" s="769"/>
      <c r="D13" s="2897">
        <f>メイン!H15</f>
        <v>0</v>
      </c>
      <c r="E13" s="2898"/>
      <c r="F13" s="770">
        <f>メイン!H16</f>
        <v>0</v>
      </c>
      <c r="G13" s="771"/>
      <c r="H13" s="772" t="s">
        <v>967</v>
      </c>
      <c r="I13" s="773"/>
      <c r="J13" s="2871">
        <f>メイン!H37</f>
        <v>0</v>
      </c>
      <c r="K13" s="2872"/>
      <c r="L13" s="747"/>
      <c r="M13" s="767" t="s">
        <v>968</v>
      </c>
      <c r="O13" s="749"/>
      <c r="P13" s="686"/>
      <c r="Q13" s="686"/>
      <c r="R13" s="743" t="s">
        <v>969</v>
      </c>
      <c r="S13" s="774" t="e">
        <f>ROUNDDOWN(S12,1)</f>
        <v>#DIV/0!</v>
      </c>
      <c r="U13" s="743" t="s">
        <v>970</v>
      </c>
      <c r="V13" s="758" t="s">
        <v>971</v>
      </c>
      <c r="W13" s="730">
        <v>5</v>
      </c>
      <c r="X13" s="730">
        <v>4</v>
      </c>
      <c r="Y13" s="730">
        <v>2</v>
      </c>
      <c r="Z13" s="744" t="e">
        <f>S56</f>
        <v>#VALUE!</v>
      </c>
      <c r="AA13" s="732">
        <v>3</v>
      </c>
    </row>
    <row r="14" spans="1:28" s="695" customFormat="1" ht="18" customHeight="1">
      <c r="A14" s="686"/>
      <c r="B14" s="752" t="s">
        <v>972</v>
      </c>
      <c r="C14" s="775"/>
      <c r="D14" s="2902">
        <f>メイン!C15</f>
        <v>0</v>
      </c>
      <c r="E14" s="2903"/>
      <c r="F14" s="777"/>
      <c r="G14" s="720"/>
      <c r="H14" s="721" t="s">
        <v>973</v>
      </c>
      <c r="I14" s="778"/>
      <c r="J14" s="779">
        <f>メイン!H39</f>
        <v>0</v>
      </c>
      <c r="K14" s="780"/>
      <c r="L14" s="747"/>
      <c r="O14" s="749"/>
      <c r="P14" s="686"/>
      <c r="Q14" s="686"/>
      <c r="S14" s="781"/>
      <c r="U14" s="743" t="s">
        <v>974</v>
      </c>
      <c r="V14" s="751" t="s">
        <v>975</v>
      </c>
      <c r="W14" s="730">
        <v>5</v>
      </c>
      <c r="X14" s="730">
        <v>4</v>
      </c>
      <c r="Y14" s="730">
        <v>2</v>
      </c>
      <c r="Z14" s="744" t="e">
        <f>IF(S45=0,1,S45)</f>
        <v>#DIV/0!</v>
      </c>
      <c r="AA14" s="732">
        <v>3</v>
      </c>
    </row>
    <row r="15" spans="1:28" s="695" customFormat="1" ht="18" customHeight="1">
      <c r="A15" s="686"/>
      <c r="B15" s="721" t="s">
        <v>976</v>
      </c>
      <c r="C15" s="782"/>
      <c r="D15" s="783"/>
      <c r="E15" s="784">
        <f>メイン!H17</f>
        <v>0</v>
      </c>
      <c r="F15" s="785" t="s">
        <v>977</v>
      </c>
      <c r="H15" s="721" t="s">
        <v>978</v>
      </c>
      <c r="I15" s="778"/>
      <c r="J15" s="786">
        <f>メイン!H40</f>
        <v>0</v>
      </c>
      <c r="K15" s="787"/>
      <c r="L15" s="747"/>
      <c r="M15" s="748"/>
      <c r="N15" s="748"/>
      <c r="O15" s="749"/>
      <c r="P15" s="686"/>
      <c r="Q15" s="686"/>
      <c r="R15" s="731" t="s">
        <v>979</v>
      </c>
      <c r="S15" s="788" t="e">
        <f>IF(AND($S$10&gt;=50,$S$12&gt;=3),1,IF(S13&lt;0.5,1,IF(S13&lt;1,2,IF(S13&lt;1.5,3,IF(S13&lt;3,4,4))))/5)</f>
        <v>#DIV/0!</v>
      </c>
      <c r="V15" s="789"/>
      <c r="Z15" s="789"/>
    </row>
    <row r="16" spans="1:28" s="695" customFormat="1" ht="18" customHeight="1" thickBot="1">
      <c r="A16" s="686"/>
      <c r="B16" s="721" t="s">
        <v>980</v>
      </c>
      <c r="C16" s="782"/>
      <c r="D16" s="783"/>
      <c r="E16" s="784">
        <f>メイン!H18</f>
        <v>0</v>
      </c>
      <c r="F16" s="785" t="s">
        <v>981</v>
      </c>
      <c r="H16" s="721" t="s">
        <v>982</v>
      </c>
      <c r="J16" s="790">
        <f>メイン!H41</f>
        <v>0</v>
      </c>
      <c r="L16" s="791"/>
      <c r="M16" s="792"/>
      <c r="N16" s="792"/>
      <c r="O16" s="793"/>
      <c r="P16" s="686"/>
      <c r="Q16" s="686"/>
      <c r="R16" s="731" t="s">
        <v>983</v>
      </c>
      <c r="S16" s="788" t="e">
        <f>1-S15</f>
        <v>#DIV/0!</v>
      </c>
      <c r="T16" s="789"/>
      <c r="U16" s="794"/>
      <c r="V16" s="789"/>
      <c r="W16" s="789"/>
      <c r="X16" s="789"/>
      <c r="Y16" s="789"/>
      <c r="Z16" s="789"/>
      <c r="AA16" s="789"/>
      <c r="AB16" s="789"/>
    </row>
    <row r="17" spans="1:28" s="695" customFormat="1" ht="18" customHeight="1">
      <c r="A17" s="686"/>
      <c r="B17" s="737" t="s">
        <v>984</v>
      </c>
      <c r="C17" s="795"/>
      <c r="D17" s="796"/>
      <c r="E17" s="797">
        <f>メイン!H19</f>
        <v>0</v>
      </c>
      <c r="F17" s="798" t="s">
        <v>977</v>
      </c>
      <c r="G17" s="720"/>
      <c r="H17" s="737" t="s">
        <v>985</v>
      </c>
      <c r="I17" s="799"/>
      <c r="J17" s="800">
        <f>メイン!H42</f>
        <v>0</v>
      </c>
      <c r="K17" s="799"/>
      <c r="L17" s="801" t="s">
        <v>986</v>
      </c>
      <c r="M17" s="802" t="s">
        <v>987</v>
      </c>
      <c r="N17" s="512" t="str">
        <f>IF(メイン!H33=0,"",メイン!H33)</f>
        <v/>
      </c>
      <c r="O17" s="803"/>
      <c r="P17" s="686"/>
      <c r="Q17" s="686"/>
      <c r="R17" s="789"/>
      <c r="S17" s="789"/>
      <c r="T17" s="789"/>
      <c r="U17" s="789"/>
      <c r="V17" s="789"/>
      <c r="W17" s="789"/>
      <c r="X17" s="789"/>
      <c r="Y17" s="789"/>
      <c r="Z17" s="789"/>
      <c r="AA17" s="789"/>
      <c r="AB17" s="789"/>
    </row>
    <row r="18" spans="1:28" s="695" customFormat="1" ht="18" customHeight="1">
      <c r="A18" s="686"/>
      <c r="B18" s="763" t="s">
        <v>988</v>
      </c>
      <c r="C18" s="804"/>
      <c r="D18" s="2873" t="str">
        <f>IF(メイン!H27=0,"",メイン!H27)</f>
        <v/>
      </c>
      <c r="E18" s="2874"/>
      <c r="F18" s="2874"/>
      <c r="G18" s="2875"/>
      <c r="H18" s="763" t="s">
        <v>989</v>
      </c>
      <c r="I18" s="804"/>
      <c r="J18" s="2873" t="str">
        <f>IF(メイン!C27=0,"",メイン!C27)</f>
        <v/>
      </c>
      <c r="K18" s="2882"/>
      <c r="L18" s="805"/>
      <c r="M18" s="802" t="s">
        <v>990</v>
      </c>
      <c r="N18" s="512" t="str">
        <f>IF(メイン!H34=0,"",メイン!H34)</f>
        <v/>
      </c>
      <c r="O18" s="806"/>
      <c r="P18" s="686"/>
      <c r="Q18" s="686"/>
      <c r="R18" s="807"/>
      <c r="S18" s="808"/>
      <c r="T18" s="789"/>
      <c r="U18" s="789"/>
      <c r="V18" s="808"/>
      <c r="W18" s="809"/>
      <c r="X18" s="789"/>
      <c r="Y18" s="789"/>
      <c r="Z18" s="789"/>
      <c r="AA18" s="789"/>
      <c r="AB18" s="789"/>
    </row>
    <row r="19" spans="1:28" s="695" customFormat="1" ht="18" customHeight="1">
      <c r="A19" s="686"/>
      <c r="B19" s="741"/>
      <c r="C19" s="734"/>
      <c r="D19" s="2876"/>
      <c r="E19" s="2877"/>
      <c r="F19" s="2877"/>
      <c r="G19" s="2878"/>
      <c r="H19" s="741"/>
      <c r="J19" s="2876"/>
      <c r="K19" s="2883"/>
      <c r="L19" s="805"/>
      <c r="M19" s="802" t="s">
        <v>991</v>
      </c>
      <c r="N19" s="512" t="str">
        <f>IF(メイン!H35=0,"",メイン!H35)</f>
        <v/>
      </c>
      <c r="O19" s="806"/>
      <c r="P19" s="686"/>
      <c r="Q19" s="686"/>
      <c r="R19" s="807"/>
      <c r="S19" s="808"/>
      <c r="T19" s="789"/>
      <c r="U19" s="789"/>
      <c r="V19" s="808"/>
      <c r="W19" s="809"/>
      <c r="X19" s="789"/>
      <c r="Y19" s="789"/>
      <c r="Z19" s="789"/>
      <c r="AA19" s="789"/>
      <c r="AB19" s="789"/>
    </row>
    <row r="20" spans="1:28" s="695" customFormat="1" ht="18" customHeight="1" thickBot="1">
      <c r="A20" s="686"/>
      <c r="B20" s="810"/>
      <c r="C20" s="811"/>
      <c r="D20" s="2879"/>
      <c r="E20" s="2880"/>
      <c r="F20" s="2880"/>
      <c r="G20" s="2881"/>
      <c r="H20" s="810"/>
      <c r="I20" s="812"/>
      <c r="J20" s="2879"/>
      <c r="K20" s="2884"/>
      <c r="L20" s="813"/>
      <c r="M20" s="814" t="s">
        <v>992</v>
      </c>
      <c r="N20" s="815" t="str">
        <f>IF(メイン!H36=0,"",メイン!H36)</f>
        <v/>
      </c>
      <c r="O20" s="816"/>
      <c r="P20" s="686"/>
      <c r="Q20" s="686"/>
      <c r="R20" s="807"/>
      <c r="S20" s="808"/>
      <c r="T20" s="789"/>
      <c r="U20" s="789"/>
      <c r="V20" s="808"/>
      <c r="W20" s="809"/>
      <c r="X20" s="789"/>
      <c r="Y20" s="789"/>
      <c r="Z20" s="789"/>
      <c r="AA20" s="789"/>
      <c r="AB20" s="789"/>
    </row>
    <row r="21" spans="1:28" s="695" customFormat="1" ht="7.5" customHeight="1" thickBot="1">
      <c r="A21" s="686"/>
      <c r="B21" s="817"/>
      <c r="C21" s="818"/>
      <c r="D21" s="817"/>
      <c r="E21" s="819"/>
      <c r="F21" s="819"/>
      <c r="G21" s="819"/>
      <c r="H21" s="819"/>
      <c r="I21" s="820"/>
      <c r="J21" s="821"/>
      <c r="K21" s="822"/>
      <c r="L21" s="819"/>
      <c r="M21" s="819"/>
      <c r="N21" s="819"/>
      <c r="O21" s="819"/>
      <c r="P21" s="686"/>
      <c r="Q21" s="686"/>
      <c r="R21" s="807"/>
      <c r="S21" s="808"/>
      <c r="T21" s="789"/>
      <c r="U21" s="789"/>
      <c r="V21" s="808"/>
      <c r="W21" s="809"/>
      <c r="X21" s="789"/>
      <c r="Y21" s="789"/>
      <c r="Z21" s="789"/>
      <c r="AA21" s="789"/>
      <c r="AB21" s="789"/>
    </row>
    <row r="22" spans="1:28" s="695" customFormat="1" ht="19.5" thickBot="1">
      <c r="A22" s="686"/>
      <c r="B22" s="823" t="s">
        <v>993</v>
      </c>
      <c r="C22" s="824"/>
      <c r="D22" s="825"/>
      <c r="E22" s="826"/>
      <c r="F22" s="826"/>
      <c r="G22" s="826"/>
      <c r="H22" s="714" t="s">
        <v>333</v>
      </c>
      <c r="I22" s="828"/>
      <c r="J22" s="829"/>
      <c r="K22" s="829"/>
      <c r="L22" s="827" t="s">
        <v>334</v>
      </c>
      <c r="M22" s="828"/>
      <c r="N22" s="829"/>
      <c r="O22" s="830"/>
      <c r="P22" s="686"/>
      <c r="Q22" s="686"/>
      <c r="R22" s="731" t="s">
        <v>994</v>
      </c>
      <c r="S22" s="729" t="s">
        <v>995</v>
      </c>
      <c r="T22" s="729" t="s">
        <v>996</v>
      </c>
      <c r="U22" s="729" t="s">
        <v>997</v>
      </c>
      <c r="AB22" s="789"/>
    </row>
    <row r="23" spans="1:28" s="695" customFormat="1" ht="15" customHeight="1">
      <c r="A23" s="686"/>
      <c r="B23" s="741"/>
      <c r="H23" s="831"/>
      <c r="I23" s="832"/>
      <c r="J23" s="832"/>
      <c r="K23" s="832"/>
      <c r="L23" s="833"/>
      <c r="M23" s="834"/>
      <c r="O23" s="835"/>
      <c r="R23" s="731" t="s">
        <v>998</v>
      </c>
      <c r="S23" s="836"/>
      <c r="T23" s="836" t="e">
        <f>S11</f>
        <v>#VALUE!</v>
      </c>
      <c r="U23" s="836">
        <v>0</v>
      </c>
      <c r="V23" s="789"/>
      <c r="W23" s="729" t="s">
        <v>999</v>
      </c>
      <c r="X23" s="729"/>
      <c r="Y23" s="789"/>
      <c r="Z23" s="729" t="s">
        <v>1000</v>
      </c>
      <c r="AA23" s="729"/>
      <c r="AB23" s="789"/>
    </row>
    <row r="24" spans="1:28" s="695" customFormat="1" ht="15" customHeight="1">
      <c r="A24" s="686"/>
      <c r="B24" s="741"/>
      <c r="C24" s="781" t="e">
        <f>S13</f>
        <v>#DIV/0!</v>
      </c>
      <c r="H24" s="837"/>
      <c r="I24" s="832"/>
      <c r="J24" s="832"/>
      <c r="K24" s="832"/>
      <c r="L24" s="833"/>
      <c r="M24" s="834"/>
      <c r="N24" s="838"/>
      <c r="O24" s="839"/>
      <c r="R24" s="731" t="s">
        <v>1001</v>
      </c>
      <c r="S24" s="836"/>
      <c r="T24" s="836" t="e">
        <f>S10</f>
        <v>#DIV/0!</v>
      </c>
      <c r="U24" s="836">
        <v>0</v>
      </c>
      <c r="V24" s="789"/>
      <c r="W24" s="744">
        <v>50</v>
      </c>
      <c r="X24" s="744">
        <v>50</v>
      </c>
      <c r="Y24" s="789"/>
      <c r="Z24" s="744">
        <v>0</v>
      </c>
      <c r="AA24" s="744">
        <v>100</v>
      </c>
      <c r="AB24" s="789"/>
    </row>
    <row r="25" spans="1:28" s="695" customFormat="1" ht="15" customHeight="1">
      <c r="A25" s="686"/>
      <c r="B25" s="741"/>
      <c r="H25" s="837"/>
      <c r="I25" s="832"/>
      <c r="J25" s="832"/>
      <c r="K25" s="832"/>
      <c r="L25" s="833"/>
      <c r="N25" s="838"/>
      <c r="O25" s="839"/>
      <c r="R25" s="744">
        <v>0</v>
      </c>
      <c r="S25" s="840" t="e">
        <f>T23</f>
        <v>#VALUE!</v>
      </c>
      <c r="T25" s="840" t="e">
        <f>T23</f>
        <v>#VALUE!</v>
      </c>
      <c r="U25" s="840">
        <v>0.1</v>
      </c>
      <c r="V25" s="789"/>
      <c r="W25" s="744">
        <v>0</v>
      </c>
      <c r="X25" s="744">
        <v>100</v>
      </c>
      <c r="Y25" s="789"/>
      <c r="Z25" s="744">
        <v>50</v>
      </c>
      <c r="AA25" s="744">
        <v>50</v>
      </c>
      <c r="AB25" s="789"/>
    </row>
    <row r="26" spans="1:28" s="695" customFormat="1" ht="15" customHeight="1">
      <c r="A26" s="686"/>
      <c r="B26" s="841"/>
      <c r="C26" s="842"/>
      <c r="D26" s="842"/>
      <c r="E26" s="842"/>
      <c r="F26" s="842"/>
      <c r="G26" s="843"/>
      <c r="H26" s="844"/>
      <c r="I26" s="832"/>
      <c r="J26" s="726"/>
      <c r="K26" s="832"/>
      <c r="L26" s="833"/>
      <c r="M26" s="834"/>
      <c r="N26" s="838"/>
      <c r="O26" s="839"/>
      <c r="R26" s="744">
        <v>0</v>
      </c>
      <c r="S26" s="840">
        <v>0</v>
      </c>
      <c r="T26" s="840" t="e">
        <f>T24</f>
        <v>#DIV/0!</v>
      </c>
      <c r="U26" s="840" t="e">
        <f>T24</f>
        <v>#DIV/0!</v>
      </c>
      <c r="V26" s="789"/>
      <c r="W26" s="789"/>
      <c r="X26" s="789"/>
      <c r="Y26" s="789"/>
      <c r="Z26" s="789"/>
      <c r="AA26" s="789"/>
      <c r="AB26" s="789"/>
    </row>
    <row r="27" spans="1:28" s="695" customFormat="1" ht="15" customHeight="1">
      <c r="A27" s="686"/>
      <c r="B27" s="741"/>
      <c r="H27" s="2100" t="str">
        <f>U35</f>
        <v>標準計算</v>
      </c>
      <c r="I27" s="1813"/>
      <c r="J27" s="1813"/>
      <c r="K27" s="1820"/>
      <c r="L27" s="833"/>
      <c r="N27" s="838"/>
      <c r="O27" s="839"/>
      <c r="V27" s="789"/>
      <c r="W27" s="789"/>
      <c r="X27" s="789"/>
      <c r="Y27" s="789"/>
      <c r="Z27" s="789"/>
      <c r="AA27" s="789"/>
      <c r="AB27" s="789"/>
    </row>
    <row r="28" spans="1:28" s="695" customFormat="1" ht="15" customHeight="1">
      <c r="A28" s="686"/>
      <c r="B28" s="741"/>
      <c r="H28" s="2102"/>
      <c r="I28" s="846"/>
      <c r="J28" s="847"/>
      <c r="K28" s="1814"/>
      <c r="L28" s="833"/>
      <c r="N28" s="838"/>
      <c r="O28" s="839"/>
      <c r="R28" s="849" t="s">
        <v>1002</v>
      </c>
      <c r="S28" s="729" t="s">
        <v>1003</v>
      </c>
      <c r="T28" s="850">
        <v>0</v>
      </c>
      <c r="U28" s="850">
        <f>100/6</f>
        <v>16.666666666666668</v>
      </c>
      <c r="V28" s="851">
        <f>U28*2</f>
        <v>33.333333333333336</v>
      </c>
      <c r="W28" s="850">
        <f>U28*3</f>
        <v>50</v>
      </c>
      <c r="X28" s="850">
        <f>U28*4</f>
        <v>66.666666666666671</v>
      </c>
      <c r="Y28" s="850">
        <f>U28*5</f>
        <v>83.333333333333343</v>
      </c>
      <c r="Z28" s="850">
        <v>100</v>
      </c>
      <c r="AA28" s="789"/>
      <c r="AB28" s="789"/>
    </row>
    <row r="29" spans="1:28" s="695" customFormat="1" ht="15" customHeight="1">
      <c r="A29" s="686"/>
      <c r="B29" s="741"/>
      <c r="H29" s="2102"/>
      <c r="I29" s="846"/>
      <c r="J29" s="847"/>
      <c r="K29" s="848"/>
      <c r="L29" s="833"/>
      <c r="N29" s="838"/>
      <c r="O29" s="839"/>
      <c r="R29" s="849"/>
      <c r="S29" s="729" t="s">
        <v>1004</v>
      </c>
      <c r="T29" s="850">
        <v>100</v>
      </c>
      <c r="U29" s="850">
        <v>100</v>
      </c>
      <c r="V29" s="850">
        <v>100</v>
      </c>
      <c r="W29" s="850">
        <v>100</v>
      </c>
      <c r="X29" s="850">
        <v>100</v>
      </c>
      <c r="Y29" s="850">
        <v>100</v>
      </c>
      <c r="Z29" s="850">
        <v>100</v>
      </c>
      <c r="AA29" s="789"/>
      <c r="AB29" s="789"/>
    </row>
    <row r="30" spans="1:28" s="695" customFormat="1" ht="15" customHeight="1">
      <c r="A30" s="686"/>
      <c r="B30" s="741"/>
      <c r="H30" s="2102"/>
      <c r="I30" s="846"/>
      <c r="J30" s="847"/>
      <c r="K30" s="1811"/>
      <c r="L30" s="852"/>
      <c r="M30" s="853"/>
      <c r="N30" s="854"/>
      <c r="O30" s="855"/>
      <c r="R30" s="849">
        <v>3</v>
      </c>
      <c r="S30" s="729" t="s">
        <v>1005</v>
      </c>
      <c r="T30" s="850">
        <v>50</v>
      </c>
      <c r="U30" s="850">
        <f t="shared" ref="U30:V33" si="0">U$28*$R30</f>
        <v>50</v>
      </c>
      <c r="V30" s="850">
        <f t="shared" si="0"/>
        <v>100</v>
      </c>
      <c r="W30" s="850">
        <v>100</v>
      </c>
      <c r="X30" s="850">
        <v>100</v>
      </c>
      <c r="Y30" s="850">
        <v>100</v>
      </c>
      <c r="Z30" s="850">
        <v>100</v>
      </c>
      <c r="AA30" s="789"/>
      <c r="AB30" s="789"/>
    </row>
    <row r="31" spans="1:28" s="695" customFormat="1" ht="15" customHeight="1">
      <c r="A31" s="686"/>
      <c r="B31" s="741"/>
      <c r="H31" s="2102"/>
      <c r="I31" s="846"/>
      <c r="J31" s="847"/>
      <c r="K31" s="1811"/>
      <c r="L31" s="845"/>
      <c r="M31" s="846"/>
      <c r="N31" s="847"/>
      <c r="O31" s="1812"/>
      <c r="R31" s="849">
        <v>1.5</v>
      </c>
      <c r="S31" s="729" t="s">
        <v>1006</v>
      </c>
      <c r="T31" s="850">
        <v>0</v>
      </c>
      <c r="U31" s="850">
        <f t="shared" si="0"/>
        <v>25</v>
      </c>
      <c r="V31" s="850">
        <f t="shared" si="0"/>
        <v>50</v>
      </c>
      <c r="W31" s="850">
        <f t="shared" ref="W31:X33" si="1">W$28*$R31</f>
        <v>75</v>
      </c>
      <c r="X31" s="850">
        <f t="shared" si="1"/>
        <v>100</v>
      </c>
      <c r="Y31" s="850">
        <v>100</v>
      </c>
      <c r="Z31" s="850">
        <v>100</v>
      </c>
      <c r="AA31" s="789"/>
      <c r="AB31" s="789"/>
    </row>
    <row r="32" spans="1:28" s="695" customFormat="1" ht="15" customHeight="1">
      <c r="A32" s="686"/>
      <c r="B32" s="741"/>
      <c r="H32" s="2102"/>
      <c r="I32" s="846"/>
      <c r="J32" s="847"/>
      <c r="K32" s="848"/>
      <c r="L32" s="833"/>
      <c r="N32" s="838"/>
      <c r="O32" s="839"/>
      <c r="R32" s="849">
        <v>1</v>
      </c>
      <c r="S32" s="729" t="s">
        <v>1007</v>
      </c>
      <c r="T32" s="850">
        <v>0</v>
      </c>
      <c r="U32" s="850">
        <f t="shared" si="0"/>
        <v>16.666666666666668</v>
      </c>
      <c r="V32" s="850">
        <f t="shared" si="0"/>
        <v>33.333333333333336</v>
      </c>
      <c r="W32" s="850">
        <f t="shared" si="1"/>
        <v>50</v>
      </c>
      <c r="X32" s="850">
        <f t="shared" si="1"/>
        <v>66.666666666666671</v>
      </c>
      <c r="Y32" s="850">
        <f>Y$28*$R32</f>
        <v>83.333333333333343</v>
      </c>
      <c r="Z32" s="850">
        <f>Z$28*$R32</f>
        <v>100</v>
      </c>
      <c r="AA32" s="789"/>
      <c r="AB32" s="789"/>
    </row>
    <row r="33" spans="1:30" s="695" customFormat="1" ht="15" customHeight="1">
      <c r="A33" s="686"/>
      <c r="B33" s="741"/>
      <c r="H33" s="2102"/>
      <c r="I33" s="846"/>
      <c r="J33" s="847"/>
      <c r="K33" s="848"/>
      <c r="L33" s="833"/>
      <c r="N33" s="838"/>
      <c r="O33" s="839"/>
      <c r="R33" s="849">
        <v>0.5</v>
      </c>
      <c r="S33" s="729" t="s">
        <v>1008</v>
      </c>
      <c r="T33" s="850">
        <v>0</v>
      </c>
      <c r="U33" s="850">
        <f t="shared" si="0"/>
        <v>8.3333333333333339</v>
      </c>
      <c r="V33" s="850">
        <f t="shared" si="0"/>
        <v>16.666666666666668</v>
      </c>
      <c r="W33" s="850">
        <f t="shared" si="1"/>
        <v>25</v>
      </c>
      <c r="X33" s="850">
        <f t="shared" si="1"/>
        <v>33.333333333333336</v>
      </c>
      <c r="Y33" s="850">
        <f>Y$28*$R33</f>
        <v>41.666666666666671</v>
      </c>
      <c r="Z33" s="850">
        <f>Z$28*$R33</f>
        <v>50</v>
      </c>
      <c r="AA33" s="789"/>
      <c r="AB33" s="789"/>
    </row>
    <row r="34" spans="1:30" s="695" customFormat="1" ht="15" customHeight="1" thickBot="1">
      <c r="A34" s="686"/>
      <c r="B34" s="741"/>
      <c r="H34" s="2103"/>
      <c r="I34" s="832"/>
      <c r="J34" s="832"/>
      <c r="K34" s="832"/>
      <c r="L34" s="833"/>
      <c r="M34" s="834"/>
      <c r="N34" s="838"/>
      <c r="O34" s="839"/>
      <c r="AA34" s="789"/>
      <c r="AB34" s="789"/>
    </row>
    <row r="35" spans="1:30" s="695" customFormat="1" ht="15" customHeight="1" thickBot="1">
      <c r="A35" s="805"/>
      <c r="B35" s="741"/>
      <c r="H35" s="2103"/>
      <c r="I35" s="832"/>
      <c r="J35" s="832"/>
      <c r="K35" s="832"/>
      <c r="L35" s="2913"/>
      <c r="M35" s="2914"/>
      <c r="N35" s="2914"/>
      <c r="O35" s="2915"/>
      <c r="R35" s="731" t="s">
        <v>934</v>
      </c>
      <c r="S35" s="788" t="e">
        <f>IF(T35&lt;=0.3,1,IF(X40&lt;=0.6,0.8,IF(X40&lt;=0.8,0.6,IF(X40&lt;=1,0.4,0.2))))</f>
        <v>#DIV/0!</v>
      </c>
      <c r="T35" s="1815" t="e">
        <f>IF(U35=W35,X41,X42)</f>
        <v>#DIV/0!</v>
      </c>
      <c r="U35" s="858" t="str">
        <f>メイン!C43</f>
        <v>標準計算</v>
      </c>
      <c r="V35" s="1819" t="s">
        <v>119</v>
      </c>
      <c r="W35" s="861" t="s">
        <v>509</v>
      </c>
      <c r="X35" s="861" t="s">
        <v>1839</v>
      </c>
      <c r="AA35" s="789"/>
      <c r="AB35" s="789"/>
    </row>
    <row r="36" spans="1:30" s="695" customFormat="1" ht="15" customHeight="1">
      <c r="A36" s="805"/>
      <c r="B36" s="741"/>
      <c r="H36" s="2885" t="str">
        <f>IF(U35=W35,X35,X36)</f>
        <v>このグラフは，LR3中の「地球温暖化への配慮」の内容を，一般的な建物（参照値）と比べたライフサイクルCO2 排出量の目安で示したものです</v>
      </c>
      <c r="I36" s="2886"/>
      <c r="J36" s="2886"/>
      <c r="K36" s="2887"/>
      <c r="L36" s="2913"/>
      <c r="M36" s="2914"/>
      <c r="N36" s="2914"/>
      <c r="O36" s="2915"/>
      <c r="R36" s="731" t="s">
        <v>983</v>
      </c>
      <c r="S36" s="1816" t="e">
        <f>1-S35</f>
        <v>#DIV/0!</v>
      </c>
      <c r="T36" s="1815"/>
      <c r="U36" s="861" t="s">
        <v>828</v>
      </c>
      <c r="V36" s="1815" t="str">
        <f>IF(U35=W36,V35,"")</f>
        <v/>
      </c>
      <c r="W36" s="861" t="s">
        <v>511</v>
      </c>
      <c r="X36" s="861" t="s">
        <v>1840</v>
      </c>
      <c r="AA36" s="789"/>
      <c r="AB36" s="789"/>
    </row>
    <row r="37" spans="1:30" s="695" customFormat="1" ht="15" customHeight="1">
      <c r="A37" s="805"/>
      <c r="B37" s="741"/>
      <c r="C37" s="862"/>
      <c r="H37" s="2885"/>
      <c r="I37" s="2886"/>
      <c r="J37" s="2886"/>
      <c r="K37" s="2887"/>
      <c r="L37" s="2913"/>
      <c r="M37" s="2914"/>
      <c r="N37" s="2914"/>
      <c r="O37" s="2915"/>
      <c r="AA37" s="789"/>
      <c r="AB37" s="789"/>
    </row>
    <row r="38" spans="1:30" s="695" customFormat="1" ht="15" customHeight="1" thickBot="1">
      <c r="A38" s="805"/>
      <c r="B38" s="810"/>
      <c r="C38" s="812"/>
      <c r="D38" s="812"/>
      <c r="E38" s="812"/>
      <c r="F38" s="812"/>
      <c r="G38" s="812"/>
      <c r="H38" s="2888"/>
      <c r="I38" s="2889"/>
      <c r="J38" s="2889"/>
      <c r="K38" s="2890"/>
      <c r="L38" s="2916"/>
      <c r="M38" s="2917"/>
      <c r="N38" s="2917"/>
      <c r="O38" s="2918"/>
      <c r="R38" s="856" t="s">
        <v>1009</v>
      </c>
      <c r="S38" s="857" t="s">
        <v>1010</v>
      </c>
      <c r="T38" s="857" t="s">
        <v>1011</v>
      </c>
      <c r="U38" s="857" t="s">
        <v>1012</v>
      </c>
      <c r="V38" s="857" t="s">
        <v>700</v>
      </c>
      <c r="W38" s="857" t="s">
        <v>701</v>
      </c>
      <c r="X38" s="857" t="s">
        <v>435</v>
      </c>
      <c r="Y38" s="728" t="s">
        <v>436</v>
      </c>
      <c r="AC38" s="789"/>
      <c r="AD38" s="789"/>
    </row>
    <row r="39" spans="1:30" s="695" customFormat="1" ht="18" customHeight="1" thickBot="1">
      <c r="A39" s="686"/>
      <c r="B39" s="863" t="s">
        <v>1015</v>
      </c>
      <c r="C39" s="864"/>
      <c r="D39" s="865"/>
      <c r="E39" s="864"/>
      <c r="F39" s="864"/>
      <c r="G39" s="864"/>
      <c r="H39" s="866"/>
      <c r="I39" s="867"/>
      <c r="J39" s="864"/>
      <c r="K39" s="864"/>
      <c r="L39" s="864"/>
      <c r="M39" s="868"/>
      <c r="N39" s="868"/>
      <c r="O39" s="869"/>
      <c r="P39" s="686"/>
      <c r="Q39" s="686"/>
      <c r="R39" s="728" t="s">
        <v>437</v>
      </c>
      <c r="S39" s="859" t="e">
        <f>IF($U$35=$W$35,'条件(標準)_後'!D9,'条件(個別)_後'!D9)</f>
        <v>#DIV/0!</v>
      </c>
      <c r="T39" s="859" t="e">
        <f>IF($U$35=$W$35,'条件(標準)_後'!D34,'条件(個別)_後'!D34)</f>
        <v>#DIV/0!</v>
      </c>
      <c r="U39" s="859">
        <f>IF($U$35=$W$35,'条件(標準)_後'!D46,'条件(個別)_後'!D46)</f>
        <v>0</v>
      </c>
      <c r="V39" s="859"/>
      <c r="W39" s="859"/>
      <c r="X39" s="860">
        <v>1</v>
      </c>
      <c r="Y39" s="728" t="e">
        <f>IF(COUNTIF(S39:W39,Z40)&gt;0,Z40,SUM(S39:W39))</f>
        <v>#DIV/0!</v>
      </c>
      <c r="AC39" s="789"/>
      <c r="AD39" s="789"/>
    </row>
    <row r="40" spans="1:30" s="695" customFormat="1" ht="18.75">
      <c r="A40" s="686"/>
      <c r="B40" s="870" t="s">
        <v>1016</v>
      </c>
      <c r="C40" s="871"/>
      <c r="D40" s="871"/>
      <c r="E40" s="872"/>
      <c r="F40" s="871"/>
      <c r="G40" s="871"/>
      <c r="H40" s="871"/>
      <c r="I40" s="871"/>
      <c r="J40" s="871"/>
      <c r="K40" s="873"/>
      <c r="L40" s="874"/>
      <c r="M40" s="875" t="s">
        <v>55</v>
      </c>
      <c r="N40" s="876" t="e">
        <f>スコア表示!U8</f>
        <v>#DIV/0!</v>
      </c>
      <c r="O40" s="877"/>
      <c r="P40" s="686"/>
      <c r="Q40" s="686"/>
      <c r="R40" s="728" t="s">
        <v>450</v>
      </c>
      <c r="S40" s="859" t="e">
        <f>IF($U$35=$W$35,'条件(標準)_後'!E9,'条件(個別)_後'!E9)</f>
        <v>#DIV/0!</v>
      </c>
      <c r="T40" s="859" t="e">
        <f>IF($U$35=$W$35,'条件(標準)_後'!E34,'条件(個別)_後'!E34)</f>
        <v>#DIV/0!</v>
      </c>
      <c r="U40" s="859">
        <f>IF($U$35=$W$35,'条件(標準)_後'!E46,'条件(個別)_後'!E46)</f>
        <v>0</v>
      </c>
      <c r="V40" s="859"/>
      <c r="W40" s="859"/>
      <c r="X40" s="860" t="e">
        <f>IF(Y39=Z40,Z40,Y40/Y39)</f>
        <v>#DIV/0!</v>
      </c>
      <c r="Y40" s="728" t="e">
        <f>IF(COUNTIF(S40:W40,Z41)&gt;0,Z41,SUM(S40:W40))</f>
        <v>#DIV/0!</v>
      </c>
      <c r="Z40" s="695" t="s">
        <v>1013</v>
      </c>
      <c r="AC40" s="789"/>
      <c r="AD40" s="789"/>
    </row>
    <row r="41" spans="1:30" s="695" customFormat="1" ht="15">
      <c r="A41" s="686"/>
      <c r="B41" s="741"/>
      <c r="C41" s="878" t="str">
        <f>スコア表示!B9&amp;" "&amp;スコア表示!D9</f>
        <v>Q1 室内環境</v>
      </c>
      <c r="D41" s="879"/>
      <c r="E41" s="879"/>
      <c r="F41" s="879"/>
      <c r="G41" s="879"/>
      <c r="H41" s="879" t="str">
        <f>"     "&amp;スコア表示!B61&amp;" "&amp;スコア表示!D61</f>
        <v xml:space="preserve">     Q2 サービス性能</v>
      </c>
      <c r="I41" s="879"/>
      <c r="J41" s="805"/>
      <c r="K41" s="805"/>
      <c r="L41" s="880" t="str">
        <f>スコア表示!B109&amp;" "&amp;スコア表示!D109</f>
        <v>Q3 室外環境（敷地内）</v>
      </c>
      <c r="M41" s="880"/>
      <c r="N41" s="805"/>
      <c r="O41" s="881"/>
      <c r="P41" s="686"/>
      <c r="R41" s="728" t="s">
        <v>448</v>
      </c>
      <c r="S41" s="1810"/>
      <c r="T41" s="1810"/>
      <c r="U41" s="1810"/>
      <c r="V41" s="859" t="e">
        <f>IF($U$35=$W$35,'条件(標準)_後'!E9+'条件(標準)_後'!E34+'条件(標準)_後'!E47,'条件(個別)_後'!E9+'条件(個別)_後'!E34+'条件(個別)_後'!E47)</f>
        <v>#DIV/0!</v>
      </c>
      <c r="W41" s="859"/>
      <c r="X41" s="860" t="e">
        <f>IF(Y39=Z41,Z41,Y41/Y39)</f>
        <v>#DIV/0!</v>
      </c>
      <c r="Y41" s="728" t="e">
        <f>IF(COUNTIF(S41:W41,Z42)&gt;0,Z42,SUM(S41:W41))</f>
        <v>#DIV/0!</v>
      </c>
      <c r="Z41" s="695" t="s">
        <v>1013</v>
      </c>
    </row>
    <row r="42" spans="1:30" s="695" customFormat="1" ht="15" customHeight="1">
      <c r="A42" s="686"/>
      <c r="B42" s="741"/>
      <c r="C42" s="882"/>
      <c r="D42" s="883"/>
      <c r="E42" s="884"/>
      <c r="G42" s="879" t="e">
        <f>S45</f>
        <v>#DIV/0!</v>
      </c>
      <c r="I42" s="884"/>
      <c r="K42" s="879" t="e">
        <f>V45</f>
        <v>#DIV/0!</v>
      </c>
      <c r="M42" s="885"/>
      <c r="N42" s="884"/>
      <c r="O42" s="886" t="e">
        <f>Y45</f>
        <v>#DIV/0!</v>
      </c>
      <c r="P42" s="686"/>
      <c r="Q42" s="686"/>
      <c r="R42" s="728" t="s">
        <v>449</v>
      </c>
      <c r="S42" s="1810"/>
      <c r="T42" s="1810"/>
      <c r="U42" s="1810"/>
      <c r="V42" s="1809"/>
      <c r="W42" s="859" t="e">
        <f>IF($U$35=$W$35,'条件(標準)_後'!E9+'条件(標準)_後'!E34+'条件(標準)_後'!E52,'条件(個別)_後'!E9+'条件(個別)_後'!E34+'条件(個別)_後'!E52)</f>
        <v>#DIV/0!</v>
      </c>
      <c r="X42" s="860" t="e">
        <f>IF(Y39=Z42,Z42,Y42/Y39)</f>
        <v>#DIV/0!</v>
      </c>
      <c r="Y42" s="728" t="e">
        <f>IF(COUNTIF(S42:W42,Z42)&gt;0,Z42,SUM(S42:W42))</f>
        <v>#DIV/0!</v>
      </c>
      <c r="Z42" s="695" t="s">
        <v>1013</v>
      </c>
    </row>
    <row r="43" spans="1:30" s="695" customFormat="1" ht="15" customHeight="1">
      <c r="A43" s="686"/>
      <c r="B43" s="741"/>
      <c r="G43" s="705"/>
      <c r="H43" s="705"/>
      <c r="I43" s="706"/>
      <c r="J43" s="706"/>
      <c r="K43" s="705"/>
      <c r="L43" s="805"/>
      <c r="M43" s="805"/>
      <c r="N43" s="805"/>
      <c r="O43" s="881"/>
      <c r="P43" s="686"/>
      <c r="Q43" s="686"/>
      <c r="AA43" s="789"/>
      <c r="AB43" s="789"/>
    </row>
    <row r="44" spans="1:30" s="695" customFormat="1" ht="15" customHeight="1">
      <c r="A44" s="686"/>
      <c r="B44" s="741"/>
      <c r="G44" s="705"/>
      <c r="H44" s="705"/>
      <c r="I44" s="706"/>
      <c r="J44" s="706"/>
      <c r="K44" s="705"/>
      <c r="L44" s="805"/>
      <c r="M44" s="805"/>
      <c r="N44" s="805"/>
      <c r="O44" s="881"/>
      <c r="P44" s="686"/>
      <c r="Q44" s="686"/>
      <c r="R44" s="731"/>
      <c r="S44" s="731" t="s">
        <v>1150</v>
      </c>
      <c r="T44" s="731" t="s">
        <v>56</v>
      </c>
      <c r="U44" s="731"/>
      <c r="V44" s="731" t="s">
        <v>1150</v>
      </c>
      <c r="W44" s="731" t="s">
        <v>56</v>
      </c>
      <c r="X44" s="731"/>
      <c r="Y44" s="731" t="s">
        <v>1150</v>
      </c>
      <c r="Z44" s="731" t="s">
        <v>56</v>
      </c>
      <c r="AA44" s="789"/>
      <c r="AB44" s="789"/>
    </row>
    <row r="45" spans="1:30" s="695" customFormat="1" ht="15" customHeight="1">
      <c r="A45" s="686"/>
      <c r="B45" s="741"/>
      <c r="G45" s="705"/>
      <c r="H45" s="705"/>
      <c r="I45" s="706"/>
      <c r="J45" s="706"/>
      <c r="K45" s="705"/>
      <c r="L45" s="805"/>
      <c r="M45" s="805"/>
      <c r="N45" s="805"/>
      <c r="O45" s="881"/>
      <c r="P45" s="686"/>
      <c r="Q45" s="686"/>
      <c r="R45" s="887" t="s">
        <v>1017</v>
      </c>
      <c r="S45" s="888" t="e">
        <f>スコア表示!U9</f>
        <v>#DIV/0!</v>
      </c>
      <c r="T45" s="888" t="e">
        <f>スコア表示!AO9</f>
        <v>#DIV/0!</v>
      </c>
      <c r="U45" s="729" t="s">
        <v>1018</v>
      </c>
      <c r="V45" s="888" t="e">
        <f>スコア表示!U61</f>
        <v>#DIV/0!</v>
      </c>
      <c r="W45" s="888" t="e">
        <f>スコア表示!AO61</f>
        <v>#DIV/0!</v>
      </c>
      <c r="X45" s="887" t="s">
        <v>1019</v>
      </c>
      <c r="Y45" s="888" t="e">
        <f>スコア表示!U109</f>
        <v>#DIV/0!</v>
      </c>
      <c r="Z45" s="888" t="e">
        <f>スコア表示!AO109</f>
        <v>#DIV/0!</v>
      </c>
      <c r="AA45" s="789"/>
      <c r="AB45" s="789"/>
    </row>
    <row r="46" spans="1:30" s="695" customFormat="1" ht="15" customHeight="1">
      <c r="A46" s="686"/>
      <c r="B46" s="741"/>
      <c r="G46" s="705"/>
      <c r="H46" s="705"/>
      <c r="I46" s="706"/>
      <c r="J46" s="706"/>
      <c r="K46" s="705"/>
      <c r="L46" s="805"/>
      <c r="M46" s="805"/>
      <c r="N46" s="805"/>
      <c r="O46" s="881"/>
      <c r="P46" s="686"/>
      <c r="Q46" s="686"/>
      <c r="AA46" s="789"/>
      <c r="AB46" s="789"/>
    </row>
    <row r="47" spans="1:30" s="695" customFormat="1" ht="15" customHeight="1">
      <c r="A47" s="686"/>
      <c r="B47" s="741"/>
      <c r="G47" s="705"/>
      <c r="H47" s="705"/>
      <c r="I47" s="706"/>
      <c r="J47" s="706"/>
      <c r="K47" s="705"/>
      <c r="L47" s="805"/>
      <c r="M47" s="805"/>
      <c r="N47" s="805"/>
      <c r="O47" s="881"/>
      <c r="P47" s="686"/>
      <c r="Q47" s="686"/>
      <c r="R47" s="731"/>
      <c r="S47" s="731" t="s">
        <v>429</v>
      </c>
      <c r="T47" s="731" t="s">
        <v>438</v>
      </c>
      <c r="U47" s="731"/>
      <c r="V47" s="731" t="s">
        <v>429</v>
      </c>
      <c r="W47" s="731" t="s">
        <v>438</v>
      </c>
      <c r="X47" s="731"/>
      <c r="Y47" s="889" t="s">
        <v>429</v>
      </c>
      <c r="Z47" s="731" t="s">
        <v>438</v>
      </c>
      <c r="AA47" s="789"/>
      <c r="AB47" s="789"/>
    </row>
    <row r="48" spans="1:30" s="695" customFormat="1" ht="15" customHeight="1">
      <c r="A48" s="686"/>
      <c r="B48" s="741"/>
      <c r="G48" s="891"/>
      <c r="H48" s="891"/>
      <c r="I48" s="706"/>
      <c r="J48" s="706"/>
      <c r="K48" s="705"/>
      <c r="L48" s="805"/>
      <c r="M48" s="805"/>
      <c r="N48" s="805"/>
      <c r="O48" s="881"/>
      <c r="P48" s="686"/>
      <c r="Q48" s="686"/>
      <c r="R48" s="890" t="s">
        <v>1020</v>
      </c>
      <c r="S48" s="888" t="e">
        <f>スコア表示!U10</f>
        <v>#DIV/0!</v>
      </c>
      <c r="T48" s="731" t="e">
        <f>IF(S48=0,"N.A.","")</f>
        <v>#DIV/0!</v>
      </c>
      <c r="U48" s="729" t="s">
        <v>1021</v>
      </c>
      <c r="V48" s="888" t="e">
        <f>スコア表示!U62</f>
        <v>#DIV/0!</v>
      </c>
      <c r="W48" s="731" t="e">
        <f>IF(V48=0,"N.A.","")</f>
        <v>#DIV/0!</v>
      </c>
      <c r="X48" s="890" t="s">
        <v>1022</v>
      </c>
      <c r="Y48" s="888">
        <f>スコア表示!U110</f>
        <v>3</v>
      </c>
      <c r="Z48" s="731" t="str">
        <f>IF(Y48=0,"N.A.","")</f>
        <v/>
      </c>
      <c r="AA48" s="789"/>
      <c r="AB48" s="789"/>
    </row>
    <row r="49" spans="1:28" s="695" customFormat="1" ht="15" customHeight="1">
      <c r="A49" s="805"/>
      <c r="B49" s="741"/>
      <c r="G49" s="891"/>
      <c r="H49" s="891"/>
      <c r="I49" s="706"/>
      <c r="J49" s="706"/>
      <c r="K49" s="705"/>
      <c r="L49" s="805"/>
      <c r="M49" s="805"/>
      <c r="N49" s="805"/>
      <c r="O49" s="881"/>
      <c r="P49" s="805"/>
      <c r="Q49" s="686"/>
      <c r="R49" s="890" t="s">
        <v>1023</v>
      </c>
      <c r="S49" s="888" t="e">
        <f>スコア表示!U20</f>
        <v>#DIV/0!</v>
      </c>
      <c r="T49" s="731" t="e">
        <f>IF(S49=0,"N.A.","")</f>
        <v>#DIV/0!</v>
      </c>
      <c r="U49" s="729" t="s">
        <v>1137</v>
      </c>
      <c r="V49" s="888" t="e">
        <f>スコア表示!U75</f>
        <v>#DIV/0!</v>
      </c>
      <c r="W49" s="731" t="e">
        <f>IF(V49=0,"N.A.","")</f>
        <v>#DIV/0!</v>
      </c>
      <c r="X49" s="890" t="s">
        <v>1138</v>
      </c>
      <c r="Y49" s="888">
        <f>スコア表示!U111</f>
        <v>3</v>
      </c>
      <c r="Z49" s="731" t="str">
        <f>IF(Y49=0,"N.A.","")</f>
        <v/>
      </c>
      <c r="AA49" s="789"/>
      <c r="AB49" s="789"/>
    </row>
    <row r="50" spans="1:28" s="695" customFormat="1" ht="15" customHeight="1">
      <c r="A50" s="805"/>
      <c r="B50" s="741"/>
      <c r="G50" s="892"/>
      <c r="H50" s="893"/>
      <c r="I50" s="894"/>
      <c r="J50" s="894"/>
      <c r="K50" s="895"/>
      <c r="L50" s="896"/>
      <c r="M50" s="896"/>
      <c r="N50" s="896"/>
      <c r="O50" s="897"/>
      <c r="P50" s="805"/>
      <c r="Q50" s="686"/>
      <c r="R50" s="890" t="s">
        <v>1139</v>
      </c>
      <c r="S50" s="888" t="e">
        <f>スコア表示!U34</f>
        <v>#DIV/0!</v>
      </c>
      <c r="T50" s="731" t="e">
        <f>IF(S50=0,"N.A.","")</f>
        <v>#DIV/0!</v>
      </c>
      <c r="U50" s="729" t="s">
        <v>1140</v>
      </c>
      <c r="V50" s="888" t="e">
        <f>スコア表示!U97</f>
        <v>#DIV/0!</v>
      </c>
      <c r="W50" s="731" t="e">
        <f>IF(V50=0,"N.A.","")</f>
        <v>#DIV/0!</v>
      </c>
      <c r="X50" s="890" t="s">
        <v>1141</v>
      </c>
      <c r="Y50" s="888" t="e">
        <f>スコア表示!U112</f>
        <v>#DIV/0!</v>
      </c>
      <c r="Z50" s="731" t="e">
        <f>IF(Y50=0,"N.A.","")</f>
        <v>#DIV/0!</v>
      </c>
      <c r="AA50" s="789"/>
      <c r="AB50" s="789"/>
    </row>
    <row r="51" spans="1:28" s="695" customFormat="1" ht="18" customHeight="1">
      <c r="A51" s="898"/>
      <c r="B51" s="899" t="s">
        <v>1143</v>
      </c>
      <c r="C51" s="900"/>
      <c r="D51" s="901"/>
      <c r="E51" s="900"/>
      <c r="F51" s="900"/>
      <c r="G51" s="900"/>
      <c r="H51" s="871"/>
      <c r="I51" s="871"/>
      <c r="J51" s="871"/>
      <c r="K51" s="873"/>
      <c r="L51" s="874"/>
      <c r="M51" s="875" t="s">
        <v>1144</v>
      </c>
      <c r="N51" s="902" t="e">
        <f>スコア表示!U116</f>
        <v>#VALUE!</v>
      </c>
      <c r="O51" s="877"/>
      <c r="P51" s="686"/>
      <c r="Q51" s="686"/>
      <c r="R51" s="890" t="s">
        <v>1142</v>
      </c>
      <c r="S51" s="888" t="e">
        <f>スコア表示!U47</f>
        <v>#DIV/0!</v>
      </c>
      <c r="T51" s="731" t="e">
        <f>IF(S51=0,"N.A.","")</f>
        <v>#DIV/0!</v>
      </c>
      <c r="U51" s="789"/>
      <c r="V51" s="789"/>
      <c r="W51" s="789"/>
      <c r="X51" s="789"/>
      <c r="Y51" s="789"/>
      <c r="Z51" s="789"/>
      <c r="AA51" s="789"/>
      <c r="AB51" s="789"/>
    </row>
    <row r="52" spans="1:28" s="695" customFormat="1" ht="15">
      <c r="A52" s="686"/>
      <c r="B52" s="903"/>
      <c r="C52" s="880" t="str">
        <f>スコア表示!B117&amp;" "&amp;スコア表示!D117</f>
        <v>LR1 エネルギー</v>
      </c>
      <c r="D52" s="880"/>
      <c r="E52" s="904"/>
      <c r="F52" s="880"/>
      <c r="G52" s="880"/>
      <c r="H52" s="880" t="str">
        <f>"     "&amp;スコア表示!B140&amp;" "&amp;スコア表示!D140</f>
        <v xml:space="preserve">     LR2 資源・マテリアル</v>
      </c>
      <c r="I52" s="880"/>
      <c r="J52" s="880"/>
      <c r="K52" s="880"/>
      <c r="L52" s="878" t="str">
        <f>スコア表示!B159&amp;" "&amp;スコア表示!D159</f>
        <v>LR3 敷地外環境</v>
      </c>
      <c r="M52" s="880"/>
      <c r="N52" s="880"/>
      <c r="O52" s="905"/>
      <c r="P52" s="686"/>
      <c r="Q52" s="686"/>
      <c r="R52" s="789"/>
      <c r="S52" s="789"/>
      <c r="T52" s="731"/>
      <c r="U52" s="789"/>
      <c r="V52" s="789"/>
      <c r="W52" s="789"/>
      <c r="X52" s="789"/>
      <c r="Y52" s="789"/>
      <c r="Z52" s="789"/>
      <c r="AA52" s="789"/>
      <c r="AB52" s="789"/>
    </row>
    <row r="53" spans="1:28" s="695" customFormat="1" ht="15">
      <c r="A53" s="805"/>
      <c r="B53" s="725"/>
      <c r="C53" s="882"/>
      <c r="D53" s="883"/>
      <c r="E53" s="884"/>
      <c r="G53" s="879" t="e">
        <f>S56</f>
        <v>#VALUE!</v>
      </c>
      <c r="I53" s="884"/>
      <c r="K53" s="879" t="e">
        <f>V56</f>
        <v>#DIV/0!</v>
      </c>
      <c r="L53" s="884"/>
      <c r="N53" s="906"/>
      <c r="O53" s="886" t="e">
        <f>Y56</f>
        <v>#DIV/0!</v>
      </c>
      <c r="P53" s="805"/>
      <c r="Q53" s="686"/>
      <c r="R53" s="789"/>
      <c r="S53" s="789"/>
      <c r="T53" s="789"/>
      <c r="U53" s="789"/>
      <c r="V53" s="789"/>
      <c r="W53" s="789"/>
      <c r="X53" s="789"/>
      <c r="Y53" s="789"/>
      <c r="Z53" s="789"/>
      <c r="AA53" s="789"/>
      <c r="AB53" s="789"/>
    </row>
    <row r="54" spans="1:28" s="695" customFormat="1" ht="14.25">
      <c r="A54" s="805"/>
      <c r="B54" s="725"/>
      <c r="C54" s="907"/>
      <c r="D54" s="907"/>
      <c r="E54" s="908"/>
      <c r="F54" s="892"/>
      <c r="G54" s="892"/>
      <c r="H54" s="892"/>
      <c r="I54" s="706"/>
      <c r="J54" s="706"/>
      <c r="K54" s="705"/>
      <c r="L54" s="705"/>
      <c r="M54" s="726"/>
      <c r="N54" s="726"/>
      <c r="O54" s="727"/>
      <c r="P54" s="805"/>
      <c r="Q54" s="686"/>
      <c r="AA54" s="789"/>
      <c r="AB54" s="789"/>
    </row>
    <row r="55" spans="1:28" s="695" customFormat="1" ht="15.75" customHeight="1">
      <c r="A55" s="686"/>
      <c r="B55" s="725"/>
      <c r="C55" s="726"/>
      <c r="D55" s="910"/>
      <c r="E55" s="704"/>
      <c r="F55" s="705"/>
      <c r="G55" s="705"/>
      <c r="H55" s="705"/>
      <c r="I55" s="911"/>
      <c r="J55" s="706"/>
      <c r="K55" s="705"/>
      <c r="L55" s="705"/>
      <c r="M55" s="726"/>
      <c r="N55" s="726"/>
      <c r="O55" s="727"/>
      <c r="P55" s="686"/>
      <c r="Q55" s="686"/>
      <c r="R55" s="731"/>
      <c r="S55" s="731" t="s">
        <v>1145</v>
      </c>
      <c r="T55" s="731" t="s">
        <v>1146</v>
      </c>
      <c r="U55" s="731"/>
      <c r="V55" s="731" t="s">
        <v>1145</v>
      </c>
      <c r="W55" s="731" t="s">
        <v>1146</v>
      </c>
      <c r="X55" s="731"/>
      <c r="Y55" s="731" t="s">
        <v>1145</v>
      </c>
      <c r="Z55" s="731" t="s">
        <v>1146</v>
      </c>
      <c r="AA55" s="789"/>
      <c r="AB55" s="789"/>
    </row>
    <row r="56" spans="1:28" s="695" customFormat="1" ht="15.75" customHeight="1">
      <c r="A56" s="686"/>
      <c r="B56" s="725"/>
      <c r="C56" s="702"/>
      <c r="D56" s="703"/>
      <c r="E56" s="704"/>
      <c r="F56" s="705"/>
      <c r="G56" s="705"/>
      <c r="H56" s="705"/>
      <c r="I56" s="911"/>
      <c r="J56" s="706"/>
      <c r="K56" s="705"/>
      <c r="L56" s="705"/>
      <c r="M56" s="726"/>
      <c r="N56" s="726"/>
      <c r="O56" s="727"/>
      <c r="P56" s="686"/>
      <c r="Q56" s="686"/>
      <c r="R56" s="729" t="s">
        <v>1147</v>
      </c>
      <c r="S56" s="888" t="e">
        <f>スコア表示!U117</f>
        <v>#VALUE!</v>
      </c>
      <c r="T56" s="888" t="e">
        <f>スコア表示!AO117</f>
        <v>#VALUE!</v>
      </c>
      <c r="U56" s="729" t="s">
        <v>1148</v>
      </c>
      <c r="V56" s="888" t="e">
        <f>スコア表示!U140</f>
        <v>#DIV/0!</v>
      </c>
      <c r="W56" s="888" t="e">
        <f>スコア表示!AO140</f>
        <v>#DIV/0!</v>
      </c>
      <c r="X56" s="729" t="s">
        <v>1149</v>
      </c>
      <c r="Y56" s="888" t="e">
        <f>スコア表示!U159</f>
        <v>#DIV/0!</v>
      </c>
      <c r="Z56" s="888" t="e">
        <f>スコア表示!AO159</f>
        <v>#DIV/0!</v>
      </c>
      <c r="AA56" s="789"/>
      <c r="AB56" s="789"/>
    </row>
    <row r="57" spans="1:28" s="695" customFormat="1" ht="15.75" customHeight="1">
      <c r="A57" s="686"/>
      <c r="B57" s="913"/>
      <c r="C57" s="702"/>
      <c r="D57" s="703"/>
      <c r="E57" s="704"/>
      <c r="F57" s="705"/>
      <c r="G57" s="705"/>
      <c r="H57" s="705"/>
      <c r="I57" s="911"/>
      <c r="J57" s="706"/>
      <c r="K57" s="705"/>
      <c r="L57" s="705"/>
      <c r="M57" s="726"/>
      <c r="N57" s="726"/>
      <c r="O57" s="727"/>
      <c r="P57" s="686"/>
      <c r="Q57" s="686"/>
      <c r="Y57" s="909"/>
      <c r="AA57" s="789"/>
      <c r="AB57" s="789"/>
    </row>
    <row r="58" spans="1:28" s="695" customFormat="1" ht="15.75" customHeight="1">
      <c r="A58" s="686"/>
      <c r="B58" s="913"/>
      <c r="C58" s="702"/>
      <c r="D58" s="703"/>
      <c r="E58" s="704"/>
      <c r="F58" s="705"/>
      <c r="G58" s="705"/>
      <c r="H58" s="705"/>
      <c r="I58" s="911"/>
      <c r="J58" s="706"/>
      <c r="K58" s="705"/>
      <c r="L58" s="705"/>
      <c r="M58" s="726"/>
      <c r="N58" s="726"/>
      <c r="O58" s="727"/>
      <c r="P58" s="686"/>
      <c r="Q58" s="686"/>
      <c r="R58" s="731"/>
      <c r="S58" s="731" t="s">
        <v>1150</v>
      </c>
      <c r="T58" s="731" t="s">
        <v>1151</v>
      </c>
      <c r="U58" s="731"/>
      <c r="V58" s="731" t="s">
        <v>1150</v>
      </c>
      <c r="W58" s="731" t="s">
        <v>1151</v>
      </c>
      <c r="X58" s="731"/>
      <c r="Y58" s="889" t="s">
        <v>1150</v>
      </c>
      <c r="Z58" s="731" t="s">
        <v>1151</v>
      </c>
      <c r="AA58" s="789"/>
      <c r="AB58" s="789"/>
    </row>
    <row r="59" spans="1:28" s="695" customFormat="1" ht="15.75" customHeight="1">
      <c r="A59" s="686"/>
      <c r="B59" s="913"/>
      <c r="C59" s="702"/>
      <c r="D59" s="703"/>
      <c r="E59" s="704"/>
      <c r="F59" s="705"/>
      <c r="G59" s="705"/>
      <c r="H59" s="705"/>
      <c r="I59" s="911"/>
      <c r="J59" s="706"/>
      <c r="K59" s="705"/>
      <c r="L59" s="705"/>
      <c r="M59" s="726"/>
      <c r="N59" s="726"/>
      <c r="O59" s="727"/>
      <c r="P59" s="686"/>
      <c r="Q59" s="686"/>
      <c r="R59" s="729" t="s">
        <v>1152</v>
      </c>
      <c r="S59" s="888" t="e">
        <f>スコア表示!U118</f>
        <v>#VALUE!</v>
      </c>
      <c r="T59" s="731" t="e">
        <f>IF(S59=0,"N.A.","")</f>
        <v>#VALUE!</v>
      </c>
      <c r="U59" s="912" t="s">
        <v>1153</v>
      </c>
      <c r="V59" s="888" t="e">
        <f>スコア表示!U141</f>
        <v>#DIV/0!</v>
      </c>
      <c r="W59" s="731" t="e">
        <f>IF(V59=0,"N.A.","")</f>
        <v>#DIV/0!</v>
      </c>
      <c r="X59" s="729" t="s">
        <v>1154</v>
      </c>
      <c r="Y59" s="888" t="e">
        <f>スコア表示!U160</f>
        <v>#DIV/0!</v>
      </c>
      <c r="Z59" s="731" t="e">
        <f>IF(Y59=0,"N.A.","")</f>
        <v>#DIV/0!</v>
      </c>
      <c r="AA59" s="789"/>
      <c r="AB59" s="789"/>
    </row>
    <row r="60" spans="1:28" s="695" customFormat="1" ht="15.75" customHeight="1">
      <c r="A60" s="686"/>
      <c r="B60" s="913"/>
      <c r="C60" s="702"/>
      <c r="D60" s="703"/>
      <c r="E60" s="704"/>
      <c r="F60" s="705"/>
      <c r="G60" s="705"/>
      <c r="H60" s="705"/>
      <c r="I60" s="911"/>
      <c r="J60" s="706"/>
      <c r="K60" s="705"/>
      <c r="L60" s="705"/>
      <c r="M60" s="726"/>
      <c r="N60" s="726"/>
      <c r="O60" s="727"/>
      <c r="P60" s="686"/>
      <c r="Q60" s="686"/>
      <c r="R60" s="729" t="s">
        <v>1155</v>
      </c>
      <c r="S60" s="888" t="e">
        <f>スコア表示!U119</f>
        <v>#DIV/0!</v>
      </c>
      <c r="T60" s="731" t="e">
        <f>IF(S60=0,"N.A.","")</f>
        <v>#DIV/0!</v>
      </c>
      <c r="U60" s="912" t="s">
        <v>0</v>
      </c>
      <c r="V60" s="888" t="e">
        <f>スコア表示!U146</f>
        <v>#DIV/0!</v>
      </c>
      <c r="W60" s="731" t="e">
        <f>IF(V60=0,"N.A.","")</f>
        <v>#DIV/0!</v>
      </c>
      <c r="X60" s="729" t="s">
        <v>1</v>
      </c>
      <c r="Y60" s="888" t="e">
        <f>スコア表示!U161</f>
        <v>#DIV/0!</v>
      </c>
      <c r="Z60" s="731" t="e">
        <f>IF(Y60=0,"N.A.","")</f>
        <v>#DIV/0!</v>
      </c>
      <c r="AA60" s="789"/>
      <c r="AB60" s="789"/>
    </row>
    <row r="61" spans="1:28" s="695" customFormat="1" ht="15.75" customHeight="1" thickBot="1">
      <c r="A61" s="686"/>
      <c r="B61" s="917"/>
      <c r="C61" s="918"/>
      <c r="D61" s="919"/>
      <c r="E61" s="918"/>
      <c r="F61" s="920"/>
      <c r="G61" s="920"/>
      <c r="H61" s="920"/>
      <c r="I61" s="921"/>
      <c r="J61" s="813"/>
      <c r="K61" s="813"/>
      <c r="L61" s="813"/>
      <c r="M61" s="922"/>
      <c r="N61" s="922"/>
      <c r="O61" s="923"/>
      <c r="P61" s="686"/>
      <c r="Q61" s="686"/>
      <c r="R61" s="729" t="s">
        <v>2</v>
      </c>
      <c r="S61" s="888" t="e">
        <f>スコア表示!U124</f>
        <v>#DIV/0!</v>
      </c>
      <c r="T61" s="731" t="e">
        <f>IF(S61=0,"N.A.","")</f>
        <v>#DIV/0!</v>
      </c>
      <c r="U61" s="914" t="s">
        <v>3</v>
      </c>
      <c r="V61" s="915" t="e">
        <f>スコア表示!U153</f>
        <v>#DIV/0!</v>
      </c>
      <c r="W61" s="731" t="e">
        <f>IF(V61=0,"N.A.","")</f>
        <v>#DIV/0!</v>
      </c>
      <c r="X61" s="729" t="s">
        <v>4</v>
      </c>
      <c r="Y61" s="888" t="e">
        <f>スコア表示!U169</f>
        <v>#DIV/0!</v>
      </c>
      <c r="Z61" s="731" t="e">
        <f>IF(Y61=0,"N.A.","")</f>
        <v>#DIV/0!</v>
      </c>
      <c r="AA61" s="789"/>
      <c r="AB61" s="789"/>
    </row>
    <row r="62" spans="1:28" s="695" customFormat="1" ht="6" customHeight="1" thickBot="1">
      <c r="A62" s="686"/>
      <c r="B62" s="925"/>
      <c r="C62" s="911"/>
      <c r="D62" s="926"/>
      <c r="E62" s="704"/>
      <c r="F62" s="705"/>
      <c r="G62" s="705"/>
      <c r="H62" s="705"/>
      <c r="I62" s="706"/>
      <c r="J62" s="706"/>
      <c r="K62" s="705"/>
      <c r="L62" s="705"/>
      <c r="M62" s="726"/>
      <c r="N62" s="726"/>
      <c r="O62" s="726"/>
      <c r="P62" s="686"/>
      <c r="Q62" s="805"/>
      <c r="R62" s="729" t="s">
        <v>5</v>
      </c>
      <c r="S62" s="888" t="e">
        <f>スコア表示!U133</f>
        <v>#DIV/0!</v>
      </c>
      <c r="T62" s="731" t="e">
        <f>IF(S62=0,"N.A.","")</f>
        <v>#DIV/0!</v>
      </c>
      <c r="U62" s="789"/>
      <c r="V62" s="916"/>
      <c r="W62" s="916"/>
      <c r="X62" s="916"/>
      <c r="Y62" s="916"/>
      <c r="Z62" s="916"/>
      <c r="AA62" s="789"/>
      <c r="AB62" s="789"/>
    </row>
    <row r="63" spans="1:28" s="695" customFormat="1" ht="15.75">
      <c r="A63" s="686"/>
      <c r="B63" s="823" t="s">
        <v>6</v>
      </c>
      <c r="C63" s="927"/>
      <c r="D63" s="928"/>
      <c r="E63" s="927"/>
      <c r="F63" s="927"/>
      <c r="G63" s="927"/>
      <c r="H63" s="929"/>
      <c r="I63" s="930"/>
      <c r="J63" s="927"/>
      <c r="K63" s="927"/>
      <c r="L63" s="927"/>
      <c r="M63" s="931"/>
      <c r="N63" s="931"/>
      <c r="O63" s="932"/>
      <c r="P63" s="686"/>
      <c r="Q63" s="805"/>
      <c r="R63" s="789"/>
      <c r="S63" s="789"/>
      <c r="T63" s="789"/>
      <c r="U63" s="789"/>
      <c r="V63" s="916"/>
      <c r="W63" s="916"/>
      <c r="X63" s="916"/>
      <c r="Y63" s="916"/>
      <c r="Z63" s="916"/>
      <c r="AA63" s="789"/>
      <c r="AB63" s="789"/>
    </row>
    <row r="64" spans="1:28" s="695" customFormat="1" ht="14.25">
      <c r="A64" s="686"/>
      <c r="B64" s="933" t="s">
        <v>7</v>
      </c>
      <c r="C64" s="934"/>
      <c r="D64" s="935"/>
      <c r="E64" s="934"/>
      <c r="F64" s="934"/>
      <c r="G64" s="934"/>
      <c r="H64" s="934"/>
      <c r="I64" s="934"/>
      <c r="J64" s="934"/>
      <c r="K64" s="936"/>
      <c r="L64" s="937" t="s">
        <v>8</v>
      </c>
      <c r="M64" s="938"/>
      <c r="N64" s="938"/>
      <c r="O64" s="939"/>
      <c r="P64" s="686"/>
      <c r="Q64" s="805"/>
      <c r="R64" s="924"/>
      <c r="S64" s="789"/>
      <c r="T64" s="789"/>
      <c r="U64" s="789"/>
      <c r="V64" s="916"/>
      <c r="W64" s="916"/>
      <c r="X64" s="916"/>
      <c r="Y64" s="916"/>
      <c r="Z64" s="916"/>
      <c r="AA64" s="789"/>
      <c r="AB64" s="789"/>
    </row>
    <row r="65" spans="1:28" s="695" customFormat="1" ht="52.5" customHeight="1">
      <c r="A65" s="686"/>
      <c r="B65" s="2904" t="str">
        <f>SUBSTITUTE(配慮!C7,"注）　改修における総合的なコンセプトを簡潔に記載してください。
　（省エネ改修，室内環境改善，外装の更新，高耐久化，情報化対応，コンバージョンなど）" &amp; CHAR(10),"")</f>
        <v/>
      </c>
      <c r="C65" s="2905"/>
      <c r="D65" s="2905"/>
      <c r="E65" s="2905"/>
      <c r="F65" s="2905"/>
      <c r="G65" s="2905"/>
      <c r="H65" s="2905"/>
      <c r="I65" s="2905"/>
      <c r="J65" s="2905"/>
      <c r="K65" s="2906"/>
      <c r="L65" s="2907" t="str">
        <f>SUBSTITUTE(配慮!C14,"注）　上記の６つのカテゴリー以外に，改修工事における廃棄物削減・リサイクル，改修による歴史的建造物の延命など，建物自体の環境性能としてＣＡＳＢＥＥで評価し難い環境配慮の取組があれば，ここに記載してください。" &amp; CHAR(10),"")</f>
        <v/>
      </c>
      <c r="M65" s="2908"/>
      <c r="N65" s="2908"/>
      <c r="O65" s="2909"/>
      <c r="P65" s="686"/>
      <c r="Q65" s="805"/>
      <c r="R65" s="789"/>
      <c r="S65" s="789"/>
      <c r="T65" s="789"/>
      <c r="U65" s="789"/>
      <c r="V65" s="916"/>
      <c r="W65" s="916"/>
      <c r="X65" s="916"/>
      <c r="Y65" s="916"/>
      <c r="Z65" s="916"/>
      <c r="AA65" s="789"/>
      <c r="AB65" s="789"/>
    </row>
    <row r="66" spans="1:28" s="695" customFormat="1" ht="15">
      <c r="A66" s="686"/>
      <c r="B66" s="940" t="str">
        <f>配慮!B8</f>
        <v>Q1 
室内環境</v>
      </c>
      <c r="C66" s="938"/>
      <c r="D66" s="938"/>
      <c r="E66" s="938"/>
      <c r="F66" s="938"/>
      <c r="G66" s="941"/>
      <c r="H66" s="942" t="str">
        <f>配慮!B9</f>
        <v>Q2 
サービス性能</v>
      </c>
      <c r="I66" s="943"/>
      <c r="J66" s="943"/>
      <c r="K66" s="944"/>
      <c r="L66" s="945" t="str">
        <f>配慮!B10</f>
        <v>Q3 
室外環境（敷地内）</v>
      </c>
      <c r="M66" s="946"/>
      <c r="N66" s="947"/>
      <c r="O66" s="948"/>
      <c r="P66" s="686"/>
      <c r="Q66" s="805"/>
      <c r="R66" s="789"/>
      <c r="S66" s="789"/>
      <c r="T66" s="789"/>
      <c r="U66" s="789"/>
      <c r="V66" s="789"/>
      <c r="W66" s="789"/>
      <c r="X66" s="789"/>
      <c r="Y66" s="789"/>
      <c r="Z66" s="789"/>
      <c r="AA66" s="789"/>
      <c r="AB66" s="789"/>
    </row>
    <row r="67" spans="1:28" s="695" customFormat="1" ht="50.25" customHeight="1">
      <c r="A67" s="686"/>
      <c r="B67" s="2910" t="str">
        <f>SUBSTITUTE(配慮!C8,"注）　改修における「Q1　室内環境」に対する配慮事項を簡潔に記載してください。" &amp; CHAR(10),"")</f>
        <v/>
      </c>
      <c r="C67" s="2908"/>
      <c r="D67" s="2908"/>
      <c r="E67" s="2908"/>
      <c r="F67" s="2908"/>
      <c r="G67" s="2911"/>
      <c r="H67" s="2912" t="str">
        <f>SUBSTITUTE(配慮!C9,"注）　改修における「Q2　サービス性能」に対する配慮事項を簡潔に記載してください。"&amp;CHAR(10),"")</f>
        <v/>
      </c>
      <c r="I67" s="2908"/>
      <c r="J67" s="2908"/>
      <c r="K67" s="2911"/>
      <c r="L67" s="2912" t="str">
        <f>SUBSTITUTE(配慮!C10,"注）　改修における「Q3　室外環境（敷地内）」に対する配慮事項を簡潔に記載してください。"&amp;CHAR(10),"")</f>
        <v/>
      </c>
      <c r="M67" s="2908"/>
      <c r="N67" s="2908"/>
      <c r="O67" s="2909"/>
      <c r="P67" s="686"/>
      <c r="Q67" s="805"/>
      <c r="R67" s="789"/>
      <c r="S67" s="789"/>
      <c r="T67" s="789"/>
      <c r="U67" s="789"/>
      <c r="V67" s="789"/>
      <c r="W67" s="789"/>
      <c r="X67" s="789"/>
      <c r="Y67" s="789"/>
      <c r="Z67" s="789"/>
      <c r="AA67" s="789"/>
      <c r="AB67" s="789"/>
    </row>
    <row r="68" spans="1:28" s="695" customFormat="1" ht="15">
      <c r="A68" s="686"/>
      <c r="B68" s="949" t="str">
        <f>配慮!B11</f>
        <v>LR1 
エネルギー</v>
      </c>
      <c r="C68" s="950"/>
      <c r="D68" s="935"/>
      <c r="E68" s="935"/>
      <c r="F68" s="935"/>
      <c r="G68" s="951"/>
      <c r="H68" s="952" t="str">
        <f>配慮!B12</f>
        <v>LR2 
資源・マテリアル</v>
      </c>
      <c r="I68" s="938"/>
      <c r="J68" s="938"/>
      <c r="K68" s="941"/>
      <c r="L68" s="953" t="str">
        <f>配慮!B13</f>
        <v>LR3 
敷地外環境</v>
      </c>
      <c r="M68" s="950"/>
      <c r="N68" s="935"/>
      <c r="O68" s="954"/>
      <c r="P68" s="686"/>
      <c r="Q68" s="805"/>
      <c r="R68" s="789"/>
      <c r="S68" s="789"/>
      <c r="T68" s="789"/>
      <c r="U68" s="789"/>
      <c r="V68" s="789"/>
      <c r="W68" s="789"/>
      <c r="X68" s="789"/>
      <c r="Y68" s="789"/>
      <c r="Z68" s="789"/>
      <c r="AA68" s="789"/>
      <c r="AB68" s="789"/>
    </row>
    <row r="69" spans="1:28" s="695" customFormat="1" ht="61.5" customHeight="1" thickBot="1">
      <c r="A69" s="686"/>
      <c r="B69" s="2919" t="str">
        <f>SUBSTITUTE(配慮!C11,"注）　改修における「LR1　エネルギー」に対する配慮事項を簡潔に記載してください。" &amp; CHAR(10),"")</f>
        <v/>
      </c>
      <c r="C69" s="2900"/>
      <c r="D69" s="2900"/>
      <c r="E69" s="2900"/>
      <c r="F69" s="2900"/>
      <c r="G69" s="2920"/>
      <c r="H69" s="2899" t="str">
        <f>SUBSTITUTE(配慮!C12,"注）　改修における「LR2　資源・マテリアル」に対する配慮事項を簡潔に記載してください。"&amp;CHAR(10),"")</f>
        <v/>
      </c>
      <c r="I69" s="2900"/>
      <c r="J69" s="2900"/>
      <c r="K69" s="2920"/>
      <c r="L69" s="2899" t="str">
        <f>SUBSTITUTE(配慮!C13,"注）　改修における「LR3　敷地外環境」に対する配慮事項を簡潔に記載してください。"&amp;CHAR(10),"")</f>
        <v/>
      </c>
      <c r="M69" s="2900"/>
      <c r="N69" s="2900"/>
      <c r="O69" s="2901"/>
      <c r="P69" s="686"/>
      <c r="Q69" s="805"/>
      <c r="R69" s="789"/>
      <c r="S69" s="789"/>
      <c r="T69" s="789"/>
      <c r="U69" s="789"/>
      <c r="V69" s="789"/>
      <c r="W69" s="789"/>
      <c r="X69" s="789"/>
      <c r="Y69" s="789"/>
      <c r="Z69" s="789"/>
      <c r="AA69" s="789"/>
      <c r="AB69" s="789"/>
    </row>
    <row r="70" spans="1:28" s="695" customFormat="1" ht="5.25" customHeight="1">
      <c r="A70" s="686"/>
      <c r="B70" s="686"/>
      <c r="C70" s="686"/>
      <c r="D70" s="686"/>
      <c r="E70" s="686"/>
      <c r="F70" s="686"/>
      <c r="G70" s="686"/>
      <c r="H70" s="686"/>
      <c r="I70" s="686"/>
      <c r="J70" s="686"/>
      <c r="K70" s="686"/>
      <c r="L70" s="686"/>
      <c r="M70" s="686"/>
      <c r="N70" s="686"/>
      <c r="O70" s="686"/>
      <c r="P70" s="686"/>
      <c r="Q70" s="686"/>
      <c r="R70" s="789"/>
      <c r="S70" s="789"/>
      <c r="T70" s="789"/>
      <c r="U70" s="789"/>
      <c r="V70" s="789"/>
      <c r="W70" s="789"/>
      <c r="X70" s="789"/>
      <c r="Y70" s="789"/>
      <c r="Z70" s="789"/>
      <c r="AA70" s="789"/>
      <c r="AB70" s="789"/>
    </row>
    <row r="71" spans="1:28" s="695" customFormat="1" ht="16.5" hidden="1" thickBot="1">
      <c r="A71" s="686"/>
      <c r="B71" s="955" t="s">
        <v>9</v>
      </c>
      <c r="C71" s="956"/>
      <c r="D71" s="957"/>
      <c r="E71" s="956"/>
      <c r="F71" s="956"/>
      <c r="G71" s="956"/>
      <c r="H71" s="956"/>
      <c r="I71" s="956"/>
      <c r="J71" s="958"/>
      <c r="K71" s="959"/>
      <c r="L71" s="959"/>
      <c r="M71" s="959"/>
      <c r="N71" s="960"/>
      <c r="O71" s="961" t="s">
        <v>10</v>
      </c>
      <c r="P71" s="686"/>
      <c r="Q71" s="686"/>
      <c r="R71" s="789"/>
      <c r="S71" s="789"/>
      <c r="T71" s="789"/>
      <c r="U71" s="789"/>
      <c r="V71" s="789"/>
      <c r="W71" s="789"/>
      <c r="X71" s="789"/>
      <c r="Y71" s="789"/>
      <c r="Z71" s="789"/>
      <c r="AA71" s="789"/>
      <c r="AB71" s="789"/>
    </row>
    <row r="72" spans="1:28" s="695" customFormat="1" ht="15.75" hidden="1">
      <c r="A72" s="686"/>
      <c r="B72" s="962" t="s">
        <v>11</v>
      </c>
      <c r="C72" s="963"/>
      <c r="D72" s="964"/>
      <c r="E72" s="963"/>
      <c r="F72" s="963"/>
      <c r="G72" s="963"/>
      <c r="H72" s="963"/>
      <c r="I72" s="963"/>
      <c r="J72" s="965"/>
      <c r="K72" s="966"/>
      <c r="L72" s="967"/>
      <c r="M72" s="967"/>
      <c r="N72" s="965"/>
      <c r="O72" s="968" t="s">
        <v>1841</v>
      </c>
      <c r="P72" s="686"/>
      <c r="Q72" s="686"/>
      <c r="R72" s="789"/>
      <c r="S72" s="789"/>
      <c r="T72" s="789"/>
      <c r="U72" s="789"/>
      <c r="V72" s="789"/>
      <c r="W72" s="789"/>
      <c r="X72" s="789"/>
      <c r="Y72" s="789"/>
      <c r="Z72" s="789"/>
      <c r="AA72" s="789"/>
      <c r="AB72" s="789"/>
    </row>
    <row r="73" spans="1:28" s="695" customFormat="1" ht="14.25" hidden="1">
      <c r="A73" s="686"/>
      <c r="B73" s="969"/>
      <c r="C73" s="970"/>
      <c r="D73" s="971"/>
      <c r="E73" s="972" t="s">
        <v>12</v>
      </c>
      <c r="F73" s="973"/>
      <c r="G73" s="973"/>
      <c r="H73" s="972" t="s">
        <v>13</v>
      </c>
      <c r="I73" s="973"/>
      <c r="J73" s="972" t="s">
        <v>14</v>
      </c>
      <c r="K73" s="974"/>
      <c r="L73" s="972" t="s">
        <v>15</v>
      </c>
      <c r="M73" s="973"/>
      <c r="N73" s="973"/>
      <c r="O73" s="975" t="s">
        <v>16</v>
      </c>
      <c r="P73" s="686"/>
      <c r="Q73" s="686"/>
      <c r="R73" s="789"/>
      <c r="S73" s="789"/>
      <c r="T73" s="789"/>
      <c r="U73" s="789"/>
      <c r="V73" s="789"/>
      <c r="W73" s="789"/>
      <c r="X73" s="789"/>
      <c r="Y73" s="789"/>
      <c r="Z73" s="789"/>
      <c r="AA73" s="789"/>
      <c r="AB73" s="789"/>
    </row>
    <row r="74" spans="1:28" s="695" customFormat="1" ht="14.25" hidden="1">
      <c r="A74" s="686"/>
      <c r="B74" s="976"/>
      <c r="C74" s="977" t="s">
        <v>17</v>
      </c>
      <c r="D74" s="978"/>
      <c r="E74" s="979"/>
      <c r="F74" s="980" t="s">
        <v>18</v>
      </c>
      <c r="G74" s="981"/>
      <c r="H74" s="979"/>
      <c r="I74" s="980" t="s">
        <v>19</v>
      </c>
      <c r="J74" s="982"/>
      <c r="K74" s="980" t="s">
        <v>18</v>
      </c>
      <c r="L74" s="983"/>
      <c r="M74" s="984"/>
      <c r="N74" s="985"/>
      <c r="O74" s="986"/>
      <c r="P74" s="686"/>
      <c r="Q74" s="686"/>
      <c r="R74" s="789"/>
      <c r="S74" s="789"/>
      <c r="T74" s="789"/>
      <c r="U74" s="789"/>
      <c r="V74" s="789"/>
      <c r="W74" s="789"/>
      <c r="X74" s="789"/>
      <c r="Y74" s="789"/>
      <c r="Z74" s="789"/>
      <c r="AA74" s="789"/>
      <c r="AB74" s="789"/>
    </row>
    <row r="75" spans="1:28" s="695" customFormat="1" ht="15.75" hidden="1">
      <c r="A75" s="686"/>
      <c r="B75" s="976"/>
      <c r="C75" s="987" t="s">
        <v>20</v>
      </c>
      <c r="D75" s="988"/>
      <c r="E75" s="989"/>
      <c r="F75" s="892" t="s">
        <v>21</v>
      </c>
      <c r="G75" s="892"/>
      <c r="H75" s="989"/>
      <c r="I75" s="892" t="s">
        <v>22</v>
      </c>
      <c r="J75" s="990"/>
      <c r="K75" s="892" t="s">
        <v>21</v>
      </c>
      <c r="L75" s="991"/>
      <c r="N75" s="992"/>
      <c r="O75" s="993"/>
      <c r="P75" s="686"/>
      <c r="Q75" s="686"/>
      <c r="W75" s="789"/>
      <c r="X75" s="789"/>
      <c r="Y75" s="789"/>
      <c r="Z75" s="789"/>
      <c r="AA75" s="789"/>
      <c r="AB75" s="789"/>
    </row>
    <row r="76" spans="1:28" s="695" customFormat="1" ht="14.25" hidden="1">
      <c r="A76" s="994"/>
      <c r="B76" s="995"/>
      <c r="C76" s="996" t="s">
        <v>23</v>
      </c>
      <c r="D76" s="988"/>
      <c r="E76" s="989"/>
      <c r="F76" s="981" t="s">
        <v>24</v>
      </c>
      <c r="G76" s="981"/>
      <c r="H76" s="989"/>
      <c r="I76" s="981" t="s">
        <v>25</v>
      </c>
      <c r="J76" s="990"/>
      <c r="K76" s="981" t="s">
        <v>24</v>
      </c>
      <c r="L76" s="991"/>
      <c r="N76" s="997"/>
      <c r="O76" s="993"/>
      <c r="P76" s="994"/>
      <c r="Q76" s="686"/>
      <c r="W76" s="789"/>
      <c r="X76" s="789"/>
      <c r="Y76" s="789"/>
      <c r="Z76" s="789"/>
      <c r="AA76" s="789"/>
      <c r="AB76" s="789"/>
    </row>
    <row r="77" spans="1:28" s="695" customFormat="1" ht="15.75" hidden="1">
      <c r="A77" s="686"/>
      <c r="B77" s="976"/>
      <c r="C77" s="998" t="s">
        <v>26</v>
      </c>
      <c r="D77" s="988"/>
      <c r="E77" s="989"/>
      <c r="F77" s="892" t="s">
        <v>21</v>
      </c>
      <c r="G77" s="892"/>
      <c r="H77" s="989"/>
      <c r="I77" s="892" t="s">
        <v>22</v>
      </c>
      <c r="J77" s="990"/>
      <c r="K77" s="892" t="s">
        <v>21</v>
      </c>
      <c r="L77" s="991"/>
      <c r="N77" s="992"/>
      <c r="O77" s="999"/>
      <c r="P77" s="686"/>
      <c r="Q77" s="686"/>
      <c r="W77" s="789"/>
      <c r="X77" s="789"/>
      <c r="Y77" s="789"/>
      <c r="Z77" s="789"/>
      <c r="AA77" s="789"/>
      <c r="AB77" s="789"/>
    </row>
    <row r="78" spans="1:28" s="695" customFormat="1" ht="14.25" hidden="1">
      <c r="A78" s="686"/>
      <c r="B78" s="976"/>
      <c r="C78" s="998" t="s">
        <v>27</v>
      </c>
      <c r="D78" s="988"/>
      <c r="E78" s="989"/>
      <c r="F78" s="513" t="s">
        <v>28</v>
      </c>
      <c r="G78" s="892"/>
      <c r="H78" s="989"/>
      <c r="I78" s="513" t="s">
        <v>29</v>
      </c>
      <c r="J78" s="990"/>
      <c r="K78" s="513" t="s">
        <v>28</v>
      </c>
      <c r="L78" s="991"/>
      <c r="N78" s="992"/>
      <c r="O78" s="727"/>
      <c r="P78" s="686"/>
      <c r="Q78" s="686"/>
      <c r="W78" s="789"/>
      <c r="X78" s="789"/>
      <c r="Y78" s="789"/>
      <c r="Z78" s="789"/>
      <c r="AA78" s="789"/>
      <c r="AB78" s="789"/>
    </row>
    <row r="79" spans="1:28" s="695" customFormat="1" ht="14.25" hidden="1">
      <c r="A79" s="686"/>
      <c r="B79" s="976"/>
      <c r="C79" s="998" t="s">
        <v>30</v>
      </c>
      <c r="D79" s="988"/>
      <c r="E79" s="989"/>
      <c r="F79" s="513" t="s">
        <v>28</v>
      </c>
      <c r="G79" s="892"/>
      <c r="H79" s="989"/>
      <c r="I79" s="513" t="s">
        <v>29</v>
      </c>
      <c r="J79" s="990"/>
      <c r="K79" s="513" t="s">
        <v>28</v>
      </c>
      <c r="L79" s="991"/>
      <c r="N79" s="992"/>
      <c r="O79" s="993"/>
      <c r="P79" s="686"/>
      <c r="Q79" s="686"/>
      <c r="W79" s="789"/>
      <c r="X79" s="789"/>
      <c r="Y79" s="789"/>
      <c r="Z79" s="789"/>
      <c r="AA79" s="789"/>
      <c r="AB79" s="789"/>
    </row>
    <row r="80" spans="1:28" s="695" customFormat="1" ht="15" hidden="1" thickBot="1">
      <c r="A80" s="686"/>
      <c r="B80" s="1000"/>
      <c r="C80" s="1001"/>
      <c r="D80" s="1002"/>
      <c r="E80" s="1003"/>
      <c r="F80" s="1004"/>
      <c r="G80" s="918"/>
      <c r="H80" s="1003"/>
      <c r="I80" s="1004"/>
      <c r="J80" s="1005"/>
      <c r="K80" s="1004"/>
      <c r="L80" s="991"/>
      <c r="N80" s="1006"/>
      <c r="O80" s="1007"/>
      <c r="P80" s="686"/>
      <c r="Q80" s="686"/>
      <c r="W80" s="789"/>
      <c r="X80" s="789"/>
      <c r="Y80" s="789"/>
      <c r="Z80" s="789"/>
      <c r="AA80" s="789"/>
      <c r="AB80" s="789"/>
    </row>
    <row r="81" spans="1:37" s="695" customFormat="1" ht="16.5" hidden="1" thickBot="1">
      <c r="A81" s="686"/>
      <c r="B81" s="211" t="s">
        <v>31</v>
      </c>
      <c r="C81" s="1008"/>
      <c r="D81" s="1009"/>
      <c r="E81" s="1010"/>
      <c r="F81" s="1011"/>
      <c r="G81" s="1011"/>
      <c r="H81" s="1011"/>
      <c r="I81" s="1011"/>
      <c r="J81" s="1011"/>
      <c r="K81" s="1011"/>
      <c r="L81" s="1011"/>
      <c r="M81" s="1011"/>
      <c r="N81" s="1011"/>
      <c r="O81" s="1012"/>
      <c r="P81" s="686"/>
      <c r="Q81" s="686"/>
      <c r="W81" s="789"/>
      <c r="X81" s="789"/>
      <c r="Y81" s="789"/>
      <c r="Z81" s="789"/>
      <c r="AA81" s="789"/>
      <c r="AB81" s="789"/>
    </row>
    <row r="82" spans="1:37" s="695" customFormat="1" ht="15.75" hidden="1">
      <c r="A82" s="686"/>
      <c r="B82" s="1013" t="s">
        <v>32</v>
      </c>
      <c r="C82" s="1014"/>
      <c r="D82" s="1015"/>
      <c r="E82" s="1016"/>
      <c r="F82" s="1017"/>
      <c r="G82" s="1017"/>
      <c r="H82" s="1017"/>
      <c r="I82" s="1015"/>
      <c r="J82" s="1018" t="s">
        <v>33</v>
      </c>
      <c r="K82" s="1019"/>
      <c r="L82" s="1020"/>
      <c r="M82" s="1014"/>
      <c r="N82" s="1014"/>
      <c r="O82" s="1021"/>
      <c r="P82" s="686"/>
      <c r="Q82" s="686"/>
      <c r="W82" s="789"/>
      <c r="X82" s="789"/>
      <c r="Y82" s="789"/>
      <c r="Z82" s="789"/>
      <c r="AA82" s="789"/>
      <c r="AB82" s="789"/>
    </row>
    <row r="83" spans="1:37" s="695" customFormat="1" ht="15" hidden="1">
      <c r="A83" s="686"/>
      <c r="B83" s="1022"/>
      <c r="C83" s="1023" t="s">
        <v>34</v>
      </c>
      <c r="D83" s="1024"/>
      <c r="E83" s="1024"/>
      <c r="F83" s="1024"/>
      <c r="G83" s="1024"/>
      <c r="H83" s="1024"/>
      <c r="I83" s="1024"/>
      <c r="J83" s="1025" t="s">
        <v>35</v>
      </c>
      <c r="L83" s="1026"/>
      <c r="M83" s="832"/>
      <c r="N83" s="832"/>
      <c r="O83" s="1027"/>
      <c r="P83" s="686"/>
      <c r="Q83" s="686"/>
      <c r="W83" s="789"/>
      <c r="X83" s="789"/>
      <c r="Y83" s="789"/>
      <c r="Z83" s="789"/>
      <c r="AA83" s="789"/>
      <c r="AB83" s="789"/>
    </row>
    <row r="84" spans="1:37" s="695" customFormat="1" ht="15" hidden="1">
      <c r="A84" s="686"/>
      <c r="B84" s="1022"/>
      <c r="C84" s="1023"/>
      <c r="D84" s="1024"/>
      <c r="E84" s="1024"/>
      <c r="F84" s="1024"/>
      <c r="G84" s="1024"/>
      <c r="H84" s="1024"/>
      <c r="I84" s="1024"/>
      <c r="J84" s="1025"/>
      <c r="L84" s="1026"/>
      <c r="M84" s="832"/>
      <c r="N84" s="832"/>
      <c r="O84" s="1027"/>
      <c r="P84" s="686"/>
      <c r="Q84" s="686"/>
      <c r="W84" s="789"/>
      <c r="X84" s="789"/>
      <c r="Y84" s="789"/>
      <c r="Z84" s="789"/>
      <c r="AA84" s="789"/>
      <c r="AB84" s="789"/>
    </row>
    <row r="85" spans="1:37" s="695" customFormat="1" ht="15" hidden="1" thickBot="1">
      <c r="A85" s="686"/>
      <c r="B85" s="1028"/>
      <c r="C85" s="1029"/>
      <c r="D85" s="1030"/>
      <c r="E85" s="1030"/>
      <c r="F85" s="1030"/>
      <c r="G85" s="1030"/>
      <c r="H85" s="1030"/>
      <c r="I85" s="1030"/>
      <c r="J85" s="1031"/>
      <c r="K85" s="812"/>
      <c r="L85" s="1032"/>
      <c r="M85" s="1032"/>
      <c r="N85" s="1032"/>
      <c r="O85" s="1033"/>
      <c r="P85" s="686"/>
      <c r="Q85" s="686"/>
      <c r="W85" s="694"/>
      <c r="X85" s="694"/>
      <c r="Y85" s="694"/>
      <c r="Z85" s="694"/>
      <c r="AA85" s="694"/>
      <c r="AB85" s="694"/>
    </row>
    <row r="86" spans="1:37" ht="14.25" hidden="1">
      <c r="B86" s="892"/>
      <c r="C86" s="892"/>
      <c r="D86" s="907"/>
      <c r="E86" s="892"/>
      <c r="F86" s="705"/>
      <c r="G86" s="705"/>
      <c r="H86" s="705"/>
      <c r="I86" s="706"/>
      <c r="J86" s="706"/>
      <c r="K86" s="705"/>
      <c r="L86" s="705"/>
      <c r="M86" s="726"/>
      <c r="N86" s="726"/>
      <c r="O86" s="726"/>
      <c r="S86" s="695"/>
      <c r="W86" s="694"/>
      <c r="X86" s="694"/>
      <c r="Y86" s="694"/>
      <c r="Z86" s="694"/>
      <c r="AA86" s="694"/>
      <c r="AB86" s="694"/>
      <c r="AC86" s="695"/>
      <c r="AD86" s="695"/>
      <c r="AE86" s="695"/>
      <c r="AF86" s="695"/>
      <c r="AG86" s="695"/>
      <c r="AH86" s="695"/>
      <c r="AI86" s="695"/>
      <c r="AJ86" s="695"/>
      <c r="AK86" s="695"/>
    </row>
    <row r="87" spans="1:37" ht="14.25" hidden="1">
      <c r="B87" s="1036"/>
      <c r="C87" s="1037"/>
      <c r="D87" s="1038"/>
      <c r="E87" s="1039"/>
      <c r="F87" s="1039"/>
      <c r="G87" s="1039"/>
      <c r="H87" s="1039"/>
      <c r="I87" s="804"/>
      <c r="J87" s="1040"/>
      <c r="K87" s="804"/>
      <c r="L87" s="1041"/>
      <c r="M87" s="804"/>
      <c r="N87" s="1042"/>
      <c r="O87" s="1043"/>
      <c r="R87" s="694"/>
      <c r="S87" s="694"/>
      <c r="T87" s="694"/>
      <c r="U87" s="694"/>
      <c r="V87" s="694"/>
      <c r="W87" s="694"/>
      <c r="X87" s="694"/>
      <c r="Y87" s="694"/>
      <c r="Z87" s="694"/>
      <c r="AA87" s="694"/>
      <c r="AB87" s="694"/>
      <c r="AC87" s="695"/>
      <c r="AD87" s="695"/>
      <c r="AE87" s="695"/>
      <c r="AF87" s="695"/>
      <c r="AG87" s="695"/>
    </row>
    <row r="88" spans="1:37" ht="14.25" hidden="1">
      <c r="B88" s="1044"/>
      <c r="C88" s="1045" t="s">
        <v>36</v>
      </c>
      <c r="D88" s="1046" t="s">
        <v>37</v>
      </c>
      <c r="E88" s="1047" t="s">
        <v>38</v>
      </c>
      <c r="G88" s="695"/>
      <c r="H88" s="1047" t="s">
        <v>39</v>
      </c>
      <c r="J88" s="1050" t="s">
        <v>40</v>
      </c>
      <c r="L88" s="1050" t="s">
        <v>41</v>
      </c>
      <c r="N88" s="1052" t="s">
        <v>42</v>
      </c>
      <c r="O88" s="1053"/>
      <c r="R88" s="694"/>
      <c r="S88" s="694"/>
      <c r="T88" s="694"/>
      <c r="U88" s="694"/>
      <c r="V88" s="694"/>
      <c r="W88" s="694"/>
      <c r="X88" s="694"/>
      <c r="Y88" s="694"/>
      <c r="Z88" s="694"/>
      <c r="AA88" s="694"/>
      <c r="AB88" s="694"/>
      <c r="AC88" s="695"/>
      <c r="AD88" s="695"/>
      <c r="AE88" s="695"/>
      <c r="AF88" s="695"/>
      <c r="AG88" s="695"/>
    </row>
    <row r="89" spans="1:37" ht="14.25" hidden="1">
      <c r="A89" s="805"/>
      <c r="B89" s="1044"/>
      <c r="C89" s="1045" t="s">
        <v>43</v>
      </c>
      <c r="D89" s="1054" t="s">
        <v>44</v>
      </c>
      <c r="E89" s="1055"/>
      <c r="F89" s="1056"/>
      <c r="G89" s="1056"/>
      <c r="H89" s="1056"/>
      <c r="I89" s="1057"/>
      <c r="J89" s="1057"/>
      <c r="K89" s="1058"/>
      <c r="L89" s="1058"/>
      <c r="M89" s="726"/>
      <c r="N89" s="726"/>
      <c r="O89" s="1059"/>
      <c r="P89" s="805"/>
      <c r="Q89" s="805"/>
    </row>
    <row r="90" spans="1:37" ht="14.25" hidden="1">
      <c r="B90" s="1060"/>
      <c r="C90" s="1045" t="s">
        <v>45</v>
      </c>
      <c r="D90" s="1061" t="s">
        <v>1842</v>
      </c>
      <c r="E90" s="1062"/>
      <c r="G90" s="1063"/>
      <c r="O90" s="1059"/>
    </row>
    <row r="91" spans="1:37" ht="14.25" hidden="1">
      <c r="B91" s="1060"/>
      <c r="C91" s="1045"/>
      <c r="D91" s="1061" t="s">
        <v>1843</v>
      </c>
      <c r="E91" s="1062"/>
      <c r="G91" s="1063"/>
      <c r="O91" s="1059"/>
    </row>
    <row r="92" spans="1:37" ht="14.25" hidden="1">
      <c r="B92" s="1064"/>
      <c r="C92" s="1065" t="s">
        <v>46</v>
      </c>
      <c r="D92" s="1066" t="s">
        <v>1844</v>
      </c>
      <c r="E92" s="1067"/>
      <c r="F92" s="1068"/>
      <c r="G92" s="1069"/>
      <c r="H92" s="1068"/>
      <c r="I92" s="1070"/>
      <c r="J92" s="1070"/>
      <c r="K92" s="1068"/>
      <c r="L92" s="1068"/>
      <c r="M92" s="1071"/>
      <c r="N92" s="1071"/>
      <c r="O92" s="1072"/>
    </row>
    <row r="93" spans="1:37" ht="14.25">
      <c r="G93" s="1063"/>
      <c r="O93" s="726"/>
    </row>
    <row r="94" spans="1:37" ht="14.25">
      <c r="G94" s="1063"/>
      <c r="L94" s="1063"/>
      <c r="M94" s="726"/>
      <c r="O94" s="726"/>
    </row>
    <row r="95" spans="1:37" ht="14.25">
      <c r="E95" s="1051"/>
      <c r="F95" s="1074"/>
      <c r="G95" s="1063"/>
      <c r="H95" s="1063"/>
      <c r="I95" s="1058"/>
      <c r="L95" s="1063"/>
      <c r="M95" s="726"/>
      <c r="O95" s="726"/>
    </row>
    <row r="96" spans="1:37" ht="14.25">
      <c r="C96" s="1075"/>
      <c r="D96" s="910"/>
      <c r="E96" s="1051"/>
      <c r="F96" s="1074"/>
      <c r="G96" s="1063"/>
      <c r="H96" s="1063"/>
      <c r="I96" s="1058"/>
      <c r="J96" s="1058"/>
      <c r="K96" s="1063"/>
      <c r="L96" s="1063"/>
      <c r="M96" s="726"/>
      <c r="O96" s="726"/>
    </row>
    <row r="97" spans="2:15" ht="14.25">
      <c r="B97" s="1076"/>
      <c r="C97" s="1077"/>
      <c r="D97" s="1078"/>
      <c r="E97" s="1051"/>
      <c r="F97" s="1074"/>
      <c r="G97" s="1056"/>
      <c r="H97" s="1056"/>
      <c r="I97" s="1057"/>
      <c r="J97" s="1057"/>
      <c r="K97" s="1058"/>
      <c r="L97" s="1058"/>
      <c r="M97" s="726"/>
      <c r="O97" s="726"/>
    </row>
    <row r="98" spans="2:15" ht="14.25" hidden="1">
      <c r="B98" s="1076"/>
      <c r="C98" s="1076"/>
      <c r="D98" s="1079"/>
      <c r="G98" s="1056"/>
      <c r="H98" s="1056"/>
      <c r="I98" s="1057"/>
      <c r="J98" s="1057"/>
      <c r="K98" s="1058"/>
      <c r="L98" s="1058"/>
      <c r="M98" s="726"/>
      <c r="N98" s="726"/>
      <c r="O98" s="726"/>
    </row>
    <row r="99" spans="2:15" ht="14.25" hidden="1">
      <c r="E99" s="704"/>
      <c r="F99" s="705"/>
      <c r="G99" s="705"/>
      <c r="H99" s="705"/>
      <c r="I99" s="706"/>
      <c r="J99" s="706"/>
      <c r="K99" s="705"/>
      <c r="L99" s="705"/>
      <c r="M99" s="726"/>
      <c r="N99" s="726"/>
      <c r="O99" s="726"/>
    </row>
    <row r="100" spans="2:15" ht="14.25" hidden="1">
      <c r="E100" s="704"/>
      <c r="F100" s="705"/>
      <c r="G100" s="705"/>
      <c r="H100" s="705"/>
      <c r="I100" s="706"/>
      <c r="J100" s="706"/>
      <c r="K100" s="705"/>
      <c r="L100" s="705"/>
      <c r="M100" s="726"/>
      <c r="N100" s="726"/>
      <c r="O100" s="726"/>
    </row>
    <row r="101" spans="2:15" ht="14.25" hidden="1">
      <c r="E101" s="704"/>
      <c r="F101" s="705"/>
      <c r="G101" s="705"/>
      <c r="H101" s="705"/>
      <c r="I101" s="706"/>
      <c r="J101" s="706"/>
      <c r="K101" s="705"/>
      <c r="L101" s="705"/>
      <c r="M101" s="726"/>
      <c r="N101" s="726"/>
      <c r="O101" s="726"/>
    </row>
    <row r="102" spans="2:15" ht="14.25" hidden="1">
      <c r="E102" s="704"/>
      <c r="F102" s="705"/>
      <c r="G102" s="705"/>
      <c r="H102" s="705"/>
      <c r="I102" s="706"/>
      <c r="J102" s="706"/>
      <c r="K102" s="705"/>
      <c r="L102" s="705"/>
      <c r="M102" s="726"/>
      <c r="N102" s="726"/>
      <c r="O102" s="726"/>
    </row>
    <row r="103" spans="2:15" ht="14.25" hidden="1">
      <c r="E103" s="704"/>
      <c r="F103" s="705"/>
      <c r="G103" s="705"/>
      <c r="H103" s="705"/>
      <c r="I103" s="706"/>
      <c r="J103" s="706"/>
      <c r="K103" s="705"/>
      <c r="L103" s="705"/>
      <c r="M103" s="726"/>
      <c r="N103" s="726"/>
      <c r="O103" s="726"/>
    </row>
    <row r="104" spans="2:15" ht="14.25" hidden="1">
      <c r="E104" s="704"/>
      <c r="F104" s="705"/>
      <c r="G104" s="705"/>
      <c r="H104" s="705"/>
      <c r="I104" s="706"/>
      <c r="J104" s="706"/>
      <c r="K104" s="705"/>
      <c r="L104" s="705"/>
      <c r="M104" s="726"/>
      <c r="N104" s="726"/>
      <c r="O104" s="726"/>
    </row>
    <row r="105" spans="2:15" ht="14.25" hidden="1">
      <c r="E105" s="704"/>
      <c r="F105" s="705"/>
      <c r="G105" s="705"/>
      <c r="H105" s="705"/>
      <c r="I105" s="706"/>
      <c r="J105" s="706"/>
      <c r="K105" s="705"/>
      <c r="L105" s="705"/>
      <c r="M105" s="726"/>
      <c r="N105" s="726"/>
      <c r="O105" s="726"/>
    </row>
    <row r="106" spans="2:15" ht="14.25" hidden="1">
      <c r="E106" s="704"/>
      <c r="F106" s="705"/>
      <c r="G106" s="705"/>
      <c r="H106" s="705"/>
      <c r="I106" s="706"/>
      <c r="J106" s="706"/>
      <c r="K106" s="705"/>
      <c r="L106" s="705"/>
      <c r="M106" s="726"/>
      <c r="N106" s="726"/>
      <c r="O106" s="726"/>
    </row>
    <row r="107" spans="2:15" ht="14.25" hidden="1">
      <c r="E107" s="704"/>
      <c r="F107" s="705"/>
      <c r="G107" s="705"/>
      <c r="H107" s="705"/>
      <c r="I107" s="706"/>
      <c r="J107" s="706"/>
      <c r="K107" s="705"/>
      <c r="L107" s="705"/>
      <c r="M107" s="726"/>
      <c r="N107" s="726"/>
      <c r="O107" s="726"/>
    </row>
    <row r="108" spans="2:15" ht="14.25" hidden="1">
      <c r="E108" s="704"/>
      <c r="F108" s="705"/>
      <c r="G108" s="705"/>
      <c r="H108" s="705"/>
      <c r="I108" s="706"/>
      <c r="J108" s="706"/>
      <c r="K108" s="705"/>
      <c r="L108" s="705"/>
      <c r="M108" s="726"/>
      <c r="N108" s="726"/>
      <c r="O108" s="726"/>
    </row>
    <row r="109" spans="2:15" ht="14.25" hidden="1">
      <c r="E109" s="704"/>
      <c r="F109" s="705"/>
      <c r="G109" s="705"/>
      <c r="H109" s="705"/>
      <c r="I109" s="706"/>
      <c r="J109" s="706"/>
      <c r="K109" s="705"/>
      <c r="L109" s="705"/>
      <c r="M109" s="726"/>
      <c r="N109" s="726"/>
      <c r="O109" s="726"/>
    </row>
    <row r="110" spans="2:15" ht="14.25" hidden="1">
      <c r="E110" s="704"/>
      <c r="F110" s="705"/>
      <c r="G110" s="705"/>
      <c r="H110" s="705"/>
      <c r="I110" s="706"/>
      <c r="J110" s="706"/>
      <c r="K110" s="705"/>
      <c r="L110" s="705"/>
      <c r="M110" s="726"/>
      <c r="N110" s="726"/>
      <c r="O110" s="726"/>
    </row>
    <row r="111" spans="2:15" ht="14.25" hidden="1">
      <c r="E111" s="704"/>
      <c r="F111" s="705"/>
      <c r="G111" s="705"/>
      <c r="H111" s="705"/>
      <c r="I111" s="706"/>
      <c r="J111" s="706"/>
      <c r="K111" s="705"/>
      <c r="L111" s="705"/>
      <c r="M111" s="726"/>
      <c r="N111" s="726"/>
      <c r="O111" s="726"/>
    </row>
    <row r="112" spans="2:15" ht="14.25" hidden="1">
      <c r="E112" s="704"/>
      <c r="F112" s="705"/>
      <c r="G112" s="705"/>
      <c r="H112" s="705"/>
      <c r="I112" s="706"/>
      <c r="J112" s="706"/>
      <c r="K112" s="705"/>
      <c r="L112" s="705"/>
      <c r="M112" s="726"/>
      <c r="N112" s="726"/>
      <c r="O112" s="726"/>
    </row>
    <row r="113" spans="5:15" ht="14.25" hidden="1">
      <c r="E113" s="704"/>
      <c r="F113" s="705"/>
      <c r="G113" s="705"/>
      <c r="H113" s="705"/>
      <c r="I113" s="706"/>
      <c r="J113" s="706"/>
      <c r="K113" s="705"/>
      <c r="L113" s="705"/>
      <c r="M113" s="726"/>
      <c r="N113" s="726"/>
      <c r="O113" s="726"/>
    </row>
    <row r="114" spans="5:15" ht="14.25" hidden="1">
      <c r="E114" s="704"/>
      <c r="F114" s="705"/>
      <c r="G114" s="705"/>
      <c r="H114" s="705"/>
      <c r="I114" s="706"/>
      <c r="J114" s="706"/>
      <c r="K114" s="705"/>
      <c r="L114" s="705"/>
      <c r="M114" s="726"/>
      <c r="N114" s="726"/>
      <c r="O114" s="726"/>
    </row>
    <row r="115" spans="5:15" ht="14.25" hidden="1">
      <c r="E115" s="704"/>
      <c r="F115" s="705"/>
      <c r="G115" s="705"/>
      <c r="H115" s="705"/>
      <c r="I115" s="706"/>
      <c r="J115" s="706"/>
      <c r="K115" s="705"/>
      <c r="L115" s="705"/>
      <c r="M115" s="726"/>
      <c r="N115" s="726"/>
      <c r="O115" s="726"/>
    </row>
    <row r="116" spans="5:15" ht="14.25" hidden="1">
      <c r="E116" s="704"/>
      <c r="F116" s="705"/>
      <c r="G116" s="705"/>
      <c r="H116" s="705"/>
      <c r="I116" s="706"/>
      <c r="J116" s="706"/>
      <c r="K116" s="705"/>
      <c r="L116" s="705"/>
      <c r="M116" s="726"/>
      <c r="N116" s="726"/>
      <c r="O116" s="726"/>
    </row>
    <row r="117" spans="5:15" ht="14.25" hidden="1">
      <c r="E117" s="704"/>
      <c r="F117" s="705"/>
      <c r="G117" s="705"/>
      <c r="H117" s="705"/>
      <c r="I117" s="706"/>
      <c r="J117" s="706"/>
      <c r="K117" s="705"/>
      <c r="L117" s="705"/>
      <c r="M117" s="726"/>
      <c r="N117" s="726"/>
      <c r="O117" s="726"/>
    </row>
    <row r="118" spans="5:15" ht="14.25" hidden="1">
      <c r="E118" s="704"/>
      <c r="F118" s="705"/>
      <c r="G118" s="705"/>
      <c r="H118" s="705"/>
      <c r="I118" s="706"/>
      <c r="J118" s="706"/>
      <c r="K118" s="705"/>
      <c r="L118" s="705"/>
      <c r="M118" s="726"/>
      <c r="N118" s="726"/>
      <c r="O118" s="726"/>
    </row>
    <row r="119" spans="5:15" ht="14.25" hidden="1">
      <c r="E119" s="704"/>
      <c r="F119" s="705"/>
      <c r="G119" s="705"/>
      <c r="H119" s="705"/>
      <c r="I119" s="706"/>
      <c r="J119" s="706"/>
      <c r="K119" s="705"/>
      <c r="L119" s="705"/>
      <c r="M119" s="726"/>
      <c r="N119" s="726"/>
      <c r="O119" s="726"/>
    </row>
    <row r="120" spans="5:15" ht="14.25" hidden="1">
      <c r="E120" s="704"/>
      <c r="F120" s="705"/>
      <c r="G120" s="705"/>
      <c r="H120" s="705"/>
      <c r="I120" s="706"/>
      <c r="J120" s="706"/>
      <c r="K120" s="705"/>
      <c r="L120" s="705"/>
      <c r="M120" s="726"/>
      <c r="N120" s="726"/>
      <c r="O120" s="726"/>
    </row>
    <row r="121" spans="5:15" ht="14.25" hidden="1">
      <c r="E121" s="704"/>
      <c r="F121" s="705"/>
      <c r="G121" s="705"/>
      <c r="H121" s="705"/>
      <c r="I121" s="706"/>
      <c r="J121" s="706"/>
      <c r="K121" s="705"/>
      <c r="L121" s="705"/>
      <c r="M121" s="726"/>
      <c r="N121" s="726"/>
      <c r="O121" s="726"/>
    </row>
    <row r="122" spans="5:15" ht="14.25" hidden="1">
      <c r="E122" s="704"/>
      <c r="F122" s="705"/>
      <c r="G122" s="705"/>
      <c r="H122" s="705"/>
      <c r="I122" s="706"/>
      <c r="J122" s="706"/>
      <c r="K122" s="705"/>
      <c r="L122" s="705"/>
      <c r="M122" s="726"/>
      <c r="N122" s="726"/>
      <c r="O122" s="726"/>
    </row>
    <row r="123" spans="5:15" ht="14.25" hidden="1">
      <c r="E123" s="704"/>
      <c r="F123" s="705"/>
      <c r="G123" s="705"/>
      <c r="H123" s="705"/>
      <c r="I123" s="706"/>
      <c r="J123" s="706"/>
      <c r="K123" s="705"/>
      <c r="L123" s="705"/>
      <c r="M123" s="726"/>
      <c r="N123" s="726"/>
      <c r="O123" s="726"/>
    </row>
    <row r="124" spans="5:15" ht="14.25" hidden="1">
      <c r="E124" s="704"/>
      <c r="F124" s="705"/>
      <c r="G124" s="705"/>
      <c r="H124" s="705"/>
      <c r="I124" s="706"/>
      <c r="J124" s="706"/>
      <c r="K124" s="705"/>
      <c r="L124" s="705"/>
      <c r="M124" s="726"/>
      <c r="N124" s="726"/>
      <c r="O124" s="726"/>
    </row>
    <row r="125" spans="5:15" ht="14.25" hidden="1">
      <c r="E125" s="704"/>
      <c r="F125" s="705"/>
      <c r="G125" s="705"/>
      <c r="H125" s="705"/>
      <c r="I125" s="706"/>
      <c r="J125" s="706"/>
      <c r="K125" s="705"/>
      <c r="L125" s="705"/>
      <c r="M125" s="726"/>
      <c r="N125" s="726"/>
      <c r="O125" s="726"/>
    </row>
    <row r="126" spans="5:15" ht="14.25" hidden="1">
      <c r="E126" s="704"/>
      <c r="F126" s="705"/>
      <c r="G126" s="705"/>
      <c r="H126" s="705"/>
      <c r="I126" s="706"/>
      <c r="J126" s="706"/>
      <c r="K126" s="705"/>
      <c r="L126" s="705"/>
      <c r="M126" s="726"/>
      <c r="N126" s="726"/>
      <c r="O126" s="726"/>
    </row>
    <row r="127" spans="5:15" ht="14.25" hidden="1">
      <c r="E127" s="704"/>
      <c r="F127" s="705"/>
      <c r="G127" s="705"/>
      <c r="H127" s="705"/>
      <c r="I127" s="706"/>
      <c r="J127" s="706"/>
      <c r="K127" s="705"/>
      <c r="L127" s="705"/>
      <c r="M127" s="726"/>
      <c r="N127" s="726"/>
      <c r="O127" s="726"/>
    </row>
    <row r="128" spans="5:15" ht="14.25" hidden="1">
      <c r="E128" s="704"/>
      <c r="F128" s="705"/>
      <c r="G128" s="705"/>
      <c r="H128" s="705"/>
      <c r="I128" s="706"/>
      <c r="J128" s="706"/>
      <c r="K128" s="705"/>
      <c r="L128" s="705"/>
      <c r="M128" s="726"/>
      <c r="N128" s="726"/>
      <c r="O128" s="726"/>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sheetProtection sheet="1" objects="1" scenarios="1"/>
  <mergeCells count="18">
    <mergeCell ref="L69:O69"/>
    <mergeCell ref="D14:E14"/>
    <mergeCell ref="B65:K65"/>
    <mergeCell ref="L65:O65"/>
    <mergeCell ref="B67:G67"/>
    <mergeCell ref="H67:K67"/>
    <mergeCell ref="L67:O67"/>
    <mergeCell ref="L35:O38"/>
    <mergeCell ref="B69:G69"/>
    <mergeCell ref="H69:K69"/>
    <mergeCell ref="J13:K13"/>
    <mergeCell ref="D18:G20"/>
    <mergeCell ref="J18:K20"/>
    <mergeCell ref="H36:K38"/>
    <mergeCell ref="Q2:Q5"/>
    <mergeCell ref="K5:L5"/>
    <mergeCell ref="N5:O5"/>
    <mergeCell ref="D13:E13"/>
  </mergeCells>
  <phoneticPr fontId="20"/>
  <conditionalFormatting sqref="H27:K35">
    <cfRule type="expression" dxfId="85"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4"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20.xml><?xml version="1.0" encoding="utf-8"?>
<worksheet xmlns="http://schemas.openxmlformats.org/spreadsheetml/2006/main" xmlns:r="http://schemas.openxmlformats.org/officeDocument/2006/relationships">
  <sheetPr codeName="Sheet25">
    <pageSetUpPr autoPageBreaks="0"/>
  </sheetPr>
  <dimension ref="A1:CP219"/>
  <sheetViews>
    <sheetView showGridLines="0" topLeftCell="G1" zoomScaleNormal="100" zoomScaleSheetLayoutView="100" workbookViewId="0">
      <selection activeCell="E7" sqref="E7"/>
    </sheetView>
  </sheetViews>
  <sheetFormatPr defaultColWidth="0" defaultRowHeight="13.5" zeroHeight="1"/>
  <cols>
    <col min="1" max="1" width="1.25" customWidth="1"/>
    <col min="2" max="2" width="6.625" style="1997" customWidth="1"/>
    <col min="3" max="3" width="31.625" style="1998" customWidth="1"/>
    <col min="4" max="4" width="7.375" style="1999" customWidth="1"/>
    <col min="5" max="5" width="6.625" style="2000" customWidth="1"/>
    <col min="6" max="6" width="1.625" customWidth="1"/>
    <col min="7" max="14" width="6.625" style="2000" customWidth="1"/>
    <col min="15" max="15" width="2.625" customWidth="1"/>
    <col min="16" max="16" width="6.625" style="2001" customWidth="1"/>
    <col min="17" max="17" width="6.625" style="2001" hidden="1" customWidth="1"/>
    <col min="18" max="18" width="24.875" style="2002" customWidth="1"/>
    <col min="19" max="30" width="6.625" style="2003" customWidth="1"/>
    <col min="31" max="31" width="8.875" style="2003" bestFit="1" customWidth="1"/>
    <col min="32" max="32" width="1.625" customWidth="1"/>
    <col min="33" max="33" width="10.5" style="2004" hidden="1" customWidth="1"/>
    <col min="34" max="34" width="6.875" style="1745" hidden="1" customWidth="1"/>
    <col min="35" max="35" width="40.625" style="2005" hidden="1" customWidth="1"/>
    <col min="36" max="36" width="6.375" style="1745" hidden="1" customWidth="1"/>
    <col min="37" max="37" width="5.625" style="1745" hidden="1" customWidth="1"/>
    <col min="38" max="39" width="6.375" style="1745" hidden="1" customWidth="1"/>
    <col min="40" max="40" width="5.625" style="1745" hidden="1" customWidth="1"/>
    <col min="41" max="41" width="6.125" style="1745" hidden="1" customWidth="1"/>
    <col min="42" max="42" width="8" style="1745" hidden="1" customWidth="1"/>
    <col min="43" max="43" width="6.375" style="1745" hidden="1" customWidth="1"/>
    <col min="44" max="44" width="5.625" style="1745" hidden="1" customWidth="1"/>
    <col min="45" max="45" width="6.375" style="1745" hidden="1" customWidth="1"/>
    <col min="46" max="46" width="5.625" style="1745" hidden="1" customWidth="1"/>
    <col min="47" max="47" width="7" style="1745" hidden="1" customWidth="1"/>
    <col min="48" max="48" width="8.875" style="1745" hidden="1" customWidth="1"/>
    <col min="49" max="49" width="1.375" hidden="1" customWidth="1"/>
    <col min="50" max="50" width="15.75" style="2004" hidden="1" customWidth="1"/>
    <col min="51" max="51" width="6.875" style="1745" hidden="1" customWidth="1"/>
    <col min="52" max="52" width="40.625" style="2005" hidden="1" customWidth="1"/>
    <col min="53" max="53" width="6.375" style="1745" hidden="1" customWidth="1"/>
    <col min="54" max="54" width="5" style="1745" hidden="1" customWidth="1"/>
    <col min="55" max="56" width="6.375" style="1745" hidden="1" customWidth="1"/>
    <col min="57" max="57" width="5" style="1745" hidden="1" customWidth="1"/>
    <col min="58" max="58" width="6.125" style="1745" hidden="1" customWidth="1"/>
    <col min="59" max="59" width="8" style="1745" hidden="1" customWidth="1"/>
    <col min="60" max="60" width="6.375" style="1745" hidden="1" customWidth="1"/>
    <col min="61" max="61" width="5" style="1745" hidden="1" customWidth="1"/>
    <col min="62" max="62" width="6.375" style="1745" hidden="1" customWidth="1"/>
    <col min="63" max="63" width="5.625" style="1745" hidden="1" customWidth="1"/>
    <col min="64" max="64" width="7" style="1745" hidden="1" customWidth="1"/>
    <col min="65" max="65" width="8.875" style="1745" hidden="1" customWidth="1"/>
    <col min="66" max="66" width="3.5" hidden="1" customWidth="1"/>
    <col min="67" max="67" width="4" style="2004" hidden="1" customWidth="1"/>
    <col min="68" max="68" width="6.875" style="1745" hidden="1" customWidth="1"/>
    <col min="69" max="69" width="40.625" style="2005" hidden="1" customWidth="1"/>
    <col min="70" max="70" width="6.375" style="1745" hidden="1" customWidth="1"/>
    <col min="71" max="71" width="5.625" style="1745" hidden="1" customWidth="1"/>
    <col min="72" max="73" width="6.375" style="1745" hidden="1" customWidth="1"/>
    <col min="74" max="74" width="5.625" style="1745" hidden="1" customWidth="1"/>
    <col min="75" max="75" width="6.125" style="1745" hidden="1" customWidth="1"/>
    <col min="76" max="76" width="8" style="1745" hidden="1" customWidth="1"/>
    <col min="77" max="77" width="6.375" style="1745" hidden="1" customWidth="1"/>
    <col min="78" max="78" width="5.625" style="1745" hidden="1" customWidth="1"/>
    <col min="79" max="79" width="6.375" style="1745" hidden="1" customWidth="1"/>
    <col min="80" max="80" width="5.625" style="1745" hidden="1" customWidth="1"/>
    <col min="81" max="81" width="7" style="1745" hidden="1" customWidth="1"/>
    <col min="82" max="82" width="8.875" style="1745" hidden="1" customWidth="1"/>
    <col min="83" max="83" width="4.5" hidden="1" customWidth="1"/>
    <col min="84" max="93" width="6.625" style="1556" hidden="1" customWidth="1"/>
    <col min="94" max="94" width="4.75" style="1556" hidden="1" customWidth="1"/>
    <col min="95" max="16384" width="0" style="1556" hidden="1"/>
  </cols>
  <sheetData>
    <row r="1" spans="1:83"/>
    <row r="2" spans="1:83" s="1565" customFormat="1" ht="17.25">
      <c r="A2"/>
      <c r="B2" s="2006" t="s">
        <v>256</v>
      </c>
      <c r="C2" s="2007"/>
      <c r="D2" s="2008"/>
      <c r="E2" s="2009"/>
      <c r="F2"/>
      <c r="G2" s="2009"/>
      <c r="H2" s="2009"/>
      <c r="I2" s="2010"/>
      <c r="J2" s="2010"/>
      <c r="K2" s="2009"/>
      <c r="L2" s="2009"/>
      <c r="M2" s="2009"/>
      <c r="N2" s="2009"/>
      <c r="O2"/>
      <c r="P2" s="2011" t="s">
        <v>257</v>
      </c>
      <c r="Q2" s="2012"/>
      <c r="R2" s="2013"/>
      <c r="S2" s="1562"/>
      <c r="T2" s="2014"/>
      <c r="U2" s="2014"/>
      <c r="V2" s="2014"/>
      <c r="W2" s="2014"/>
      <c r="X2" s="2014"/>
      <c r="Y2" s="2014"/>
      <c r="Z2" s="2014"/>
      <c r="AA2" s="2014"/>
      <c r="AB2" s="2014"/>
      <c r="AC2" s="2014"/>
      <c r="AD2" s="2014"/>
      <c r="AE2" s="2014"/>
      <c r="AF2"/>
      <c r="AG2" s="2015"/>
      <c r="AH2" s="1562"/>
      <c r="AI2" s="2016"/>
      <c r="AJ2" s="1562"/>
      <c r="AK2" s="1562"/>
      <c r="AL2" s="1562"/>
      <c r="AM2" s="1562"/>
      <c r="AN2" s="1562"/>
      <c r="AO2" s="1562"/>
      <c r="AP2" s="1562"/>
      <c r="AQ2" s="1562"/>
      <c r="AR2" s="1562"/>
      <c r="AS2" s="1562"/>
      <c r="AT2" s="1562"/>
      <c r="AU2" s="1562"/>
      <c r="AV2" s="1562"/>
      <c r="AW2"/>
      <c r="AX2" s="2015"/>
      <c r="AY2" s="1562"/>
      <c r="AZ2" s="2016"/>
      <c r="BA2" s="1562"/>
      <c r="BB2" s="1562"/>
      <c r="BC2" s="1562"/>
      <c r="BD2" s="1562"/>
      <c r="BE2" s="1562"/>
      <c r="BF2" s="1562"/>
      <c r="BG2" s="1562"/>
      <c r="BH2" s="1562"/>
      <c r="BI2" s="1562"/>
      <c r="BJ2" s="1562"/>
      <c r="BK2" s="1562"/>
      <c r="BL2" s="1562"/>
      <c r="BM2" s="1562"/>
      <c r="BN2"/>
      <c r="BO2" s="2015"/>
      <c r="BP2" s="1562"/>
      <c r="BQ2" s="2016"/>
      <c r="BR2" s="1562"/>
      <c r="BS2" s="1562"/>
      <c r="BT2" s="1562"/>
      <c r="BU2" s="1562"/>
      <c r="BV2" s="1562"/>
      <c r="BW2" s="1562"/>
      <c r="BX2" s="1562"/>
      <c r="BY2" s="1562"/>
      <c r="BZ2" s="1562"/>
      <c r="CA2" s="1562"/>
      <c r="CB2" s="1562"/>
      <c r="CC2" s="1562"/>
      <c r="CD2" s="1562"/>
      <c r="CE2"/>
    </row>
    <row r="3" spans="1:83" s="1565" customFormat="1" ht="17.25">
      <c r="A3"/>
      <c r="B3" s="2006"/>
      <c r="C3" s="2007"/>
      <c r="D3" s="2008"/>
      <c r="E3" s="2009"/>
      <c r="F3"/>
      <c r="G3" s="2009"/>
      <c r="H3" s="2009"/>
      <c r="I3" s="2010"/>
      <c r="J3" s="2010"/>
      <c r="K3" s="2009"/>
      <c r="L3" s="2009"/>
      <c r="M3" s="2009"/>
      <c r="N3" s="2009"/>
      <c r="O3"/>
      <c r="P3" s="2017">
        <v>0</v>
      </c>
      <c r="Q3" s="1562"/>
      <c r="R3" s="1994" t="s">
        <v>806</v>
      </c>
      <c r="S3" s="1995">
        <v>2</v>
      </c>
      <c r="T3" s="2014"/>
      <c r="U3" s="2014"/>
      <c r="V3" s="2014"/>
      <c r="W3" s="2014"/>
      <c r="X3" s="2014"/>
      <c r="Y3" s="2014"/>
      <c r="Z3" s="2014"/>
      <c r="AA3" s="2014"/>
      <c r="AB3" s="2014"/>
      <c r="AC3" s="2014"/>
      <c r="AD3" s="2014"/>
      <c r="AE3" s="2014"/>
      <c r="AF3"/>
      <c r="AG3" s="2017" t="s">
        <v>1090</v>
      </c>
      <c r="AH3" s="1562"/>
      <c r="AI3" s="2018"/>
      <c r="AJ3" s="2014"/>
      <c r="AK3" s="2014"/>
      <c r="AL3" s="2014"/>
      <c r="AM3" s="2014"/>
      <c r="AN3" s="2014"/>
      <c r="AO3" s="2014"/>
      <c r="AP3" s="2014"/>
      <c r="AQ3" s="2014"/>
      <c r="AR3" s="2014"/>
      <c r="AS3" s="2014"/>
      <c r="AT3" s="2014"/>
      <c r="AU3" s="2014"/>
      <c r="AV3" s="2014"/>
      <c r="AW3"/>
      <c r="AX3" s="2017" t="s">
        <v>395</v>
      </c>
      <c r="AY3" s="1562"/>
      <c r="AZ3" s="2018"/>
      <c r="BA3" s="2014"/>
      <c r="BB3" s="2014"/>
      <c r="BC3" s="2014"/>
      <c r="BD3" s="2014"/>
      <c r="BE3" s="2014"/>
      <c r="BF3" s="2014"/>
      <c r="BG3" s="2014"/>
      <c r="BH3" s="2014"/>
      <c r="BI3" s="2014"/>
      <c r="BJ3" s="2014"/>
      <c r="BK3" s="2014"/>
      <c r="BL3" s="2014"/>
      <c r="BM3" s="2014"/>
      <c r="BN3"/>
      <c r="BO3" s="2017" t="s">
        <v>396</v>
      </c>
      <c r="BP3" s="1562"/>
      <c r="BQ3" s="2018"/>
      <c r="BR3" s="2014"/>
      <c r="BS3" s="2014"/>
      <c r="BT3" s="2014"/>
      <c r="BU3" s="2014"/>
      <c r="BV3" s="2014"/>
      <c r="BW3" s="2014"/>
      <c r="BX3" s="2014"/>
      <c r="BY3" s="2014"/>
      <c r="BZ3" s="2014"/>
      <c r="CA3" s="2014"/>
      <c r="CB3" s="2014"/>
      <c r="CC3" s="2014"/>
      <c r="CD3" s="2014"/>
      <c r="CE3"/>
    </row>
    <row r="4" spans="1:83" s="1565" customFormat="1" ht="4.5" customHeight="1">
      <c r="A4"/>
      <c r="B4" s="2006"/>
      <c r="C4" s="2007"/>
      <c r="D4" s="2008"/>
      <c r="E4" s="2009"/>
      <c r="F4"/>
      <c r="G4" s="2009"/>
      <c r="H4" s="2009"/>
      <c r="I4" s="2010"/>
      <c r="J4" s="2010"/>
      <c r="K4" s="2009"/>
      <c r="L4" s="2009"/>
      <c r="M4" s="2009"/>
      <c r="N4" s="2009"/>
      <c r="O4"/>
      <c r="P4" s="2012"/>
      <c r="Q4" s="2012"/>
      <c r="R4" s="2018"/>
      <c r="S4" s="2014"/>
      <c r="T4" s="2014"/>
      <c r="U4" s="2014"/>
      <c r="V4" s="2014"/>
      <c r="W4" s="2014"/>
      <c r="X4" s="2014"/>
      <c r="Y4" s="2014"/>
      <c r="Z4" s="2014"/>
      <c r="AA4" s="2014"/>
      <c r="AB4" s="2014"/>
      <c r="AC4" s="2014"/>
      <c r="AD4" s="2014"/>
      <c r="AE4" s="2014"/>
      <c r="AF4"/>
      <c r="AG4" s="2017"/>
      <c r="AH4" s="2012"/>
      <c r="AI4" s="2018"/>
      <c r="AJ4" s="2014"/>
      <c r="AK4" s="2014"/>
      <c r="AL4" s="2014"/>
      <c r="AM4" s="2014"/>
      <c r="AN4" s="2014"/>
      <c r="AO4" s="2014"/>
      <c r="AP4" s="2014"/>
      <c r="AQ4" s="2014"/>
      <c r="AR4" s="2014"/>
      <c r="AS4" s="2014"/>
      <c r="AT4" s="2014"/>
      <c r="AU4" s="2014"/>
      <c r="AV4" s="2014"/>
      <c r="AW4"/>
      <c r="AX4" s="2017"/>
      <c r="AY4" s="2012"/>
      <c r="AZ4" s="2018"/>
      <c r="BA4" s="2014"/>
      <c r="BB4" s="2014"/>
      <c r="BC4" s="2014"/>
      <c r="BD4" s="2014"/>
      <c r="BE4" s="2014"/>
      <c r="BF4" s="2014"/>
      <c r="BG4" s="2014"/>
      <c r="BH4" s="2014"/>
      <c r="BI4" s="2014"/>
      <c r="BJ4" s="2014"/>
      <c r="BK4" s="2014"/>
      <c r="BL4" s="2014"/>
      <c r="BM4" s="2014"/>
      <c r="BN4"/>
      <c r="BO4" s="2017"/>
      <c r="BP4" s="2012"/>
      <c r="BQ4" s="2018"/>
      <c r="BR4" s="2014"/>
      <c r="BS4" s="2014"/>
      <c r="BT4" s="2014"/>
      <c r="BU4" s="2014"/>
      <c r="BV4" s="2014"/>
      <c r="BW4" s="2014"/>
      <c r="BX4" s="2014"/>
      <c r="BY4" s="2014"/>
      <c r="BZ4" s="2014"/>
      <c r="CA4" s="2014"/>
      <c r="CB4" s="2014"/>
      <c r="CC4" s="2014"/>
      <c r="CD4" s="2014"/>
      <c r="CE4"/>
    </row>
    <row r="5" spans="1:83">
      <c r="B5" s="1996"/>
      <c r="C5" s="2019"/>
      <c r="D5" s="1698" t="s">
        <v>382</v>
      </c>
      <c r="E5" s="2020"/>
      <c r="G5" s="2021" t="s">
        <v>384</v>
      </c>
      <c r="H5" s="2022"/>
      <c r="I5" s="2023" t="s">
        <v>383</v>
      </c>
      <c r="J5" s="2024"/>
      <c r="K5" s="2021" t="s">
        <v>385</v>
      </c>
      <c r="L5" s="2022"/>
      <c r="M5" s="2021" t="s">
        <v>259</v>
      </c>
      <c r="N5" s="2022"/>
      <c r="P5" s="1570"/>
      <c r="Q5" s="1570"/>
      <c r="R5" s="2025"/>
      <c r="S5" s="3189" t="s">
        <v>260</v>
      </c>
      <c r="T5" s="3189"/>
      <c r="U5" s="3189"/>
      <c r="V5" s="3189"/>
      <c r="W5" s="3189"/>
      <c r="X5" s="3189"/>
      <c r="Y5" s="3189"/>
      <c r="Z5" s="3189"/>
      <c r="AA5" s="3190"/>
      <c r="AB5" s="2026" t="s">
        <v>896</v>
      </c>
      <c r="AC5" s="3189" t="s">
        <v>261</v>
      </c>
      <c r="AD5" s="3189"/>
      <c r="AE5" s="3189"/>
      <c r="AG5" s="2027"/>
      <c r="AH5" s="1570"/>
      <c r="AI5" s="2028"/>
      <c r="AJ5" s="3189" t="s">
        <v>260</v>
      </c>
      <c r="AK5" s="3189"/>
      <c r="AL5" s="3189"/>
      <c r="AM5" s="3189"/>
      <c r="AN5" s="3189"/>
      <c r="AO5" s="3189"/>
      <c r="AP5" s="3189"/>
      <c r="AQ5" s="3189"/>
      <c r="AR5" s="3190"/>
      <c r="AS5" s="2026" t="s">
        <v>896</v>
      </c>
      <c r="AT5" s="3189" t="s">
        <v>261</v>
      </c>
      <c r="AU5" s="3189"/>
      <c r="AV5" s="3189"/>
      <c r="AX5" s="2027"/>
      <c r="AY5" s="1570"/>
      <c r="AZ5" s="2028"/>
      <c r="BA5" s="3189" t="s">
        <v>260</v>
      </c>
      <c r="BB5" s="3189"/>
      <c r="BC5" s="3189"/>
      <c r="BD5" s="3189"/>
      <c r="BE5" s="3189"/>
      <c r="BF5" s="3189"/>
      <c r="BG5" s="3189"/>
      <c r="BH5" s="3189"/>
      <c r="BI5" s="3190"/>
      <c r="BJ5" s="2026" t="s">
        <v>896</v>
      </c>
      <c r="BK5" s="3189" t="s">
        <v>261</v>
      </c>
      <c r="BL5" s="3189"/>
      <c r="BM5" s="3189"/>
      <c r="BO5" s="2027"/>
      <c r="BP5" s="1570"/>
      <c r="BQ5" s="2028"/>
      <c r="BR5" s="3189" t="s">
        <v>260</v>
      </c>
      <c r="BS5" s="3189"/>
      <c r="BT5" s="3189"/>
      <c r="BU5" s="3189"/>
      <c r="BV5" s="3189"/>
      <c r="BW5" s="3189"/>
      <c r="BX5" s="3189"/>
      <c r="BY5" s="3189"/>
      <c r="BZ5" s="3190"/>
      <c r="CA5" s="2026" t="s">
        <v>896</v>
      </c>
      <c r="CB5" s="3189" t="s">
        <v>261</v>
      </c>
      <c r="CC5" s="3189"/>
      <c r="CD5" s="3189"/>
    </row>
    <row r="6" spans="1:83" s="2036" customFormat="1">
      <c r="A6"/>
      <c r="B6" s="2029"/>
      <c r="C6" s="2030"/>
      <c r="D6" s="2031" t="s">
        <v>262</v>
      </c>
      <c r="E6" s="2031" t="s">
        <v>263</v>
      </c>
      <c r="F6"/>
      <c r="G6" s="2031" t="s">
        <v>262</v>
      </c>
      <c r="H6" s="2031" t="s">
        <v>263</v>
      </c>
      <c r="I6" s="2031" t="s">
        <v>262</v>
      </c>
      <c r="J6" s="2031" t="s">
        <v>263</v>
      </c>
      <c r="K6" s="2031" t="s">
        <v>262</v>
      </c>
      <c r="L6" s="2031" t="s">
        <v>263</v>
      </c>
      <c r="M6" s="2031" t="s">
        <v>262</v>
      </c>
      <c r="N6" s="2031" t="s">
        <v>263</v>
      </c>
      <c r="O6"/>
      <c r="P6" s="2025"/>
      <c r="Q6" s="2025" t="s">
        <v>109</v>
      </c>
      <c r="R6" s="2025" t="s">
        <v>453</v>
      </c>
      <c r="S6" s="2032" t="s">
        <v>519</v>
      </c>
      <c r="T6" s="2032" t="s">
        <v>521</v>
      </c>
      <c r="U6" s="2032" t="s">
        <v>523</v>
      </c>
      <c r="V6" s="2032" t="s">
        <v>525</v>
      </c>
      <c r="W6" s="2032" t="s">
        <v>529</v>
      </c>
      <c r="X6" s="2032" t="s">
        <v>226</v>
      </c>
      <c r="Y6" s="2032" t="s">
        <v>533</v>
      </c>
      <c r="Z6" s="2033" t="s">
        <v>819</v>
      </c>
      <c r="AA6" s="2032" t="s">
        <v>535</v>
      </c>
      <c r="AB6" s="2032" t="s">
        <v>521</v>
      </c>
      <c r="AC6" s="2034" t="s">
        <v>1097</v>
      </c>
      <c r="AD6" s="2032" t="s">
        <v>1098</v>
      </c>
      <c r="AE6" s="2032" t="s">
        <v>1099</v>
      </c>
      <c r="AF6"/>
      <c r="AG6" s="2035"/>
      <c r="AH6" s="2025" t="s">
        <v>109</v>
      </c>
      <c r="AI6" s="2028" t="s">
        <v>453</v>
      </c>
      <c r="AJ6" s="2032" t="s">
        <v>519</v>
      </c>
      <c r="AK6" s="2032" t="s">
        <v>521</v>
      </c>
      <c r="AL6" s="2032" t="s">
        <v>523</v>
      </c>
      <c r="AM6" s="2032" t="s">
        <v>525</v>
      </c>
      <c r="AN6" s="2032" t="s">
        <v>529</v>
      </c>
      <c r="AO6" s="2032" t="s">
        <v>226</v>
      </c>
      <c r="AP6" s="2032" t="s">
        <v>533</v>
      </c>
      <c r="AQ6" s="2033" t="s">
        <v>819</v>
      </c>
      <c r="AR6" s="2032" t="s">
        <v>535</v>
      </c>
      <c r="AS6" s="2032" t="s">
        <v>521</v>
      </c>
      <c r="AT6" s="2034" t="s">
        <v>1097</v>
      </c>
      <c r="AU6" s="2032" t="s">
        <v>1098</v>
      </c>
      <c r="AV6" s="2032" t="s">
        <v>1099</v>
      </c>
      <c r="AW6"/>
      <c r="AX6" s="2035"/>
      <c r="AY6" s="2025" t="s">
        <v>109</v>
      </c>
      <c r="AZ6" s="2028" t="s">
        <v>453</v>
      </c>
      <c r="BA6" s="2032" t="s">
        <v>519</v>
      </c>
      <c r="BB6" s="2032" t="s">
        <v>521</v>
      </c>
      <c r="BC6" s="2032" t="s">
        <v>523</v>
      </c>
      <c r="BD6" s="2032" t="s">
        <v>525</v>
      </c>
      <c r="BE6" s="2032" t="s">
        <v>529</v>
      </c>
      <c r="BF6" s="2032" t="s">
        <v>226</v>
      </c>
      <c r="BG6" s="2032" t="s">
        <v>533</v>
      </c>
      <c r="BH6" s="2033" t="s">
        <v>819</v>
      </c>
      <c r="BI6" s="2032" t="s">
        <v>535</v>
      </c>
      <c r="BJ6" s="2032" t="s">
        <v>521</v>
      </c>
      <c r="BK6" s="2034" t="s">
        <v>1097</v>
      </c>
      <c r="BL6" s="2032" t="s">
        <v>1098</v>
      </c>
      <c r="BM6" s="2032" t="s">
        <v>1099</v>
      </c>
      <c r="BN6"/>
      <c r="BO6" s="2035"/>
      <c r="BP6" s="2025" t="s">
        <v>109</v>
      </c>
      <c r="BQ6" s="2028" t="s">
        <v>453</v>
      </c>
      <c r="BR6" s="2032" t="s">
        <v>519</v>
      </c>
      <c r="BS6" s="2032" t="s">
        <v>521</v>
      </c>
      <c r="BT6" s="2032" t="s">
        <v>523</v>
      </c>
      <c r="BU6" s="2032" t="s">
        <v>525</v>
      </c>
      <c r="BV6" s="2032" t="s">
        <v>529</v>
      </c>
      <c r="BW6" s="2032" t="s">
        <v>226</v>
      </c>
      <c r="BX6" s="2032" t="s">
        <v>533</v>
      </c>
      <c r="BY6" s="2033" t="s">
        <v>819</v>
      </c>
      <c r="BZ6" s="2032" t="s">
        <v>535</v>
      </c>
      <c r="CA6" s="2032" t="s">
        <v>521</v>
      </c>
      <c r="CB6" s="2034" t="s">
        <v>1097</v>
      </c>
      <c r="CC6" s="2032" t="s">
        <v>1098</v>
      </c>
      <c r="CD6" s="2032" t="s">
        <v>1099</v>
      </c>
      <c r="CE6"/>
    </row>
    <row r="7" spans="1:83">
      <c r="B7" s="1575"/>
      <c r="C7" s="2037" t="s">
        <v>1100</v>
      </c>
      <c r="D7" s="2038" t="e">
        <f>1-E7</f>
        <v>#DIV/0!</v>
      </c>
      <c r="E7" s="2039" t="e">
        <f>(AC8*W7)+(AD8*X7)+(AE8*Y7)</f>
        <v>#DIV/0!</v>
      </c>
      <c r="G7" s="2039"/>
      <c r="H7" s="2039"/>
      <c r="I7" s="2039"/>
      <c r="J7" s="2039"/>
      <c r="K7" s="2039"/>
      <c r="L7" s="2039"/>
      <c r="M7" s="2039"/>
      <c r="N7" s="2039"/>
      <c r="P7" s="1570"/>
      <c r="Q7" s="1570" t="s">
        <v>267</v>
      </c>
      <c r="R7" s="2025" t="s">
        <v>1091</v>
      </c>
      <c r="S7" s="1583" t="e">
        <f>メイン!$O$47/メイン!$O$67</f>
        <v>#DIV/0!</v>
      </c>
      <c r="T7" s="1583" t="e">
        <f>(メイン!E49+メイン!E52+メイン!E53)/メイン!$C$19</f>
        <v>#DIV/0!</v>
      </c>
      <c r="U7" s="1583" t="e">
        <f>メイン!$O$54/メイン!$O$67</f>
        <v>#DIV/0!</v>
      </c>
      <c r="V7" s="1583" t="e">
        <f>メイン!$O$56/メイン!$O$67</f>
        <v>#DIV/0!</v>
      </c>
      <c r="W7" s="1583" t="e">
        <f>メイン!$O$60/メイン!$O$67</f>
        <v>#DIV/0!</v>
      </c>
      <c r="X7" s="1583" t="e">
        <f>メイン!$O$61/メイン!$O$67</f>
        <v>#DIV/0!</v>
      </c>
      <c r="Y7" s="1583" t="e">
        <f>メイン!$O$62/メイン!$O$67</f>
        <v>#DIV/0!</v>
      </c>
      <c r="Z7" s="1583" t="e">
        <f>メイン!$O$57/メイン!$O$67</f>
        <v>#DIV/0!</v>
      </c>
      <c r="AA7" s="1583" t="e">
        <f>メイン!$O$63/メイン!$O$67</f>
        <v>#DIV/0!</v>
      </c>
      <c r="AB7" s="1583" t="e">
        <f>(メイン!E50+メイン!E51)/メイン!$C$19</f>
        <v>#DIV/0!</v>
      </c>
      <c r="AC7" s="1583" t="e">
        <f>W7</f>
        <v>#DIV/0!</v>
      </c>
      <c r="AD7" s="1583" t="e">
        <f>X7</f>
        <v>#DIV/0!</v>
      </c>
      <c r="AE7" s="1583" t="e">
        <f>Y7</f>
        <v>#DIV/0!</v>
      </c>
      <c r="AG7" s="2027"/>
      <c r="AH7" s="1570"/>
      <c r="AI7" s="2028"/>
      <c r="AJ7" s="2040"/>
      <c r="AK7" s="2040"/>
      <c r="AL7" s="2040"/>
      <c r="AM7" s="2040"/>
      <c r="AN7" s="2040"/>
      <c r="AO7" s="2040"/>
      <c r="AP7" s="2040"/>
      <c r="AQ7" s="2041"/>
      <c r="AR7" s="2040"/>
      <c r="AS7" s="2040"/>
      <c r="AT7" s="2040"/>
      <c r="AU7" s="2040"/>
      <c r="AV7" s="2040"/>
      <c r="AX7" s="2027"/>
      <c r="AY7" s="1570"/>
      <c r="AZ7" s="2028"/>
      <c r="BA7" s="2040"/>
      <c r="BB7" s="2040"/>
      <c r="BC7" s="2040"/>
      <c r="BD7" s="2040"/>
      <c r="BE7" s="2040"/>
      <c r="BF7" s="2040"/>
      <c r="BG7" s="2040"/>
      <c r="BH7" s="2041"/>
      <c r="BI7" s="2040"/>
      <c r="BJ7" s="2040"/>
      <c r="BK7" s="2040"/>
      <c r="BL7" s="2040"/>
      <c r="BM7" s="2040"/>
      <c r="BO7" s="2027"/>
      <c r="BP7" s="1570"/>
      <c r="BQ7" s="2028"/>
      <c r="BR7" s="2040"/>
      <c r="BS7" s="2040"/>
      <c r="BT7" s="2040"/>
      <c r="BU7" s="2040"/>
      <c r="BV7" s="2040"/>
      <c r="BW7" s="2040"/>
      <c r="BX7" s="2040"/>
      <c r="BY7" s="2041"/>
      <c r="BZ7" s="2040"/>
      <c r="CA7" s="2040"/>
      <c r="CB7" s="2040"/>
      <c r="CC7" s="2040"/>
      <c r="CD7" s="2040"/>
    </row>
    <row r="8" spans="1:83" s="1603" customFormat="1" ht="14.25">
      <c r="A8"/>
      <c r="B8" s="2042" t="s">
        <v>268</v>
      </c>
      <c r="C8" s="2043" t="s">
        <v>269</v>
      </c>
      <c r="D8" s="2044"/>
      <c r="E8" s="2045"/>
      <c r="F8"/>
      <c r="G8" s="2045"/>
      <c r="H8" s="2045"/>
      <c r="I8" s="2045" t="e">
        <f>G9+G61+G109</f>
        <v>#DIV/0!</v>
      </c>
      <c r="J8" s="2045" t="e">
        <f>H9+H61+H109</f>
        <v>#DIV/0!</v>
      </c>
      <c r="K8" s="2045"/>
      <c r="L8" s="2045"/>
      <c r="M8" s="2045"/>
      <c r="N8" s="2045"/>
      <c r="O8"/>
      <c r="P8" s="2042"/>
      <c r="Q8" s="2042" t="s">
        <v>1092</v>
      </c>
      <c r="R8" s="2025" t="s">
        <v>1093</v>
      </c>
      <c r="S8" s="1590"/>
      <c r="T8" s="1590"/>
      <c r="U8" s="1590"/>
      <c r="V8" s="1590"/>
      <c r="W8" s="1590">
        <f>1-AB8</f>
        <v>1</v>
      </c>
      <c r="X8" s="1590">
        <f>1-AC8</f>
        <v>1</v>
      </c>
      <c r="Y8" s="1590">
        <f>1-AD8</f>
        <v>1</v>
      </c>
      <c r="Z8" s="1591"/>
      <c r="AA8" s="1590"/>
      <c r="AB8" s="1866"/>
      <c r="AC8" s="1592">
        <f>メイン!$E$68</f>
        <v>0</v>
      </c>
      <c r="AD8" s="1592">
        <f>メイン!$E$69</f>
        <v>0</v>
      </c>
      <c r="AE8" s="1592">
        <f>メイン!$E$70</f>
        <v>0</v>
      </c>
      <c r="AF8"/>
      <c r="AG8" s="2046" t="s">
        <v>1094</v>
      </c>
      <c r="AH8" s="2042"/>
      <c r="AI8" s="2047" t="s">
        <v>1095</v>
      </c>
      <c r="AJ8" s="2048"/>
      <c r="AK8" s="2048"/>
      <c r="AL8" s="2048"/>
      <c r="AM8" s="2048"/>
      <c r="AN8" s="2048"/>
      <c r="AO8" s="2048"/>
      <c r="AP8" s="2048"/>
      <c r="AQ8" s="2049"/>
      <c r="AR8" s="2048"/>
      <c r="AS8" s="2048"/>
      <c r="AT8" s="2050"/>
      <c r="AU8" s="2051"/>
      <c r="AV8" s="2051"/>
      <c r="AW8"/>
      <c r="AX8" s="1589" t="s">
        <v>392</v>
      </c>
      <c r="AY8" s="1589"/>
      <c r="AZ8" s="1586" t="s">
        <v>407</v>
      </c>
      <c r="BA8" s="1725"/>
      <c r="BB8" s="1725"/>
      <c r="BC8" s="1725"/>
      <c r="BD8" s="1725"/>
      <c r="BE8" s="1725"/>
      <c r="BF8" s="1725"/>
      <c r="BG8" s="1725"/>
      <c r="BH8" s="1726"/>
      <c r="BI8" s="1725"/>
      <c r="BJ8" s="1868"/>
      <c r="BK8" s="1727"/>
      <c r="BL8" s="1728"/>
      <c r="BM8" s="1728"/>
      <c r="BN8"/>
      <c r="BO8" s="2046" t="s">
        <v>1094</v>
      </c>
      <c r="BP8" s="2042"/>
      <c r="BQ8" s="2047" t="s">
        <v>1095</v>
      </c>
      <c r="BR8" s="2048"/>
      <c r="BS8" s="2048"/>
      <c r="BT8" s="2048"/>
      <c r="BU8" s="2048"/>
      <c r="BV8" s="2048"/>
      <c r="BW8" s="2048"/>
      <c r="BX8" s="2048"/>
      <c r="BY8" s="2049"/>
      <c r="BZ8" s="2048"/>
      <c r="CA8" s="2048"/>
      <c r="CB8" s="2050"/>
      <c r="CC8" s="2051"/>
      <c r="CD8" s="2051"/>
      <c r="CE8"/>
    </row>
    <row r="9" spans="1:83" s="1603" customFormat="1">
      <c r="A9"/>
      <c r="B9" s="1595" t="str">
        <f t="shared" ref="B9:B41" si="0">P9</f>
        <v>Q1</v>
      </c>
      <c r="C9" s="2052" t="str">
        <f t="shared" ref="C9:C40" si="1">R9</f>
        <v>室内環境</v>
      </c>
      <c r="D9" s="2053" t="e">
        <f>IF(I$8=0,0,G9/I$8)</f>
        <v>#DIV/0!</v>
      </c>
      <c r="E9" s="2054" t="e">
        <f>IF(J$8=0,0,H9/J$8)</f>
        <v>#DIV/0!</v>
      </c>
      <c r="F9"/>
      <c r="G9" s="2054" t="e">
        <f t="shared" ref="G9:G40" si="2">K9*M9</f>
        <v>#DIV/0!</v>
      </c>
      <c r="H9" s="2054" t="e">
        <f t="shared" ref="H9:H40" si="3">L9*N9</f>
        <v>#DIV/0!</v>
      </c>
      <c r="I9" s="2054" t="e">
        <f>G10+G20+G34+G47</f>
        <v>#DIV/0!</v>
      </c>
      <c r="J9" s="2054" t="e">
        <f>H10+H20+H34+H47</f>
        <v>#DIV/0!</v>
      </c>
      <c r="K9" s="2054" t="e">
        <f>IF(スコア表示!W9=0,0,1)</f>
        <v>#DIV/0!</v>
      </c>
      <c r="L9" s="2054" t="e">
        <f>IF(スコア表示!AA9=0,0,1)</f>
        <v>#DIV/0!</v>
      </c>
      <c r="M9" s="2054" t="e">
        <f t="shared" ref="M9:M40" si="4">SUMPRODUCT($S$7:$AB$7,S9:AB9)</f>
        <v>#DIV/0!</v>
      </c>
      <c r="N9" s="2054" t="e">
        <f t="shared" ref="N9:N40" si="5">(AC$7*AC9)+(AD$7*AD9)+(AE$7*AE9)</f>
        <v>#DIV/0!</v>
      </c>
      <c r="O9"/>
      <c r="P9" s="1595" t="str">
        <f t="shared" ref="P9:P40" si="6">IF($P$3=1,AX9,BO9)</f>
        <v>Q1</v>
      </c>
      <c r="Q9" s="1595" t="str">
        <f t="shared" ref="Q9:Q40" si="7">IF($P$3=1,AY9,BP9)</f>
        <v xml:space="preserve"> Q</v>
      </c>
      <c r="R9" s="2055" t="str">
        <f t="shared" ref="R9:R40" si="8">AI9</f>
        <v>室内環境</v>
      </c>
      <c r="S9" s="1601">
        <f>IF($P$3=1,BA9,IF($P$3=2,BR9,AJ9))</f>
        <v>0.4</v>
      </c>
      <c r="T9" s="1601">
        <f t="shared" ref="T9:T40" si="9">IF($P$3=1,BB9,IF($P$3=2,BS9,AK9))</f>
        <v>0.4</v>
      </c>
      <c r="U9" s="1601">
        <f t="shared" ref="U9:U40" si="10">IF($P$3=1,BC9,IF($P$3=2,BT9,AL9))</f>
        <v>0.4</v>
      </c>
      <c r="V9" s="1601">
        <f t="shared" ref="V9:V40" si="11">IF($P$3=1,BD9,IF($P$3=2,BU9,AM9))</f>
        <v>0.4</v>
      </c>
      <c r="W9" s="1601">
        <f t="shared" ref="W9:W40" si="12">IF($P$3=1,BE9,IF($P$3=2,BV9,AN9))</f>
        <v>0.4</v>
      </c>
      <c r="X9" s="1601">
        <f t="shared" ref="X9:X40" si="13">IF($P$3=1,BF9,IF($P$3=2,BW9,AO9))</f>
        <v>0.4</v>
      </c>
      <c r="Y9" s="1601">
        <f t="shared" ref="Y9:Y40" si="14">IF($P$3=1,BG9,IF($P$3=2,BX9,AP9))</f>
        <v>0.4</v>
      </c>
      <c r="Z9" s="1601">
        <f t="shared" ref="Z9:Z40" si="15">IF($P$3=1,BH9,IF($P$3=2,BY9,AQ9))</f>
        <v>0.4</v>
      </c>
      <c r="AA9" s="1601">
        <f t="shared" ref="AA9:AA40" si="16">IF($P$3=1,BI9,IF($P$3=2,BZ9,AR9))</f>
        <v>0.3</v>
      </c>
      <c r="AB9" s="1601">
        <f t="shared" ref="AB9:AB40" si="17">IF($P$3=1,BJ9,IF($P$3=2,CA9,AS9))</f>
        <v>0.4</v>
      </c>
      <c r="AC9" s="1656">
        <f t="shared" ref="AC9:AC40" si="18">IF($P$3=1,BK9,IF($P$3=2,CB9,AT9))</f>
        <v>0</v>
      </c>
      <c r="AD9" s="1601">
        <f t="shared" ref="AD9:AD40" si="19">IF($P$3=1,BL9,IF($P$3=2,CC9,AU9))</f>
        <v>0</v>
      </c>
      <c r="AE9" s="1601">
        <f t="shared" ref="AE9:AE40" si="20">IF($P$3=1,BM9,IF($P$3=2,CD9,AV9))</f>
        <v>0</v>
      </c>
      <c r="AF9"/>
      <c r="AG9" s="1595" t="s">
        <v>1615</v>
      </c>
      <c r="AH9" s="2056" t="s">
        <v>270</v>
      </c>
      <c r="AI9" s="2055" t="s">
        <v>1616</v>
      </c>
      <c r="AJ9" s="1601">
        <v>0.4</v>
      </c>
      <c r="AK9" s="1601">
        <v>0.4</v>
      </c>
      <c r="AL9" s="1601">
        <v>0.4</v>
      </c>
      <c r="AM9" s="1601">
        <v>0.4</v>
      </c>
      <c r="AN9" s="1601">
        <v>0.4</v>
      </c>
      <c r="AO9" s="1601">
        <v>0.4</v>
      </c>
      <c r="AP9" s="1601">
        <v>0.4</v>
      </c>
      <c r="AQ9" s="1601">
        <v>0.4</v>
      </c>
      <c r="AR9" s="1601">
        <v>0.3</v>
      </c>
      <c r="AS9" s="2057">
        <v>0.4</v>
      </c>
      <c r="AT9" s="2058"/>
      <c r="AU9" s="2057"/>
      <c r="AV9" s="2057"/>
      <c r="AW9"/>
      <c r="AX9" s="1595" t="s">
        <v>1404</v>
      </c>
      <c r="AY9" s="2056" t="s">
        <v>270</v>
      </c>
      <c r="AZ9" s="2055" t="s">
        <v>1405</v>
      </c>
      <c r="BA9" s="2057">
        <v>0.4</v>
      </c>
      <c r="BB9" s="2057">
        <v>0.4</v>
      </c>
      <c r="BC9" s="2057">
        <v>0.4</v>
      </c>
      <c r="BD9" s="2057">
        <v>0.4</v>
      </c>
      <c r="BE9" s="2057">
        <v>0.4</v>
      </c>
      <c r="BF9" s="2057">
        <v>0.4</v>
      </c>
      <c r="BG9" s="2057">
        <v>0.4</v>
      </c>
      <c r="BH9" s="2057">
        <v>0.4</v>
      </c>
      <c r="BI9" s="2057">
        <v>0.3</v>
      </c>
      <c r="BJ9" s="2057">
        <v>0.4</v>
      </c>
      <c r="BK9" s="2058"/>
      <c r="BL9" s="2057"/>
      <c r="BM9" s="2057"/>
      <c r="BN9"/>
      <c r="BO9" s="1595" t="s">
        <v>1563</v>
      </c>
      <c r="BP9" s="2056" t="s">
        <v>270</v>
      </c>
      <c r="BQ9" s="2055" t="s">
        <v>1564</v>
      </c>
      <c r="BR9" s="2057">
        <v>0.4</v>
      </c>
      <c r="BS9" s="2057">
        <v>0.4</v>
      </c>
      <c r="BT9" s="2057">
        <v>0.4</v>
      </c>
      <c r="BU9" s="2057">
        <v>0.4</v>
      </c>
      <c r="BV9" s="2057">
        <v>0.4</v>
      </c>
      <c r="BW9" s="2057">
        <v>0.4</v>
      </c>
      <c r="BX9" s="2057">
        <v>0.4</v>
      </c>
      <c r="BY9" s="2057">
        <v>0.4</v>
      </c>
      <c r="BZ9" s="2057">
        <v>0.3</v>
      </c>
      <c r="CA9" s="2057">
        <v>0.4</v>
      </c>
      <c r="CB9" s="2058"/>
      <c r="CC9" s="2057"/>
      <c r="CD9" s="2057"/>
      <c r="CE9"/>
    </row>
    <row r="10" spans="1:83" s="1603" customFormat="1">
      <c r="A10"/>
      <c r="B10" s="1595">
        <f t="shared" si="0"/>
        <v>1</v>
      </c>
      <c r="C10" s="1605" t="str">
        <f t="shared" si="1"/>
        <v>音環境</v>
      </c>
      <c r="D10" s="2059" t="e">
        <f>IF(I$9=0,0,G10/I$9)</f>
        <v>#DIV/0!</v>
      </c>
      <c r="E10" s="1741" t="e">
        <f>IF(J$9=0,0,H10/J$9)</f>
        <v>#DIV/0!</v>
      </c>
      <c r="F10"/>
      <c r="G10" s="1741" t="e">
        <f>K10*M10</f>
        <v>#DIV/0!</v>
      </c>
      <c r="H10" s="1741" t="e">
        <f t="shared" si="3"/>
        <v>#DIV/0!</v>
      </c>
      <c r="I10" s="1719" t="e">
        <f>G11+G14+G19</f>
        <v>#DIV/0!</v>
      </c>
      <c r="J10" s="1719" t="e">
        <f>H11+H14+H19</f>
        <v>#DIV/0!</v>
      </c>
      <c r="K10" s="1741" t="e">
        <f>IF(スコア表示!W10=0,0,1)</f>
        <v>#DIV/0!</v>
      </c>
      <c r="L10" s="1741" t="e">
        <f>IF(スコア表示!AA10=0,0,1)</f>
        <v>#DIV/0!</v>
      </c>
      <c r="M10" s="1741" t="e">
        <f t="shared" si="4"/>
        <v>#DIV/0!</v>
      </c>
      <c r="N10" s="1741">
        <v>1</v>
      </c>
      <c r="O10"/>
      <c r="P10" s="1639">
        <f t="shared" si="6"/>
        <v>1</v>
      </c>
      <c r="Q10" s="1639" t="str">
        <f t="shared" si="7"/>
        <v xml:space="preserve"> Q1</v>
      </c>
      <c r="R10" s="1778" t="str">
        <f t="shared" si="8"/>
        <v>音環境</v>
      </c>
      <c r="S10" s="1608">
        <f t="shared" ref="S10:S40" si="21">IF($P$3=1,BA10,IF($P$3=2,BR10,AJ10))</f>
        <v>0.15</v>
      </c>
      <c r="T10" s="1608">
        <f t="shared" si="9"/>
        <v>0.15</v>
      </c>
      <c r="U10" s="1608">
        <f t="shared" si="10"/>
        <v>0.15</v>
      </c>
      <c r="V10" s="1608">
        <f t="shared" si="11"/>
        <v>0.15</v>
      </c>
      <c r="W10" s="1608">
        <f t="shared" si="12"/>
        <v>0.15</v>
      </c>
      <c r="X10" s="1608">
        <f t="shared" si="13"/>
        <v>0.15</v>
      </c>
      <c r="Y10" s="1608">
        <f t="shared" si="14"/>
        <v>0.15</v>
      </c>
      <c r="Z10" s="1609">
        <f t="shared" si="15"/>
        <v>0.23</v>
      </c>
      <c r="AA10" s="1608">
        <f t="shared" si="16"/>
        <v>0.15</v>
      </c>
      <c r="AB10" s="1608">
        <f t="shared" si="17"/>
        <v>0.15</v>
      </c>
      <c r="AC10" s="1657">
        <f t="shared" si="18"/>
        <v>0</v>
      </c>
      <c r="AD10" s="1608">
        <f t="shared" si="19"/>
        <v>0</v>
      </c>
      <c r="AE10" s="1608">
        <f t="shared" si="20"/>
        <v>0</v>
      </c>
      <c r="AF10"/>
      <c r="AG10" s="1639">
        <v>1</v>
      </c>
      <c r="AH10" s="1742" t="s">
        <v>271</v>
      </c>
      <c r="AI10" s="1778" t="s">
        <v>1020</v>
      </c>
      <c r="AJ10" s="1608">
        <v>0.15</v>
      </c>
      <c r="AK10" s="1608">
        <v>0.15</v>
      </c>
      <c r="AL10" s="1608">
        <v>0.15</v>
      </c>
      <c r="AM10" s="1608">
        <v>0.15</v>
      </c>
      <c r="AN10" s="1608">
        <v>0.15</v>
      </c>
      <c r="AO10" s="1608">
        <v>0.15</v>
      </c>
      <c r="AP10" s="1608">
        <v>0.15</v>
      </c>
      <c r="AQ10" s="1609">
        <v>0.23</v>
      </c>
      <c r="AR10" s="1608">
        <v>0.15</v>
      </c>
      <c r="AS10" s="1709">
        <v>0.15</v>
      </c>
      <c r="AT10" s="2060"/>
      <c r="AU10" s="1709"/>
      <c r="AV10" s="1709"/>
      <c r="AW10"/>
      <c r="AX10" s="1639">
        <v>1</v>
      </c>
      <c r="AY10" s="1742" t="s">
        <v>271</v>
      </c>
      <c r="AZ10" s="1778" t="s">
        <v>1020</v>
      </c>
      <c r="BA10" s="1709">
        <v>0.15</v>
      </c>
      <c r="BB10" s="1709">
        <v>0.15</v>
      </c>
      <c r="BC10" s="1709">
        <v>0.15</v>
      </c>
      <c r="BD10" s="1709">
        <v>0.15</v>
      </c>
      <c r="BE10" s="1709">
        <v>0.15</v>
      </c>
      <c r="BF10" s="1709">
        <v>0.15</v>
      </c>
      <c r="BG10" s="1709">
        <v>0.15</v>
      </c>
      <c r="BH10" s="1710">
        <v>0.23</v>
      </c>
      <c r="BI10" s="1709">
        <v>0.15</v>
      </c>
      <c r="BJ10" s="1709">
        <v>0.15</v>
      </c>
      <c r="BK10" s="2060"/>
      <c r="BL10" s="1709"/>
      <c r="BM10" s="1709"/>
      <c r="BN10"/>
      <c r="BO10" s="1639">
        <v>1</v>
      </c>
      <c r="BP10" s="1742" t="s">
        <v>271</v>
      </c>
      <c r="BQ10" s="1778" t="s">
        <v>1020</v>
      </c>
      <c r="BR10" s="1709">
        <v>0.15</v>
      </c>
      <c r="BS10" s="1709">
        <v>0.15</v>
      </c>
      <c r="BT10" s="1709">
        <v>0.15</v>
      </c>
      <c r="BU10" s="1709">
        <v>0.15</v>
      </c>
      <c r="BV10" s="1709">
        <v>0.15</v>
      </c>
      <c r="BW10" s="1709">
        <v>0.15</v>
      </c>
      <c r="BX10" s="1709">
        <v>0.15</v>
      </c>
      <c r="BY10" s="1710">
        <v>0.23</v>
      </c>
      <c r="BZ10" s="1709">
        <v>0.15</v>
      </c>
      <c r="CA10" s="1709">
        <v>0.15</v>
      </c>
      <c r="CB10" s="2060"/>
      <c r="CC10" s="1709"/>
      <c r="CD10" s="1709"/>
      <c r="CE10"/>
    </row>
    <row r="11" spans="1:83">
      <c r="B11" s="1595">
        <f t="shared" si="0"/>
        <v>1.1000000000000001</v>
      </c>
      <c r="C11" s="1612" t="str">
        <f t="shared" si="1"/>
        <v>騒音</v>
      </c>
      <c r="D11" s="1714" t="e">
        <f>IF(I$10=0,0,G11/I$10)</f>
        <v>#DIV/0!</v>
      </c>
      <c r="E11" s="1714" t="e">
        <f>IF(J$10=0,0,H11/J$10)</f>
        <v>#DIV/0!</v>
      </c>
      <c r="G11" s="1689" t="e">
        <f t="shared" si="2"/>
        <v>#DIV/0!</v>
      </c>
      <c r="H11" s="1689" t="e">
        <f t="shared" si="3"/>
        <v>#DIV/0!</v>
      </c>
      <c r="I11" s="1719"/>
      <c r="J11" s="1719"/>
      <c r="K11" s="1689">
        <f>IF(スコア表示!W11=0,0,1)</f>
        <v>1</v>
      </c>
      <c r="L11" s="1689">
        <f>IF(スコア表示!AA11=0,0,1)</f>
        <v>1</v>
      </c>
      <c r="M11" s="1689" t="e">
        <f t="shared" si="4"/>
        <v>#DIV/0!</v>
      </c>
      <c r="N11" s="1689" t="e">
        <f t="shared" si="5"/>
        <v>#DIV/0!</v>
      </c>
      <c r="P11" s="1645">
        <f t="shared" si="6"/>
        <v>1.1000000000000001</v>
      </c>
      <c r="Q11" s="1645" t="str">
        <f t="shared" si="7"/>
        <v xml:space="preserve"> Q1 1</v>
      </c>
      <c r="R11" s="1735" t="str">
        <f t="shared" si="8"/>
        <v>騒音</v>
      </c>
      <c r="S11" s="1616">
        <f t="shared" si="21"/>
        <v>0.4</v>
      </c>
      <c r="T11" s="1616">
        <f t="shared" si="9"/>
        <v>0.4</v>
      </c>
      <c r="U11" s="1616">
        <f t="shared" si="10"/>
        <v>0.8</v>
      </c>
      <c r="V11" s="1616">
        <f t="shared" si="11"/>
        <v>0.4</v>
      </c>
      <c r="W11" s="1616">
        <f t="shared" si="12"/>
        <v>0.4</v>
      </c>
      <c r="X11" s="1616">
        <f t="shared" si="13"/>
        <v>0.8</v>
      </c>
      <c r="Y11" s="1616">
        <f t="shared" si="14"/>
        <v>0.8</v>
      </c>
      <c r="Z11" s="1616">
        <f t="shared" si="15"/>
        <v>0.8</v>
      </c>
      <c r="AA11" s="1616">
        <f t="shared" si="16"/>
        <v>0.5</v>
      </c>
      <c r="AB11" s="1616">
        <f t="shared" si="17"/>
        <v>0.4</v>
      </c>
      <c r="AC11" s="1617">
        <f t="shared" si="18"/>
        <v>0.5</v>
      </c>
      <c r="AD11" s="1616">
        <f t="shared" si="19"/>
        <v>0.4</v>
      </c>
      <c r="AE11" s="1616">
        <f t="shared" si="20"/>
        <v>0.4</v>
      </c>
      <c r="AG11" s="1645">
        <v>1.1000000000000001</v>
      </c>
      <c r="AH11" s="1691" t="s">
        <v>272</v>
      </c>
      <c r="AI11" s="2061" t="s">
        <v>1617</v>
      </c>
      <c r="AJ11" s="2344">
        <v>0.4</v>
      </c>
      <c r="AK11" s="1616">
        <v>0.4</v>
      </c>
      <c r="AL11" s="1616">
        <v>0.8</v>
      </c>
      <c r="AM11" s="1616">
        <v>0.4</v>
      </c>
      <c r="AN11" s="2344">
        <v>0.4</v>
      </c>
      <c r="AO11" s="1616">
        <v>0.8</v>
      </c>
      <c r="AP11" s="1616">
        <v>0.8</v>
      </c>
      <c r="AQ11" s="2344">
        <v>0.8</v>
      </c>
      <c r="AR11" s="2344">
        <v>0.5</v>
      </c>
      <c r="AS11" s="1621">
        <v>0.4</v>
      </c>
      <c r="AT11" s="1623">
        <v>0.5</v>
      </c>
      <c r="AU11" s="1621">
        <v>0.4</v>
      </c>
      <c r="AV11" s="1621">
        <v>0.4</v>
      </c>
      <c r="AW11" s="1616"/>
      <c r="AX11" s="1645">
        <v>1.1000000000000001</v>
      </c>
      <c r="AY11" s="1691" t="s">
        <v>272</v>
      </c>
      <c r="AZ11" s="2061" t="s">
        <v>1407</v>
      </c>
      <c r="BA11" s="1621">
        <v>0.4</v>
      </c>
      <c r="BB11" s="1621">
        <v>0.4</v>
      </c>
      <c r="BC11" s="1621">
        <v>0.4</v>
      </c>
      <c r="BD11" s="1621">
        <v>0.4</v>
      </c>
      <c r="BE11" s="1621">
        <v>0.4</v>
      </c>
      <c r="BF11" s="1621">
        <v>0.4</v>
      </c>
      <c r="BG11" s="1621">
        <v>0.5</v>
      </c>
      <c r="BH11" s="1621">
        <v>0.4</v>
      </c>
      <c r="BI11" s="1621">
        <v>0.4</v>
      </c>
      <c r="BJ11" s="1621">
        <v>0.4</v>
      </c>
      <c r="BK11" s="1621">
        <v>0.4</v>
      </c>
      <c r="BL11" s="1621">
        <v>0.4</v>
      </c>
      <c r="BM11" s="1621">
        <v>0.5</v>
      </c>
      <c r="BO11" s="1645">
        <v>1.1000000000000001</v>
      </c>
      <c r="BP11" s="1691" t="s">
        <v>272</v>
      </c>
      <c r="BQ11" s="2061" t="s">
        <v>1406</v>
      </c>
      <c r="BR11" s="1621">
        <v>0.4</v>
      </c>
      <c r="BS11" s="1621">
        <v>0.4</v>
      </c>
      <c r="BT11" s="1621">
        <v>0.4</v>
      </c>
      <c r="BU11" s="1621">
        <v>0.4</v>
      </c>
      <c r="BV11" s="1621">
        <v>0.4</v>
      </c>
      <c r="BW11" s="1621">
        <v>0.4</v>
      </c>
      <c r="BX11" s="1621">
        <v>0.5</v>
      </c>
      <c r="BY11" s="1621">
        <v>0.4</v>
      </c>
      <c r="BZ11" s="1621">
        <v>0.4</v>
      </c>
      <c r="CA11" s="1621">
        <v>0.4</v>
      </c>
      <c r="CB11" s="1621">
        <v>0.4</v>
      </c>
      <c r="CC11" s="1621">
        <v>0.4</v>
      </c>
      <c r="CD11" s="1621">
        <v>0.5</v>
      </c>
    </row>
    <row r="12" spans="1:83" hidden="1">
      <c r="B12" s="1595" t="str">
        <f t="shared" si="0"/>
        <v>1.1.1</v>
      </c>
      <c r="C12" s="1648" t="str">
        <f t="shared" si="1"/>
        <v>室内騒音レベル</v>
      </c>
      <c r="D12" s="1714">
        <f>IF(I$11=0,0,G12/I$11)</f>
        <v>0</v>
      </c>
      <c r="E12" s="1714">
        <f>IF(J$11=0,0,H12/J$11)</f>
        <v>0</v>
      </c>
      <c r="G12" s="1689" t="e">
        <f t="shared" si="2"/>
        <v>#DIV/0!</v>
      </c>
      <c r="H12" s="1689" t="e">
        <f t="shared" si="3"/>
        <v>#DIV/0!</v>
      </c>
      <c r="I12" s="1719"/>
      <c r="J12" s="1719"/>
      <c r="K12" s="1689">
        <f>IF(スコア表示!W12=0,0,1)</f>
        <v>0</v>
      </c>
      <c r="L12" s="1689">
        <f>IF(スコア表示!AA12=0,0,1)</f>
        <v>0</v>
      </c>
      <c r="M12" s="1689" t="e">
        <f t="shared" si="4"/>
        <v>#DIV/0!</v>
      </c>
      <c r="N12" s="1689" t="e">
        <f t="shared" si="5"/>
        <v>#DIV/0!</v>
      </c>
      <c r="P12" s="1645" t="str">
        <f t="shared" si="6"/>
        <v>1.1.1</v>
      </c>
      <c r="Q12" s="1645" t="str">
        <f t="shared" si="7"/>
        <v xml:space="preserve"> Q1 1.1</v>
      </c>
      <c r="R12" s="1735" t="str">
        <f t="shared" si="8"/>
        <v>室内騒音レベル</v>
      </c>
      <c r="S12" s="1616">
        <f t="shared" si="21"/>
        <v>0</v>
      </c>
      <c r="T12" s="1616">
        <f t="shared" si="9"/>
        <v>0</v>
      </c>
      <c r="U12" s="1616">
        <f t="shared" si="10"/>
        <v>0</v>
      </c>
      <c r="V12" s="1616">
        <f t="shared" si="11"/>
        <v>0</v>
      </c>
      <c r="W12" s="1616">
        <f t="shared" si="12"/>
        <v>0</v>
      </c>
      <c r="X12" s="1616">
        <f t="shared" si="13"/>
        <v>0</v>
      </c>
      <c r="Y12" s="1616">
        <f t="shared" si="14"/>
        <v>0</v>
      </c>
      <c r="Z12" s="1616">
        <f t="shared" si="15"/>
        <v>0</v>
      </c>
      <c r="AA12" s="1616">
        <f t="shared" si="16"/>
        <v>0</v>
      </c>
      <c r="AB12" s="1616">
        <f t="shared" si="17"/>
        <v>0</v>
      </c>
      <c r="AC12" s="1617">
        <f t="shared" si="18"/>
        <v>0</v>
      </c>
      <c r="AD12" s="1616">
        <f t="shared" si="19"/>
        <v>0</v>
      </c>
      <c r="AE12" s="1616">
        <f t="shared" si="20"/>
        <v>0</v>
      </c>
      <c r="AG12" s="1645" t="s">
        <v>273</v>
      </c>
      <c r="AH12" s="1691" t="s">
        <v>274</v>
      </c>
      <c r="AI12" s="2061" t="s">
        <v>897</v>
      </c>
      <c r="AJ12" s="1616"/>
      <c r="AK12" s="1616"/>
      <c r="AL12" s="1616"/>
      <c r="AM12" s="1616"/>
      <c r="AN12" s="1616"/>
      <c r="AO12" s="1616"/>
      <c r="AP12" s="1616"/>
      <c r="AQ12" s="1616"/>
      <c r="AR12" s="1616"/>
      <c r="AS12" s="1621"/>
      <c r="AT12" s="1623"/>
      <c r="AU12" s="1621"/>
      <c r="AV12" s="1621"/>
      <c r="AW12" s="1616"/>
      <c r="AX12" s="1645" t="s">
        <v>273</v>
      </c>
      <c r="AY12" s="1691" t="s">
        <v>274</v>
      </c>
      <c r="AZ12" s="2061" t="s">
        <v>897</v>
      </c>
      <c r="BA12" s="1621"/>
      <c r="BB12" s="1621"/>
      <c r="BC12" s="1621"/>
      <c r="BD12" s="1621"/>
      <c r="BE12" s="1621"/>
      <c r="BF12" s="1621"/>
      <c r="BG12" s="1621"/>
      <c r="BH12" s="1621"/>
      <c r="BI12" s="1621"/>
      <c r="BJ12" s="1621"/>
      <c r="BK12" s="1623"/>
      <c r="BL12" s="1621"/>
      <c r="BM12" s="1621"/>
      <c r="BO12" s="1645" t="s">
        <v>273</v>
      </c>
      <c r="BP12" s="1691" t="s">
        <v>274</v>
      </c>
      <c r="BQ12" s="2061" t="s">
        <v>897</v>
      </c>
      <c r="BR12" s="1621"/>
      <c r="BS12" s="1621"/>
      <c r="BT12" s="1621"/>
      <c r="BU12" s="1621"/>
      <c r="BV12" s="1621"/>
      <c r="BW12" s="1621"/>
      <c r="BX12" s="1621"/>
      <c r="BY12" s="1621"/>
      <c r="BZ12" s="1621"/>
      <c r="CA12" s="1621"/>
      <c r="CB12" s="1623"/>
      <c r="CC12" s="1621"/>
      <c r="CD12" s="1621"/>
    </row>
    <row r="13" spans="1:83" hidden="1">
      <c r="B13" s="1595" t="str">
        <f t="shared" si="0"/>
        <v>1.1.2</v>
      </c>
      <c r="C13" s="1648" t="str">
        <f t="shared" si="1"/>
        <v>設備騒音対策</v>
      </c>
      <c r="D13" s="1714">
        <f>IF(I$11=0,0,G13/I$11)</f>
        <v>0</v>
      </c>
      <c r="E13" s="1714">
        <f>IF(J$11=0,0,H13/J$11)</f>
        <v>0</v>
      </c>
      <c r="G13" s="1689" t="e">
        <f t="shared" si="2"/>
        <v>#DIV/0!</v>
      </c>
      <c r="H13" s="1689" t="e">
        <f t="shared" si="3"/>
        <v>#DIV/0!</v>
      </c>
      <c r="I13" s="1719"/>
      <c r="J13" s="1719"/>
      <c r="K13" s="1689">
        <f>IF(スコア表示!W13=0,0,1)</f>
        <v>0</v>
      </c>
      <c r="L13" s="1689">
        <f>IF(スコア表示!AA13=0,0,1)</f>
        <v>0</v>
      </c>
      <c r="M13" s="1689" t="e">
        <f t="shared" si="4"/>
        <v>#DIV/0!</v>
      </c>
      <c r="N13" s="1689" t="e">
        <f t="shared" si="5"/>
        <v>#DIV/0!</v>
      </c>
      <c r="P13" s="1645" t="str">
        <f t="shared" si="6"/>
        <v>1.1.2</v>
      </c>
      <c r="Q13" s="1645" t="str">
        <f t="shared" si="7"/>
        <v xml:space="preserve"> Q1 1.1</v>
      </c>
      <c r="R13" s="1735" t="str">
        <f t="shared" si="8"/>
        <v>設備騒音対策</v>
      </c>
      <c r="S13" s="1616">
        <f t="shared" si="21"/>
        <v>0</v>
      </c>
      <c r="T13" s="1616">
        <f t="shared" si="9"/>
        <v>0</v>
      </c>
      <c r="U13" s="1616">
        <f t="shared" si="10"/>
        <v>0</v>
      </c>
      <c r="V13" s="1616">
        <f t="shared" si="11"/>
        <v>0</v>
      </c>
      <c r="W13" s="1616">
        <f t="shared" si="12"/>
        <v>0</v>
      </c>
      <c r="X13" s="1616">
        <f t="shared" si="13"/>
        <v>0</v>
      </c>
      <c r="Y13" s="1616">
        <f t="shared" si="14"/>
        <v>0</v>
      </c>
      <c r="Z13" s="1616">
        <f t="shared" si="15"/>
        <v>0</v>
      </c>
      <c r="AA13" s="1616">
        <f t="shared" si="16"/>
        <v>0</v>
      </c>
      <c r="AB13" s="1616">
        <f t="shared" si="17"/>
        <v>0</v>
      </c>
      <c r="AC13" s="1617">
        <f t="shared" si="18"/>
        <v>0</v>
      </c>
      <c r="AD13" s="1616">
        <f t="shared" si="19"/>
        <v>0</v>
      </c>
      <c r="AE13" s="1616">
        <f t="shared" si="20"/>
        <v>0</v>
      </c>
      <c r="AG13" s="1645" t="s">
        <v>275</v>
      </c>
      <c r="AH13" s="1691" t="s">
        <v>274</v>
      </c>
      <c r="AI13" s="2061" t="s">
        <v>408</v>
      </c>
      <c r="AJ13" s="1616"/>
      <c r="AK13" s="1616"/>
      <c r="AL13" s="1616"/>
      <c r="AM13" s="1616"/>
      <c r="AN13" s="1616"/>
      <c r="AO13" s="1616"/>
      <c r="AP13" s="1616"/>
      <c r="AQ13" s="1616"/>
      <c r="AR13" s="1616"/>
      <c r="AS13" s="1621"/>
      <c r="AT13" s="1623"/>
      <c r="AU13" s="1621"/>
      <c r="AV13" s="1621"/>
      <c r="AW13" s="1616"/>
      <c r="AX13" s="1645" t="s">
        <v>275</v>
      </c>
      <c r="AY13" s="1691" t="s">
        <v>274</v>
      </c>
      <c r="AZ13" s="2061" t="s">
        <v>408</v>
      </c>
      <c r="BA13" s="1621"/>
      <c r="BB13" s="1621"/>
      <c r="BC13" s="1621"/>
      <c r="BD13" s="1621"/>
      <c r="BE13" s="1621"/>
      <c r="BF13" s="1621"/>
      <c r="BG13" s="1621"/>
      <c r="BH13" s="1621"/>
      <c r="BI13" s="1621"/>
      <c r="BJ13" s="1621"/>
      <c r="BK13" s="1623"/>
      <c r="BL13" s="1621"/>
      <c r="BM13" s="1621"/>
      <c r="BO13" s="1645" t="s">
        <v>275</v>
      </c>
      <c r="BP13" s="1691" t="s">
        <v>274</v>
      </c>
      <c r="BQ13" s="2061" t="s">
        <v>408</v>
      </c>
      <c r="BR13" s="1621"/>
      <c r="BS13" s="1621"/>
      <c r="BT13" s="1621"/>
      <c r="BU13" s="1621"/>
      <c r="BV13" s="1621"/>
      <c r="BW13" s="1621"/>
      <c r="BX13" s="1621"/>
      <c r="BY13" s="1621"/>
      <c r="BZ13" s="1621"/>
      <c r="CA13" s="1621"/>
      <c r="CB13" s="1623"/>
      <c r="CC13" s="1621"/>
      <c r="CD13" s="1621"/>
    </row>
    <row r="14" spans="1:83">
      <c r="B14" s="1595">
        <f t="shared" si="0"/>
        <v>1.2</v>
      </c>
      <c r="C14" s="514" t="str">
        <f t="shared" si="1"/>
        <v>遮音</v>
      </c>
      <c r="D14" s="1714" t="e">
        <f>IF(I$10=0,0,G14/I$10)</f>
        <v>#DIV/0!</v>
      </c>
      <c r="E14" s="1714" t="e">
        <f>IF(J$10=0,0,H14/J$10)</f>
        <v>#DIV/0!</v>
      </c>
      <c r="G14" s="1689" t="e">
        <f t="shared" si="2"/>
        <v>#DIV/0!</v>
      </c>
      <c r="H14" s="1689" t="e">
        <f t="shared" si="3"/>
        <v>#DIV/0!</v>
      </c>
      <c r="I14" s="1719" t="e">
        <f>SUM(G15:G18)</f>
        <v>#DIV/0!</v>
      </c>
      <c r="J14" s="1719" t="e">
        <f>SUM(H15:H18)</f>
        <v>#DIV/0!</v>
      </c>
      <c r="K14" s="1689" t="e">
        <f>IF(スコア表示!W14=0,0,1)</f>
        <v>#DIV/0!</v>
      </c>
      <c r="L14" s="1689" t="e">
        <f>IF(スコア表示!AA14=0,0,1)</f>
        <v>#DIV/0!</v>
      </c>
      <c r="M14" s="1689" t="e">
        <f t="shared" si="4"/>
        <v>#DIV/0!</v>
      </c>
      <c r="N14" s="1689" t="e">
        <f t="shared" si="5"/>
        <v>#DIV/0!</v>
      </c>
      <c r="P14" s="1645">
        <f t="shared" si="6"/>
        <v>1.2</v>
      </c>
      <c r="Q14" s="1645" t="str">
        <f t="shared" si="7"/>
        <v xml:space="preserve"> Q1 1</v>
      </c>
      <c r="R14" s="1735" t="str">
        <f t="shared" si="8"/>
        <v>遮音</v>
      </c>
      <c r="S14" s="1616">
        <f t="shared" si="21"/>
        <v>0.4</v>
      </c>
      <c r="T14" s="1616">
        <f t="shared" si="9"/>
        <v>0.4</v>
      </c>
      <c r="U14" s="1616">
        <f t="shared" si="10"/>
        <v>0</v>
      </c>
      <c r="V14" s="1616">
        <f t="shared" si="11"/>
        <v>0.4</v>
      </c>
      <c r="W14" s="1616">
        <f t="shared" si="12"/>
        <v>0.4</v>
      </c>
      <c r="X14" s="1616">
        <f t="shared" si="13"/>
        <v>0</v>
      </c>
      <c r="Y14" s="1616">
        <f t="shared" si="14"/>
        <v>0</v>
      </c>
      <c r="Z14" s="1616">
        <f t="shared" si="15"/>
        <v>0</v>
      </c>
      <c r="AA14" s="1616">
        <f t="shared" si="16"/>
        <v>0.5</v>
      </c>
      <c r="AB14" s="1616">
        <f t="shared" si="17"/>
        <v>0.4</v>
      </c>
      <c r="AC14" s="1617">
        <f t="shared" si="18"/>
        <v>0.5</v>
      </c>
      <c r="AD14" s="1616">
        <f t="shared" si="19"/>
        <v>0.4</v>
      </c>
      <c r="AE14" s="1616">
        <f t="shared" si="20"/>
        <v>0.4</v>
      </c>
      <c r="AG14" s="1645">
        <v>1.2</v>
      </c>
      <c r="AH14" s="1691" t="s">
        <v>272</v>
      </c>
      <c r="AI14" s="1982" t="s">
        <v>409</v>
      </c>
      <c r="AJ14" s="2344">
        <v>0.4</v>
      </c>
      <c r="AK14" s="1616">
        <v>0.4</v>
      </c>
      <c r="AL14" s="1616"/>
      <c r="AM14" s="1616">
        <v>0.4</v>
      </c>
      <c r="AN14" s="2344">
        <v>0.4</v>
      </c>
      <c r="AO14" s="1616"/>
      <c r="AP14" s="1616"/>
      <c r="AQ14" s="1616"/>
      <c r="AR14" s="2344">
        <v>0.5</v>
      </c>
      <c r="AS14" s="1621">
        <v>0.4</v>
      </c>
      <c r="AT14" s="1623">
        <v>0.5</v>
      </c>
      <c r="AU14" s="1621">
        <v>0.4</v>
      </c>
      <c r="AV14" s="2345">
        <v>0.4</v>
      </c>
      <c r="AW14" s="1616"/>
      <c r="AX14" s="1645">
        <v>1.2</v>
      </c>
      <c r="AY14" s="1691" t="s">
        <v>272</v>
      </c>
      <c r="AZ14" s="1982" t="s">
        <v>409</v>
      </c>
      <c r="BA14" s="1621">
        <v>0.4</v>
      </c>
      <c r="BB14" s="1621">
        <v>0.4</v>
      </c>
      <c r="BC14" s="1621">
        <v>0.4</v>
      </c>
      <c r="BD14" s="1621">
        <v>0.4</v>
      </c>
      <c r="BE14" s="1621">
        <v>0.4</v>
      </c>
      <c r="BF14" s="1621">
        <v>0.4</v>
      </c>
      <c r="BG14" s="1621">
        <v>0.5</v>
      </c>
      <c r="BH14" s="1621">
        <v>0.4</v>
      </c>
      <c r="BI14" s="1621">
        <v>0.4</v>
      </c>
      <c r="BJ14" s="1621">
        <v>0.4</v>
      </c>
      <c r="BK14" s="1621">
        <v>0.4</v>
      </c>
      <c r="BL14" s="1621">
        <v>0.4</v>
      </c>
      <c r="BM14" s="1621">
        <v>0.5</v>
      </c>
      <c r="BO14" s="1645">
        <v>1.2</v>
      </c>
      <c r="BP14" s="1691" t="s">
        <v>272</v>
      </c>
      <c r="BQ14" s="1982" t="s">
        <v>409</v>
      </c>
      <c r="BR14" s="1621">
        <v>0.4</v>
      </c>
      <c r="BS14" s="1621">
        <v>0.4</v>
      </c>
      <c r="BT14" s="1621">
        <v>0.4</v>
      </c>
      <c r="BU14" s="1621">
        <v>0.4</v>
      </c>
      <c r="BV14" s="1621">
        <v>0.4</v>
      </c>
      <c r="BW14" s="1621">
        <v>0.4</v>
      </c>
      <c r="BX14" s="1621">
        <v>0.5</v>
      </c>
      <c r="BY14" s="1621">
        <v>0.4</v>
      </c>
      <c r="BZ14" s="1621">
        <v>0.4</v>
      </c>
      <c r="CA14" s="1621">
        <v>0.4</v>
      </c>
      <c r="CB14" s="1621">
        <v>0.4</v>
      </c>
      <c r="CC14" s="1621">
        <v>0.4</v>
      </c>
      <c r="CD14" s="1621">
        <v>0.5</v>
      </c>
    </row>
    <row r="15" spans="1:83">
      <c r="B15" s="1595" t="str">
        <f t="shared" si="0"/>
        <v>1.2.1</v>
      </c>
      <c r="C15" s="514" t="str">
        <f t="shared" si="1"/>
        <v>開口部遮音性能</v>
      </c>
      <c r="D15" s="1714" t="e">
        <f t="shared" ref="D15:E18" si="22">IF(I$14=0,0,G15/I$14)</f>
        <v>#DIV/0!</v>
      </c>
      <c r="E15" s="1714" t="e">
        <f>IF(J$14=0,0,H15/J$14)</f>
        <v>#DIV/0!</v>
      </c>
      <c r="G15" s="1689" t="e">
        <f t="shared" si="2"/>
        <v>#DIV/0!</v>
      </c>
      <c r="H15" s="1689" t="e">
        <f t="shared" si="3"/>
        <v>#DIV/0!</v>
      </c>
      <c r="I15" s="1719"/>
      <c r="J15" s="1719"/>
      <c r="K15" s="2063">
        <f>IF(スコア表示!W15=0,0,1)</f>
        <v>0</v>
      </c>
      <c r="L15" s="2063">
        <f>IF(スコア表示!AA15=0,0,1)</f>
        <v>0</v>
      </c>
      <c r="M15" s="2063" t="e">
        <f t="shared" si="4"/>
        <v>#DIV/0!</v>
      </c>
      <c r="N15" s="2063" t="e">
        <f t="shared" si="5"/>
        <v>#DIV/0!</v>
      </c>
      <c r="P15" s="2064" t="str">
        <f t="shared" si="6"/>
        <v>1.2.1</v>
      </c>
      <c r="Q15" s="2064" t="str">
        <f t="shared" si="7"/>
        <v xml:space="preserve"> Q1 1.2</v>
      </c>
      <c r="R15" s="2065" t="str">
        <f t="shared" si="8"/>
        <v>開口部遮音性能</v>
      </c>
      <c r="S15" s="1652">
        <f t="shared" si="21"/>
        <v>0</v>
      </c>
      <c r="T15" s="1652">
        <f t="shared" si="9"/>
        <v>0</v>
      </c>
      <c r="U15" s="1652">
        <f t="shared" si="10"/>
        <v>0</v>
      </c>
      <c r="V15" s="1652">
        <f t="shared" si="11"/>
        <v>0</v>
      </c>
      <c r="W15" s="1652">
        <f t="shared" si="12"/>
        <v>0</v>
      </c>
      <c r="X15" s="1652">
        <f t="shared" si="13"/>
        <v>0</v>
      </c>
      <c r="Y15" s="1652">
        <f t="shared" si="14"/>
        <v>0</v>
      </c>
      <c r="Z15" s="1653">
        <f t="shared" si="15"/>
        <v>0</v>
      </c>
      <c r="AA15" s="1652">
        <f t="shared" si="16"/>
        <v>0</v>
      </c>
      <c r="AB15" s="1652">
        <f t="shared" si="17"/>
        <v>0</v>
      </c>
      <c r="AC15" s="1654">
        <f t="shared" si="18"/>
        <v>0</v>
      </c>
      <c r="AD15" s="1652">
        <f t="shared" si="19"/>
        <v>0</v>
      </c>
      <c r="AE15" s="1652">
        <f t="shared" si="20"/>
        <v>0</v>
      </c>
      <c r="AG15" s="1645" t="s">
        <v>1618</v>
      </c>
      <c r="AH15" s="1691" t="s">
        <v>276</v>
      </c>
      <c r="AI15" s="1982" t="s">
        <v>1619</v>
      </c>
      <c r="AJ15" s="1652"/>
      <c r="AK15" s="1652"/>
      <c r="AL15" s="1652"/>
      <c r="AM15" s="1652"/>
      <c r="AN15" s="1652"/>
      <c r="AO15" s="1652"/>
      <c r="AP15" s="1652"/>
      <c r="AQ15" s="1652"/>
      <c r="AR15" s="1652"/>
      <c r="AS15" s="1621"/>
      <c r="AT15" s="1623"/>
      <c r="AU15" s="1621"/>
      <c r="AV15" s="1621"/>
      <c r="AW15" s="1652"/>
      <c r="AX15" s="1645" t="s">
        <v>1408</v>
      </c>
      <c r="AY15" s="1691" t="s">
        <v>276</v>
      </c>
      <c r="AZ15" s="1982" t="s">
        <v>1409</v>
      </c>
      <c r="BA15" s="1621">
        <v>0.6</v>
      </c>
      <c r="BB15" s="1621">
        <v>0.3</v>
      </c>
      <c r="BC15" s="1621">
        <v>1</v>
      </c>
      <c r="BD15" s="1621">
        <v>0.6</v>
      </c>
      <c r="BE15" s="1621">
        <v>0.4</v>
      </c>
      <c r="BF15" s="1621">
        <v>1</v>
      </c>
      <c r="BG15" s="1621">
        <v>1</v>
      </c>
      <c r="BH15" s="1621">
        <v>1</v>
      </c>
      <c r="BI15" s="1621">
        <v>0.6</v>
      </c>
      <c r="BJ15" s="1621">
        <v>0.3</v>
      </c>
      <c r="BK15" s="1621">
        <v>0.3</v>
      </c>
      <c r="BL15" s="1621">
        <v>0.3</v>
      </c>
      <c r="BM15" s="1621">
        <v>0.3</v>
      </c>
      <c r="BO15" s="1645" t="s">
        <v>1565</v>
      </c>
      <c r="BP15" s="1691" t="s">
        <v>276</v>
      </c>
      <c r="BQ15" s="1982" t="s">
        <v>1566</v>
      </c>
      <c r="BR15" s="1621">
        <v>0.6</v>
      </c>
      <c r="BS15" s="1621">
        <v>0.3</v>
      </c>
      <c r="BT15" s="1621">
        <v>1</v>
      </c>
      <c r="BU15" s="1621">
        <v>0.6</v>
      </c>
      <c r="BV15" s="1621">
        <v>0.4</v>
      </c>
      <c r="BW15" s="1621">
        <v>1</v>
      </c>
      <c r="BX15" s="1621">
        <v>1</v>
      </c>
      <c r="BY15" s="1621">
        <v>1</v>
      </c>
      <c r="BZ15" s="1621">
        <v>0.6</v>
      </c>
      <c r="CA15" s="1621">
        <v>0.3</v>
      </c>
      <c r="CB15" s="1621">
        <v>0.3</v>
      </c>
      <c r="CC15" s="1621">
        <v>0.3</v>
      </c>
      <c r="CD15" s="1621">
        <v>0.3</v>
      </c>
    </row>
    <row r="16" spans="1:83">
      <c r="B16" s="1595" t="str">
        <f t="shared" si="0"/>
        <v>1.2.2</v>
      </c>
      <c r="C16" s="514" t="str">
        <f t="shared" si="1"/>
        <v>界壁遮音性能</v>
      </c>
      <c r="D16" s="1714" t="e">
        <f>IF(I$14=0,0,G16/I$14)</f>
        <v>#DIV/0!</v>
      </c>
      <c r="E16" s="1714" t="e">
        <f t="shared" si="22"/>
        <v>#DIV/0!</v>
      </c>
      <c r="G16" s="1689" t="e">
        <f t="shared" si="2"/>
        <v>#DIV/0!</v>
      </c>
      <c r="H16" s="1689" t="e">
        <f t="shared" si="3"/>
        <v>#DIV/0!</v>
      </c>
      <c r="I16" s="1689"/>
      <c r="J16" s="1689"/>
      <c r="K16" s="1689">
        <f>IF(スコア表示!W16=0,0,1)</f>
        <v>1</v>
      </c>
      <c r="L16" s="1689">
        <f>IF(スコア表示!AA16=0,0,1)</f>
        <v>1</v>
      </c>
      <c r="M16" s="1689" t="e">
        <f t="shared" si="4"/>
        <v>#DIV/0!</v>
      </c>
      <c r="N16" s="1689" t="e">
        <f t="shared" si="5"/>
        <v>#DIV/0!</v>
      </c>
      <c r="P16" s="1645" t="str">
        <f t="shared" si="6"/>
        <v>1.2.2</v>
      </c>
      <c r="Q16" s="1645" t="str">
        <f t="shared" si="7"/>
        <v xml:space="preserve"> Q1 1.2</v>
      </c>
      <c r="R16" s="1735" t="str">
        <f t="shared" si="8"/>
        <v>界壁遮音性能</v>
      </c>
      <c r="S16" s="1616">
        <f t="shared" si="21"/>
        <v>1</v>
      </c>
      <c r="T16" s="1616">
        <f t="shared" si="9"/>
        <v>0.4</v>
      </c>
      <c r="U16" s="1616">
        <f t="shared" si="10"/>
        <v>0</v>
      </c>
      <c r="V16" s="1616">
        <f t="shared" si="11"/>
        <v>1</v>
      </c>
      <c r="W16" s="1616">
        <f t="shared" si="12"/>
        <v>0.4</v>
      </c>
      <c r="X16" s="1616">
        <f t="shared" si="13"/>
        <v>0</v>
      </c>
      <c r="Y16" s="1616">
        <f t="shared" si="14"/>
        <v>0</v>
      </c>
      <c r="Z16" s="1624">
        <f t="shared" si="15"/>
        <v>0</v>
      </c>
      <c r="AA16" s="1616">
        <f t="shared" si="16"/>
        <v>1</v>
      </c>
      <c r="AB16" s="1616">
        <f t="shared" si="17"/>
        <v>0.4</v>
      </c>
      <c r="AC16" s="1617">
        <f t="shared" si="18"/>
        <v>1</v>
      </c>
      <c r="AD16" s="1616">
        <f t="shared" si="19"/>
        <v>0.4</v>
      </c>
      <c r="AE16" s="1616">
        <f t="shared" si="20"/>
        <v>0.4</v>
      </c>
      <c r="AG16" s="1645" t="s">
        <v>1620</v>
      </c>
      <c r="AH16" s="1691" t="s">
        <v>276</v>
      </c>
      <c r="AI16" s="1982" t="s">
        <v>606</v>
      </c>
      <c r="AJ16" s="2346">
        <v>1</v>
      </c>
      <c r="AK16" s="1621">
        <v>0.4</v>
      </c>
      <c r="AL16" s="1621"/>
      <c r="AM16" s="1621">
        <v>1</v>
      </c>
      <c r="AN16" s="2346">
        <v>0.4</v>
      </c>
      <c r="AO16" s="1621"/>
      <c r="AP16" s="1621"/>
      <c r="AQ16" s="1622"/>
      <c r="AR16" s="2346">
        <v>1</v>
      </c>
      <c r="AS16" s="1621">
        <v>0.4</v>
      </c>
      <c r="AT16" s="1623">
        <v>1</v>
      </c>
      <c r="AU16" s="1621">
        <v>0.4</v>
      </c>
      <c r="AV16" s="1621">
        <v>0.4</v>
      </c>
      <c r="AW16" s="1621"/>
      <c r="AX16" s="1645" t="s">
        <v>1410</v>
      </c>
      <c r="AY16" s="1691" t="s">
        <v>276</v>
      </c>
      <c r="AZ16" s="1982" t="s">
        <v>606</v>
      </c>
      <c r="BA16" s="1621">
        <v>0.4</v>
      </c>
      <c r="BB16" s="1621">
        <v>0.3</v>
      </c>
      <c r="BC16" s="1621"/>
      <c r="BD16" s="1621">
        <v>0.4</v>
      </c>
      <c r="BE16" s="1621">
        <v>0.6</v>
      </c>
      <c r="BF16" s="1621"/>
      <c r="BG16" s="1621"/>
      <c r="BH16" s="1621"/>
      <c r="BI16" s="1621">
        <v>0.4</v>
      </c>
      <c r="BJ16" s="1621">
        <v>0.3</v>
      </c>
      <c r="BK16" s="1621">
        <v>0.3</v>
      </c>
      <c r="BL16" s="1621">
        <v>0.3</v>
      </c>
      <c r="BM16" s="1621">
        <v>0.3</v>
      </c>
      <c r="BO16" s="1645" t="s">
        <v>1567</v>
      </c>
      <c r="BP16" s="1691" t="s">
        <v>276</v>
      </c>
      <c r="BQ16" s="1982" t="s">
        <v>606</v>
      </c>
      <c r="BR16" s="1621">
        <v>0.4</v>
      </c>
      <c r="BS16" s="1621">
        <v>0.3</v>
      </c>
      <c r="BT16" s="1621"/>
      <c r="BU16" s="1621">
        <v>0.4</v>
      </c>
      <c r="BV16" s="1621">
        <v>0.6</v>
      </c>
      <c r="BW16" s="1621"/>
      <c r="BX16" s="1621"/>
      <c r="BY16" s="1621"/>
      <c r="BZ16" s="1621">
        <v>0.4</v>
      </c>
      <c r="CA16" s="1621">
        <v>0.3</v>
      </c>
      <c r="CB16" s="1621">
        <v>0.3</v>
      </c>
      <c r="CC16" s="1621">
        <v>0.3</v>
      </c>
      <c r="CD16" s="1621">
        <v>0.3</v>
      </c>
    </row>
    <row r="17" spans="1:83">
      <c r="B17" s="1595" t="str">
        <f t="shared" si="0"/>
        <v>1.2.3</v>
      </c>
      <c r="C17" s="514" t="str">
        <f t="shared" si="1"/>
        <v>界床遮音性能（軽量衝撃源）</v>
      </c>
      <c r="D17" s="1714" t="e">
        <f t="shared" si="22"/>
        <v>#DIV/0!</v>
      </c>
      <c r="E17" s="1714" t="e">
        <f t="shared" si="22"/>
        <v>#DIV/0!</v>
      </c>
      <c r="G17" s="1689" t="e">
        <f t="shared" si="2"/>
        <v>#DIV/0!</v>
      </c>
      <c r="H17" s="1689" t="e">
        <f t="shared" si="3"/>
        <v>#DIV/0!</v>
      </c>
      <c r="I17" s="1689"/>
      <c r="J17" s="1689"/>
      <c r="K17" s="1689">
        <f>IF(スコア表示!W17=0,0,1)</f>
        <v>0</v>
      </c>
      <c r="L17" s="1689">
        <f>IF(スコア表示!AA17=0,0,1)</f>
        <v>1</v>
      </c>
      <c r="M17" s="1689" t="e">
        <f t="shared" si="4"/>
        <v>#DIV/0!</v>
      </c>
      <c r="N17" s="1689" t="e">
        <f t="shared" si="5"/>
        <v>#DIV/0!</v>
      </c>
      <c r="P17" s="1645" t="str">
        <f t="shared" si="6"/>
        <v>1.2.3</v>
      </c>
      <c r="Q17" s="1645" t="str">
        <f t="shared" si="7"/>
        <v xml:space="preserve"> Q1 1.2</v>
      </c>
      <c r="R17" s="1735" t="str">
        <f t="shared" si="8"/>
        <v>界床遮音性能（軽量衝撃源）</v>
      </c>
      <c r="S17" s="1616">
        <f t="shared" si="21"/>
        <v>0</v>
      </c>
      <c r="T17" s="1616">
        <f t="shared" si="9"/>
        <v>0.3</v>
      </c>
      <c r="U17" s="1616">
        <f t="shared" si="10"/>
        <v>0</v>
      </c>
      <c r="V17" s="1616">
        <f t="shared" si="11"/>
        <v>0</v>
      </c>
      <c r="W17" s="1616">
        <f t="shared" si="12"/>
        <v>0.6</v>
      </c>
      <c r="X17" s="1616">
        <f t="shared" si="13"/>
        <v>0</v>
      </c>
      <c r="Y17" s="1616">
        <f t="shared" si="14"/>
        <v>0</v>
      </c>
      <c r="Z17" s="1624">
        <f t="shared" si="15"/>
        <v>0</v>
      </c>
      <c r="AA17" s="1616">
        <f t="shared" si="16"/>
        <v>0</v>
      </c>
      <c r="AB17" s="1616">
        <f t="shared" si="17"/>
        <v>0.3</v>
      </c>
      <c r="AC17" s="1617">
        <f t="shared" si="18"/>
        <v>0</v>
      </c>
      <c r="AD17" s="1616">
        <f t="shared" si="19"/>
        <v>0.3</v>
      </c>
      <c r="AE17" s="1616">
        <f t="shared" si="20"/>
        <v>0.3</v>
      </c>
      <c r="AG17" s="1645" t="s">
        <v>1621</v>
      </c>
      <c r="AH17" s="1691" t="s">
        <v>276</v>
      </c>
      <c r="AI17" s="1982" t="s">
        <v>607</v>
      </c>
      <c r="AJ17" s="1621"/>
      <c r="AK17" s="1621">
        <v>0.3</v>
      </c>
      <c r="AL17" s="1621"/>
      <c r="AM17" s="1621"/>
      <c r="AN17" s="2346">
        <v>0.6</v>
      </c>
      <c r="AO17" s="1621"/>
      <c r="AP17" s="1621"/>
      <c r="AQ17" s="1622"/>
      <c r="AR17" s="1621"/>
      <c r="AS17" s="1621">
        <v>0.3</v>
      </c>
      <c r="AT17" s="1623"/>
      <c r="AU17" s="1621">
        <v>0.3</v>
      </c>
      <c r="AV17" s="1621">
        <v>0.3</v>
      </c>
      <c r="AW17" s="1621"/>
      <c r="AX17" s="1645" t="s">
        <v>1412</v>
      </c>
      <c r="AY17" s="1691" t="s">
        <v>276</v>
      </c>
      <c r="AZ17" s="1982" t="s">
        <v>607</v>
      </c>
      <c r="BA17" s="1621"/>
      <c r="BB17" s="1621">
        <v>0.2</v>
      </c>
      <c r="BC17" s="1621"/>
      <c r="BD17" s="1621"/>
      <c r="BE17" s="1621"/>
      <c r="BF17" s="1621"/>
      <c r="BG17" s="1621"/>
      <c r="BH17" s="1622"/>
      <c r="BI17" s="1621"/>
      <c r="BJ17" s="1621">
        <v>0.2</v>
      </c>
      <c r="BK17" s="1623">
        <v>0.2</v>
      </c>
      <c r="BL17" s="1621">
        <v>0.2</v>
      </c>
      <c r="BM17" s="1621">
        <v>0.2</v>
      </c>
      <c r="BO17" s="1645" t="s">
        <v>1568</v>
      </c>
      <c r="BP17" s="1691" t="s">
        <v>276</v>
      </c>
      <c r="BQ17" s="1982" t="s">
        <v>607</v>
      </c>
      <c r="BR17" s="1621"/>
      <c r="BS17" s="1621">
        <v>0.2</v>
      </c>
      <c r="BT17" s="1621"/>
      <c r="BU17" s="1621"/>
      <c r="BV17" s="1621"/>
      <c r="BW17" s="1621"/>
      <c r="BX17" s="1621"/>
      <c r="BY17" s="1622"/>
      <c r="BZ17" s="1621"/>
      <c r="CA17" s="1621">
        <v>0.2</v>
      </c>
      <c r="CB17" s="1623">
        <v>0.2</v>
      </c>
      <c r="CC17" s="1621">
        <v>0.2</v>
      </c>
      <c r="CD17" s="1621">
        <v>0.2</v>
      </c>
    </row>
    <row r="18" spans="1:83">
      <c r="B18" s="1595" t="str">
        <f t="shared" si="0"/>
        <v>1.2.4</v>
      </c>
      <c r="C18" s="514" t="str">
        <f t="shared" si="1"/>
        <v>界床遮音性能（重量衝撃源）</v>
      </c>
      <c r="D18" s="1714" t="e">
        <f t="shared" si="22"/>
        <v>#DIV/0!</v>
      </c>
      <c r="E18" s="1714" t="e">
        <f t="shared" si="22"/>
        <v>#DIV/0!</v>
      </c>
      <c r="G18" s="1689" t="e">
        <f t="shared" si="2"/>
        <v>#DIV/0!</v>
      </c>
      <c r="H18" s="1689" t="e">
        <f>L18*N18</f>
        <v>#DIV/0!</v>
      </c>
      <c r="I18" s="1689"/>
      <c r="J18" s="1689"/>
      <c r="K18" s="1689">
        <f>IF(スコア表示!W18=0,0,1)</f>
        <v>0</v>
      </c>
      <c r="L18" s="1689">
        <f>IF(スコア表示!AA18=0,0,1)</f>
        <v>1</v>
      </c>
      <c r="M18" s="1689" t="e">
        <f t="shared" si="4"/>
        <v>#DIV/0!</v>
      </c>
      <c r="N18" s="1689" t="e">
        <f t="shared" si="5"/>
        <v>#DIV/0!</v>
      </c>
      <c r="P18" s="1645" t="str">
        <f t="shared" si="6"/>
        <v>1.2.4</v>
      </c>
      <c r="Q18" s="1645" t="str">
        <f t="shared" si="7"/>
        <v xml:space="preserve"> Q1 1.2</v>
      </c>
      <c r="R18" s="1735" t="str">
        <f t="shared" si="8"/>
        <v>界床遮音性能（重量衝撃源）</v>
      </c>
      <c r="S18" s="1616">
        <f t="shared" si="21"/>
        <v>0</v>
      </c>
      <c r="T18" s="1616">
        <f t="shared" si="9"/>
        <v>0.3</v>
      </c>
      <c r="U18" s="1616">
        <f t="shared" si="10"/>
        <v>0</v>
      </c>
      <c r="V18" s="1616">
        <f t="shared" si="11"/>
        <v>0</v>
      </c>
      <c r="W18" s="1616">
        <f t="shared" si="12"/>
        <v>0</v>
      </c>
      <c r="X18" s="1616">
        <f t="shared" si="13"/>
        <v>0</v>
      </c>
      <c r="Y18" s="1616">
        <f t="shared" si="14"/>
        <v>0</v>
      </c>
      <c r="Z18" s="1624">
        <f t="shared" si="15"/>
        <v>0</v>
      </c>
      <c r="AA18" s="1616">
        <f t="shared" si="16"/>
        <v>0</v>
      </c>
      <c r="AB18" s="1616">
        <f t="shared" si="17"/>
        <v>0.3</v>
      </c>
      <c r="AC18" s="1617">
        <f t="shared" si="18"/>
        <v>0</v>
      </c>
      <c r="AD18" s="1616">
        <f t="shared" si="19"/>
        <v>0.3</v>
      </c>
      <c r="AE18" s="1616">
        <f t="shared" si="20"/>
        <v>0.3</v>
      </c>
      <c r="AG18" s="1645" t="s">
        <v>1622</v>
      </c>
      <c r="AH18" s="1691" t="s">
        <v>276</v>
      </c>
      <c r="AI18" s="1982" t="s">
        <v>608</v>
      </c>
      <c r="AJ18" s="1621"/>
      <c r="AK18" s="1621">
        <v>0.3</v>
      </c>
      <c r="AL18" s="1621"/>
      <c r="AM18" s="1621"/>
      <c r="AN18" s="1621"/>
      <c r="AO18" s="1621"/>
      <c r="AP18" s="1621"/>
      <c r="AQ18" s="1622"/>
      <c r="AR18" s="1621"/>
      <c r="AS18" s="1621">
        <v>0.3</v>
      </c>
      <c r="AT18" s="1623"/>
      <c r="AU18" s="1621">
        <v>0.3</v>
      </c>
      <c r="AV18" s="1621">
        <v>0.3</v>
      </c>
      <c r="AW18" s="1621"/>
      <c r="AX18" s="1645" t="s">
        <v>1413</v>
      </c>
      <c r="AY18" s="1691" t="s">
        <v>276</v>
      </c>
      <c r="AZ18" s="1982" t="s">
        <v>608</v>
      </c>
      <c r="BA18" s="1621"/>
      <c r="BB18" s="1621">
        <v>0.2</v>
      </c>
      <c r="BC18" s="1621"/>
      <c r="BD18" s="1621"/>
      <c r="BE18" s="1621"/>
      <c r="BF18" s="1621"/>
      <c r="BG18" s="1621"/>
      <c r="BH18" s="1622"/>
      <c r="BI18" s="1621"/>
      <c r="BJ18" s="1621">
        <v>0.2</v>
      </c>
      <c r="BK18" s="1623">
        <v>0.2</v>
      </c>
      <c r="BL18" s="1621">
        <v>0.2</v>
      </c>
      <c r="BM18" s="1621">
        <v>0.2</v>
      </c>
      <c r="BO18" s="1645" t="s">
        <v>1569</v>
      </c>
      <c r="BP18" s="1691" t="s">
        <v>276</v>
      </c>
      <c r="BQ18" s="1982" t="s">
        <v>608</v>
      </c>
      <c r="BR18" s="1621"/>
      <c r="BS18" s="1621">
        <v>0.2</v>
      </c>
      <c r="BT18" s="1621"/>
      <c r="BU18" s="1621"/>
      <c r="BV18" s="1621"/>
      <c r="BW18" s="1621"/>
      <c r="BX18" s="1621"/>
      <c r="BY18" s="1622"/>
      <c r="BZ18" s="1621"/>
      <c r="CA18" s="1621">
        <v>0.2</v>
      </c>
      <c r="CB18" s="1623">
        <v>0.2</v>
      </c>
      <c r="CC18" s="1621">
        <v>0.2</v>
      </c>
      <c r="CD18" s="1621">
        <v>0.2</v>
      </c>
    </row>
    <row r="19" spans="1:83">
      <c r="B19" s="1595">
        <f t="shared" si="0"/>
        <v>1.3</v>
      </c>
      <c r="C19" s="514" t="str">
        <f t="shared" si="1"/>
        <v>吸音</v>
      </c>
      <c r="D19" s="1714" t="e">
        <f>IF(I$10=0,0,G19/I$10)</f>
        <v>#DIV/0!</v>
      </c>
      <c r="E19" s="1714" t="e">
        <f>IF(J$10=0,0,H19/J$10)</f>
        <v>#DIV/0!</v>
      </c>
      <c r="G19" s="1689" t="e">
        <f t="shared" si="2"/>
        <v>#DIV/0!</v>
      </c>
      <c r="H19" s="1689" t="e">
        <f>L19*N19</f>
        <v>#DIV/0!</v>
      </c>
      <c r="I19" s="1689"/>
      <c r="J19" s="1689"/>
      <c r="K19" s="1689">
        <f>IF(スコア表示!W19=0,0,1)</f>
        <v>1</v>
      </c>
      <c r="L19" s="1689">
        <f>IF(スコア表示!AA19=0,0,1)</f>
        <v>1</v>
      </c>
      <c r="M19" s="1689" t="e">
        <f t="shared" si="4"/>
        <v>#DIV/0!</v>
      </c>
      <c r="N19" s="1689" t="e">
        <f t="shared" si="5"/>
        <v>#DIV/0!</v>
      </c>
      <c r="P19" s="1645">
        <f t="shared" si="6"/>
        <v>1.3</v>
      </c>
      <c r="Q19" s="1645" t="str">
        <f t="shared" si="7"/>
        <v xml:space="preserve"> Q1 1</v>
      </c>
      <c r="R19" s="1735" t="str">
        <f t="shared" si="8"/>
        <v>吸音</v>
      </c>
      <c r="S19" s="1616">
        <f t="shared" si="21"/>
        <v>0.2</v>
      </c>
      <c r="T19" s="1616">
        <f t="shared" si="9"/>
        <v>0.2</v>
      </c>
      <c r="U19" s="1616">
        <f t="shared" si="10"/>
        <v>0.2</v>
      </c>
      <c r="V19" s="1616">
        <f t="shared" si="11"/>
        <v>0.2</v>
      </c>
      <c r="W19" s="1616">
        <f t="shared" si="12"/>
        <v>0.2</v>
      </c>
      <c r="X19" s="1616">
        <f t="shared" si="13"/>
        <v>0.2</v>
      </c>
      <c r="Y19" s="1616">
        <f t="shared" si="14"/>
        <v>0.2</v>
      </c>
      <c r="Z19" s="1624">
        <f t="shared" si="15"/>
        <v>0.2</v>
      </c>
      <c r="AA19" s="1616">
        <f t="shared" si="16"/>
        <v>0</v>
      </c>
      <c r="AB19" s="1616">
        <f t="shared" si="17"/>
        <v>0.2</v>
      </c>
      <c r="AC19" s="1617">
        <f t="shared" si="18"/>
        <v>0</v>
      </c>
      <c r="AD19" s="1616">
        <f t="shared" si="19"/>
        <v>0.2</v>
      </c>
      <c r="AE19" s="1616">
        <f t="shared" si="20"/>
        <v>0.2</v>
      </c>
      <c r="AG19" s="1645">
        <v>1.3</v>
      </c>
      <c r="AH19" s="1691" t="s">
        <v>272</v>
      </c>
      <c r="AI19" s="1982" t="s">
        <v>609</v>
      </c>
      <c r="AJ19" s="2346">
        <v>0.2</v>
      </c>
      <c r="AK19" s="1616">
        <v>0.2</v>
      </c>
      <c r="AL19" s="1616">
        <v>0.2</v>
      </c>
      <c r="AM19" s="1616">
        <v>0.2</v>
      </c>
      <c r="AN19" s="2346">
        <v>0.2</v>
      </c>
      <c r="AO19" s="1616">
        <v>0.2</v>
      </c>
      <c r="AP19" s="1616">
        <v>0.2</v>
      </c>
      <c r="AQ19" s="2346">
        <v>0.2</v>
      </c>
      <c r="AR19" s="1616"/>
      <c r="AS19" s="1621">
        <v>0.2</v>
      </c>
      <c r="AT19" s="1623"/>
      <c r="AU19" s="1621">
        <v>0.2</v>
      </c>
      <c r="AV19" s="2346">
        <v>0.2</v>
      </c>
      <c r="AW19" s="1616"/>
      <c r="AX19" s="1645">
        <v>1.3</v>
      </c>
      <c r="AY19" s="1691" t="s">
        <v>272</v>
      </c>
      <c r="AZ19" s="1982" t="s">
        <v>609</v>
      </c>
      <c r="BA19" s="1621">
        <v>0.2</v>
      </c>
      <c r="BB19" s="1621">
        <v>0.2</v>
      </c>
      <c r="BC19" s="1621">
        <v>0.2</v>
      </c>
      <c r="BD19" s="1621">
        <v>0.2</v>
      </c>
      <c r="BE19" s="1621">
        <v>0.2</v>
      </c>
      <c r="BF19" s="1621">
        <v>0.2</v>
      </c>
      <c r="BG19" s="1621">
        <v>0</v>
      </c>
      <c r="BH19" s="1622">
        <v>0.2</v>
      </c>
      <c r="BI19" s="1621">
        <v>0.2</v>
      </c>
      <c r="BJ19" s="1621">
        <v>0.2</v>
      </c>
      <c r="BK19" s="1623">
        <v>0.2</v>
      </c>
      <c r="BL19" s="1621">
        <v>0.2</v>
      </c>
      <c r="BM19" s="1621">
        <v>0</v>
      </c>
      <c r="BO19" s="1645">
        <v>1.3</v>
      </c>
      <c r="BP19" s="1691" t="s">
        <v>272</v>
      </c>
      <c r="BQ19" s="1982" t="s">
        <v>609</v>
      </c>
      <c r="BR19" s="1621">
        <v>0.2</v>
      </c>
      <c r="BS19" s="1621">
        <v>0.2</v>
      </c>
      <c r="BT19" s="1621">
        <v>0.2</v>
      </c>
      <c r="BU19" s="1621">
        <v>0.2</v>
      </c>
      <c r="BV19" s="1621">
        <v>0.2</v>
      </c>
      <c r="BW19" s="1621">
        <v>0.2</v>
      </c>
      <c r="BX19" s="1621">
        <v>0</v>
      </c>
      <c r="BY19" s="1622">
        <v>0.2</v>
      </c>
      <c r="BZ19" s="1621">
        <v>0.2</v>
      </c>
      <c r="CA19" s="1621">
        <v>0.2</v>
      </c>
      <c r="CB19" s="1623">
        <v>0.2</v>
      </c>
      <c r="CC19" s="1621">
        <v>0.2</v>
      </c>
      <c r="CD19" s="1621">
        <v>0</v>
      </c>
    </row>
    <row r="20" spans="1:83" s="1603" customFormat="1">
      <c r="A20"/>
      <c r="B20" s="1595">
        <f t="shared" si="0"/>
        <v>2</v>
      </c>
      <c r="C20" s="1626" t="str">
        <f t="shared" si="1"/>
        <v>温熱環境</v>
      </c>
      <c r="D20" s="2059" t="e">
        <f>IF(I$9=0,0,G20/I$9)</f>
        <v>#DIV/0!</v>
      </c>
      <c r="E20" s="1741" t="e">
        <f>IF(J$9=0,0,H20/J$9)</f>
        <v>#DIV/0!</v>
      </c>
      <c r="F20"/>
      <c r="G20" s="1741" t="e">
        <f t="shared" si="2"/>
        <v>#DIV/0!</v>
      </c>
      <c r="H20" s="1741" t="e">
        <f t="shared" si="3"/>
        <v>#DIV/0!</v>
      </c>
      <c r="I20" s="1741" t="e">
        <f>G21+G30+G31</f>
        <v>#DIV/0!</v>
      </c>
      <c r="J20" s="1741" t="e">
        <f>H21+H30+H31</f>
        <v>#DIV/0!</v>
      </c>
      <c r="K20" s="1741" t="e">
        <f>IF(スコア表示!W20=0,0,1)</f>
        <v>#DIV/0!</v>
      </c>
      <c r="L20" s="1741" t="e">
        <f>IF(スコア表示!AA20=0,0,1)</f>
        <v>#DIV/0!</v>
      </c>
      <c r="M20" s="1741" t="e">
        <f t="shared" si="4"/>
        <v>#DIV/0!</v>
      </c>
      <c r="N20" s="1741">
        <v>1</v>
      </c>
      <c r="O20"/>
      <c r="P20" s="1639">
        <f t="shared" si="6"/>
        <v>2</v>
      </c>
      <c r="Q20" s="1639" t="str">
        <f t="shared" si="7"/>
        <v xml:space="preserve"> Q1</v>
      </c>
      <c r="R20" s="1778" t="str">
        <f t="shared" si="8"/>
        <v>温熱環境</v>
      </c>
      <c r="S20" s="1608">
        <f t="shared" si="21"/>
        <v>0.35</v>
      </c>
      <c r="T20" s="1608">
        <f t="shared" si="9"/>
        <v>0.35</v>
      </c>
      <c r="U20" s="1608">
        <f t="shared" si="10"/>
        <v>0.35</v>
      </c>
      <c r="V20" s="1608">
        <f t="shared" si="11"/>
        <v>0.35</v>
      </c>
      <c r="W20" s="1608">
        <f t="shared" si="12"/>
        <v>0.35</v>
      </c>
      <c r="X20" s="1608">
        <f t="shared" si="13"/>
        <v>0.35</v>
      </c>
      <c r="Y20" s="1608">
        <f t="shared" si="14"/>
        <v>0.35</v>
      </c>
      <c r="Z20" s="1627">
        <f t="shared" si="15"/>
        <v>0.44</v>
      </c>
      <c r="AA20" s="1608">
        <f t="shared" si="16"/>
        <v>0.35</v>
      </c>
      <c r="AB20" s="1608">
        <f t="shared" si="17"/>
        <v>0.35</v>
      </c>
      <c r="AC20" s="1657">
        <f t="shared" si="18"/>
        <v>0</v>
      </c>
      <c r="AD20" s="1608">
        <f t="shared" si="19"/>
        <v>0</v>
      </c>
      <c r="AE20" s="1608">
        <f t="shared" si="20"/>
        <v>0</v>
      </c>
      <c r="AF20"/>
      <c r="AG20" s="1639">
        <v>2</v>
      </c>
      <c r="AH20" s="1742" t="s">
        <v>271</v>
      </c>
      <c r="AI20" s="1785" t="s">
        <v>1023</v>
      </c>
      <c r="AJ20" s="1608">
        <v>0.35</v>
      </c>
      <c r="AK20" s="1608">
        <v>0.35</v>
      </c>
      <c r="AL20" s="1608">
        <v>0.35</v>
      </c>
      <c r="AM20" s="1608">
        <v>0.35</v>
      </c>
      <c r="AN20" s="1608">
        <v>0.35</v>
      </c>
      <c r="AO20" s="1608">
        <v>0.35</v>
      </c>
      <c r="AP20" s="1608">
        <v>0.35</v>
      </c>
      <c r="AQ20" s="1608">
        <v>0.44</v>
      </c>
      <c r="AR20" s="1608">
        <v>0.35</v>
      </c>
      <c r="AS20" s="1709">
        <v>0.35</v>
      </c>
      <c r="AT20" s="2060"/>
      <c r="AU20" s="1709"/>
      <c r="AV20" s="1709"/>
      <c r="AW20"/>
      <c r="AX20" s="1639">
        <v>2</v>
      </c>
      <c r="AY20" s="1742" t="s">
        <v>271</v>
      </c>
      <c r="AZ20" s="1785" t="s">
        <v>1023</v>
      </c>
      <c r="BA20" s="1709">
        <v>0.35</v>
      </c>
      <c r="BB20" s="1709">
        <v>0.35</v>
      </c>
      <c r="BC20" s="1709">
        <v>0.35</v>
      </c>
      <c r="BD20" s="1709">
        <v>0.35</v>
      </c>
      <c r="BE20" s="1709">
        <v>0.35</v>
      </c>
      <c r="BF20" s="1709">
        <v>0.35</v>
      </c>
      <c r="BG20" s="1709">
        <v>0.35</v>
      </c>
      <c r="BH20" s="1633">
        <v>0.44</v>
      </c>
      <c r="BI20" s="1709">
        <v>0.35</v>
      </c>
      <c r="BJ20" s="1709">
        <v>0.35</v>
      </c>
      <c r="BK20" s="2060"/>
      <c r="BL20" s="1709"/>
      <c r="BM20" s="1709"/>
      <c r="BN20"/>
      <c r="BO20" s="1639">
        <v>2</v>
      </c>
      <c r="BP20" s="1742" t="s">
        <v>271</v>
      </c>
      <c r="BQ20" s="1785" t="s">
        <v>1023</v>
      </c>
      <c r="BR20" s="1709">
        <v>0.35</v>
      </c>
      <c r="BS20" s="1709">
        <v>0.35</v>
      </c>
      <c r="BT20" s="1709">
        <v>0.35</v>
      </c>
      <c r="BU20" s="1709">
        <v>0.35</v>
      </c>
      <c r="BV20" s="1709">
        <v>0.35</v>
      </c>
      <c r="BW20" s="1709">
        <v>0.35</v>
      </c>
      <c r="BX20" s="1709">
        <v>0.35</v>
      </c>
      <c r="BY20" s="1633">
        <v>0.44</v>
      </c>
      <c r="BZ20" s="1709">
        <v>0.35</v>
      </c>
      <c r="CA20" s="1709">
        <v>0.35</v>
      </c>
      <c r="CB20" s="2060"/>
      <c r="CC20" s="1709"/>
      <c r="CD20" s="1709"/>
      <c r="CE20"/>
    </row>
    <row r="21" spans="1:83">
      <c r="B21" s="1595">
        <f t="shared" si="0"/>
        <v>2.1</v>
      </c>
      <c r="C21" s="1628" t="str">
        <f t="shared" si="1"/>
        <v>室温制御</v>
      </c>
      <c r="D21" s="1714" t="e">
        <f>IF(I$20=0,0,G21/I$20)</f>
        <v>#DIV/0!</v>
      </c>
      <c r="E21" s="1689" t="e">
        <f>IF(J$20=0,0,H21/J$20)</f>
        <v>#DIV/0!</v>
      </c>
      <c r="G21" s="1689" t="e">
        <f t="shared" si="2"/>
        <v>#DIV/0!</v>
      </c>
      <c r="H21" s="1689" t="e">
        <f t="shared" si="3"/>
        <v>#DIV/0!</v>
      </c>
      <c r="I21" s="1689" t="e">
        <f>SUM(G22:G29)</f>
        <v>#DIV/0!</v>
      </c>
      <c r="J21" s="1689" t="e">
        <f>SUM(H22:H29)</f>
        <v>#DIV/0!</v>
      </c>
      <c r="K21" s="1689" t="e">
        <f>IF(スコア表示!W21=0,0,1)</f>
        <v>#DIV/0!</v>
      </c>
      <c r="L21" s="1689" t="e">
        <f>IF(スコア表示!AA21=0,0,1)</f>
        <v>#DIV/0!</v>
      </c>
      <c r="M21" s="1689" t="e">
        <f t="shared" si="4"/>
        <v>#DIV/0!</v>
      </c>
      <c r="N21" s="1689" t="e">
        <f t="shared" si="5"/>
        <v>#DIV/0!</v>
      </c>
      <c r="P21" s="1645">
        <f t="shared" si="6"/>
        <v>2.1</v>
      </c>
      <c r="Q21" s="1645" t="str">
        <f t="shared" si="7"/>
        <v xml:space="preserve"> Q1 2</v>
      </c>
      <c r="R21" s="1735" t="str">
        <f t="shared" si="8"/>
        <v>室温制御</v>
      </c>
      <c r="S21" s="1616">
        <f t="shared" si="21"/>
        <v>0.5</v>
      </c>
      <c r="T21" s="1616">
        <f t="shared" si="9"/>
        <v>0.5</v>
      </c>
      <c r="U21" s="1616">
        <f t="shared" si="10"/>
        <v>0.5</v>
      </c>
      <c r="V21" s="1616">
        <f t="shared" si="11"/>
        <v>0.5</v>
      </c>
      <c r="W21" s="1616">
        <f t="shared" si="12"/>
        <v>0.5</v>
      </c>
      <c r="X21" s="1616">
        <f t="shared" si="13"/>
        <v>0.5</v>
      </c>
      <c r="Y21" s="1616">
        <f t="shared" si="14"/>
        <v>0.5</v>
      </c>
      <c r="Z21" s="1629">
        <f t="shared" si="15"/>
        <v>0.5</v>
      </c>
      <c r="AA21" s="1616">
        <f t="shared" si="16"/>
        <v>0.5</v>
      </c>
      <c r="AB21" s="1616">
        <f t="shared" si="17"/>
        <v>0.5</v>
      </c>
      <c r="AC21" s="1617">
        <f t="shared" si="18"/>
        <v>1</v>
      </c>
      <c r="AD21" s="1616">
        <f t="shared" si="19"/>
        <v>1</v>
      </c>
      <c r="AE21" s="1616">
        <f t="shared" si="20"/>
        <v>1</v>
      </c>
      <c r="AG21" s="1645">
        <v>2.1</v>
      </c>
      <c r="AH21" s="1691" t="s">
        <v>277</v>
      </c>
      <c r="AI21" s="1735" t="s">
        <v>613</v>
      </c>
      <c r="AJ21" s="1616">
        <v>0.5</v>
      </c>
      <c r="AK21" s="1616">
        <v>0.5</v>
      </c>
      <c r="AL21" s="1616">
        <v>0.5</v>
      </c>
      <c r="AM21" s="1616">
        <v>0.5</v>
      </c>
      <c r="AN21" s="1616">
        <v>0.5</v>
      </c>
      <c r="AO21" s="1616">
        <v>0.5</v>
      </c>
      <c r="AP21" s="1616">
        <v>0.5</v>
      </c>
      <c r="AQ21" s="1616">
        <v>0.5</v>
      </c>
      <c r="AR21" s="1616">
        <v>0.5</v>
      </c>
      <c r="AS21" s="1621">
        <v>0.5</v>
      </c>
      <c r="AT21" s="1623">
        <v>1</v>
      </c>
      <c r="AU21" s="1621">
        <v>1</v>
      </c>
      <c r="AV21" s="1621">
        <v>1</v>
      </c>
      <c r="AX21" s="1645">
        <v>2.1</v>
      </c>
      <c r="AY21" s="1691" t="s">
        <v>277</v>
      </c>
      <c r="AZ21" s="1735" t="s">
        <v>613</v>
      </c>
      <c r="BA21" s="1621">
        <v>0.5</v>
      </c>
      <c r="BB21" s="1621">
        <v>0.5</v>
      </c>
      <c r="BC21" s="1621">
        <v>0.5</v>
      </c>
      <c r="BD21" s="1621">
        <v>0.5</v>
      </c>
      <c r="BE21" s="1621">
        <v>0.5</v>
      </c>
      <c r="BF21" s="1621">
        <v>0.5</v>
      </c>
      <c r="BG21" s="1621">
        <v>0.5</v>
      </c>
      <c r="BH21" s="1712">
        <v>0.5</v>
      </c>
      <c r="BI21" s="1621">
        <v>0.5</v>
      </c>
      <c r="BJ21" s="1621">
        <v>0.5</v>
      </c>
      <c r="BK21" s="1623">
        <v>0.5</v>
      </c>
      <c r="BL21" s="1621">
        <v>0.5</v>
      </c>
      <c r="BM21" s="1621">
        <v>0.5</v>
      </c>
      <c r="BO21" s="1645">
        <v>2.1</v>
      </c>
      <c r="BP21" s="1691" t="s">
        <v>277</v>
      </c>
      <c r="BQ21" s="1735" t="s">
        <v>613</v>
      </c>
      <c r="BR21" s="1621">
        <v>0.5</v>
      </c>
      <c r="BS21" s="1621">
        <v>0.5</v>
      </c>
      <c r="BT21" s="1621">
        <v>0.5</v>
      </c>
      <c r="BU21" s="1621">
        <v>0.5</v>
      </c>
      <c r="BV21" s="1621">
        <v>0.5</v>
      </c>
      <c r="BW21" s="1621">
        <v>0.5</v>
      </c>
      <c r="BX21" s="1621">
        <v>0.5</v>
      </c>
      <c r="BY21" s="1712">
        <v>0.5</v>
      </c>
      <c r="BZ21" s="1621">
        <v>0.5</v>
      </c>
      <c r="CA21" s="1621">
        <v>0.5</v>
      </c>
      <c r="CB21" s="1623">
        <v>0.5</v>
      </c>
      <c r="CC21" s="1621">
        <v>0.5</v>
      </c>
      <c r="CD21" s="1621">
        <v>0.5</v>
      </c>
    </row>
    <row r="22" spans="1:83">
      <c r="B22" s="1595" t="str">
        <f t="shared" si="0"/>
        <v>2.1.1</v>
      </c>
      <c r="C22" s="1612" t="str">
        <f t="shared" si="1"/>
        <v>室温設定</v>
      </c>
      <c r="D22" s="1719" t="e">
        <f t="shared" ref="D22:E29" si="23">IF(I$21&gt;0,G22/I$21,0)</f>
        <v>#DIV/0!</v>
      </c>
      <c r="E22" s="1689" t="e">
        <f t="shared" si="23"/>
        <v>#DIV/0!</v>
      </c>
      <c r="G22" s="1689" t="e">
        <f t="shared" si="2"/>
        <v>#DIV/0!</v>
      </c>
      <c r="H22" s="1689" t="e">
        <f t="shared" si="3"/>
        <v>#DIV/0!</v>
      </c>
      <c r="I22" s="1689"/>
      <c r="J22" s="1689"/>
      <c r="K22" s="1689">
        <f>IF(スコア表示!W22=0,0,1)</f>
        <v>1</v>
      </c>
      <c r="L22" s="1689">
        <f>IF(スコア表示!AA22=0,0,1)</f>
        <v>0</v>
      </c>
      <c r="M22" s="1689" t="e">
        <f t="shared" si="4"/>
        <v>#DIV/0!</v>
      </c>
      <c r="N22" s="1689" t="e">
        <f t="shared" si="5"/>
        <v>#DIV/0!</v>
      </c>
      <c r="P22" s="1645" t="str">
        <f t="shared" si="6"/>
        <v>2.1.1</v>
      </c>
      <c r="Q22" s="1645" t="str">
        <f t="shared" si="7"/>
        <v xml:space="preserve"> Q1 2.1</v>
      </c>
      <c r="R22" s="1735" t="str">
        <f t="shared" si="8"/>
        <v>室温設定</v>
      </c>
      <c r="S22" s="1616">
        <f t="shared" si="21"/>
        <v>0.3</v>
      </c>
      <c r="T22" s="1616">
        <f t="shared" si="9"/>
        <v>0.3</v>
      </c>
      <c r="U22" s="1616">
        <f t="shared" si="10"/>
        <v>0.3</v>
      </c>
      <c r="V22" s="1616">
        <f t="shared" si="11"/>
        <v>0.3</v>
      </c>
      <c r="W22" s="1616">
        <f t="shared" si="12"/>
        <v>0.3</v>
      </c>
      <c r="X22" s="1616">
        <f t="shared" si="13"/>
        <v>0.3</v>
      </c>
      <c r="Y22" s="1616">
        <f t="shared" si="14"/>
        <v>0.5</v>
      </c>
      <c r="Z22" s="1629">
        <f t="shared" si="15"/>
        <v>0.3</v>
      </c>
      <c r="AA22" s="1616">
        <f t="shared" si="16"/>
        <v>0.3</v>
      </c>
      <c r="AB22" s="1616">
        <f t="shared" si="17"/>
        <v>0.3</v>
      </c>
      <c r="AC22" s="1617">
        <f t="shared" si="18"/>
        <v>0</v>
      </c>
      <c r="AD22" s="1616">
        <f t="shared" si="19"/>
        <v>0</v>
      </c>
      <c r="AE22" s="1616">
        <f t="shared" si="20"/>
        <v>0</v>
      </c>
      <c r="AG22" s="1645" t="s">
        <v>1623</v>
      </c>
      <c r="AH22" s="1691" t="s">
        <v>278</v>
      </c>
      <c r="AI22" s="2061" t="s">
        <v>410</v>
      </c>
      <c r="AJ22" s="1616">
        <v>0.3</v>
      </c>
      <c r="AK22" s="1616">
        <v>0.3</v>
      </c>
      <c r="AL22" s="1616">
        <v>0.3</v>
      </c>
      <c r="AM22" s="1616">
        <v>0.3</v>
      </c>
      <c r="AN22" s="1616">
        <v>0.3</v>
      </c>
      <c r="AO22" s="1616">
        <v>0.3</v>
      </c>
      <c r="AP22" s="1616">
        <v>0.5</v>
      </c>
      <c r="AQ22" s="1629">
        <v>0.3</v>
      </c>
      <c r="AR22" s="1616">
        <v>0.3</v>
      </c>
      <c r="AS22" s="1621">
        <v>0.3</v>
      </c>
      <c r="AT22" s="1623"/>
      <c r="AU22" s="1621"/>
      <c r="AV22" s="1621"/>
      <c r="AX22" s="1645" t="s">
        <v>1415</v>
      </c>
      <c r="AY22" s="1691" t="s">
        <v>278</v>
      </c>
      <c r="AZ22" s="2061" t="s">
        <v>1416</v>
      </c>
      <c r="BA22" s="1621">
        <v>0.3</v>
      </c>
      <c r="BB22" s="1621">
        <v>0.3</v>
      </c>
      <c r="BC22" s="1621">
        <v>0.3</v>
      </c>
      <c r="BD22" s="1621">
        <v>0.3</v>
      </c>
      <c r="BE22" s="1621">
        <v>0.3</v>
      </c>
      <c r="BF22" s="1621">
        <v>0.3</v>
      </c>
      <c r="BG22" s="1621">
        <v>0.5</v>
      </c>
      <c r="BH22" s="1712">
        <v>0.3</v>
      </c>
      <c r="BI22" s="1621">
        <v>0.3</v>
      </c>
      <c r="BJ22" s="1621">
        <v>0.3</v>
      </c>
      <c r="BK22" s="1623">
        <v>0.4</v>
      </c>
      <c r="BL22" s="1621">
        <v>0.4</v>
      </c>
      <c r="BM22" s="1621">
        <v>0.5</v>
      </c>
      <c r="BO22" s="1645" t="s">
        <v>1570</v>
      </c>
      <c r="BP22" s="1691" t="s">
        <v>278</v>
      </c>
      <c r="BQ22" s="2061" t="s">
        <v>1571</v>
      </c>
      <c r="BR22" s="1621">
        <v>0.3</v>
      </c>
      <c r="BS22" s="1621">
        <v>0.3</v>
      </c>
      <c r="BT22" s="1621">
        <v>0.3</v>
      </c>
      <c r="BU22" s="1621">
        <v>0.3</v>
      </c>
      <c r="BV22" s="1621">
        <v>0.3</v>
      </c>
      <c r="BW22" s="1621">
        <v>0.3</v>
      </c>
      <c r="BX22" s="1621">
        <v>0.5</v>
      </c>
      <c r="BY22" s="1712">
        <v>0.3</v>
      </c>
      <c r="BZ22" s="1621">
        <v>0.3</v>
      </c>
      <c r="CA22" s="1621">
        <v>0.3</v>
      </c>
      <c r="CB22" s="1623">
        <v>0.4</v>
      </c>
      <c r="CC22" s="1621">
        <v>0.4</v>
      </c>
      <c r="CD22" s="1621">
        <v>0.5</v>
      </c>
    </row>
    <row r="23" spans="1:83" hidden="1">
      <c r="B23" s="1595" t="str">
        <f t="shared" si="0"/>
        <v>2.1.2</v>
      </c>
      <c r="C23" s="1648" t="str">
        <f t="shared" si="1"/>
        <v>負荷変動・追従制御性</v>
      </c>
      <c r="D23" s="1719" t="e">
        <f t="shared" si="23"/>
        <v>#DIV/0!</v>
      </c>
      <c r="E23" s="1689" t="e">
        <f t="shared" si="23"/>
        <v>#DIV/0!</v>
      </c>
      <c r="G23" s="1689" t="e">
        <f t="shared" si="2"/>
        <v>#DIV/0!</v>
      </c>
      <c r="H23" s="1689" t="e">
        <f t="shared" si="3"/>
        <v>#DIV/0!</v>
      </c>
      <c r="I23" s="1689"/>
      <c r="J23" s="1689"/>
      <c r="K23" s="1689">
        <f>IF(スコア表示!W23=0,0,1)</f>
        <v>0</v>
      </c>
      <c r="L23" s="1689">
        <f>IF(スコア表示!AA23=0,0,1)</f>
        <v>0</v>
      </c>
      <c r="M23" s="1689" t="e">
        <f t="shared" si="4"/>
        <v>#DIV/0!</v>
      </c>
      <c r="N23" s="1689" t="e">
        <f t="shared" si="5"/>
        <v>#DIV/0!</v>
      </c>
      <c r="P23" s="1645" t="str">
        <f t="shared" si="6"/>
        <v>2.1.2</v>
      </c>
      <c r="Q23" s="1645" t="str">
        <f t="shared" si="7"/>
        <v xml:space="preserve"> Q1 2.1</v>
      </c>
      <c r="R23" s="1735" t="str">
        <f t="shared" si="8"/>
        <v>負荷変動・追従制御性</v>
      </c>
      <c r="S23" s="1631">
        <f t="shared" si="21"/>
        <v>0</v>
      </c>
      <c r="T23" s="1616">
        <f t="shared" si="9"/>
        <v>0.2</v>
      </c>
      <c r="U23" s="1616">
        <f t="shared" si="10"/>
        <v>0.2</v>
      </c>
      <c r="V23" s="1616">
        <f t="shared" si="11"/>
        <v>0.2</v>
      </c>
      <c r="W23" s="1616">
        <f t="shared" si="12"/>
        <v>0</v>
      </c>
      <c r="X23" s="1616">
        <f t="shared" si="13"/>
        <v>0</v>
      </c>
      <c r="Y23" s="1616">
        <f t="shared" si="14"/>
        <v>0</v>
      </c>
      <c r="Z23" s="1629">
        <f t="shared" si="15"/>
        <v>0.3</v>
      </c>
      <c r="AA23" s="1631">
        <f t="shared" si="16"/>
        <v>0</v>
      </c>
      <c r="AB23" s="1616">
        <f t="shared" si="17"/>
        <v>0.2</v>
      </c>
      <c r="AC23" s="1617">
        <f t="shared" si="18"/>
        <v>0</v>
      </c>
      <c r="AD23" s="1616">
        <f t="shared" si="19"/>
        <v>0</v>
      </c>
      <c r="AE23" s="1616">
        <f t="shared" si="20"/>
        <v>0</v>
      </c>
      <c r="AG23" s="1645" t="s">
        <v>279</v>
      </c>
      <c r="AH23" s="1691" t="s">
        <v>278</v>
      </c>
      <c r="AI23" s="2061" t="s">
        <v>280</v>
      </c>
      <c r="AJ23" s="1652"/>
      <c r="AK23" s="1652">
        <v>0.2</v>
      </c>
      <c r="AL23" s="1652">
        <v>0.2</v>
      </c>
      <c r="AM23" s="1652">
        <v>0.2</v>
      </c>
      <c r="AN23" s="1652"/>
      <c r="AO23" s="1652"/>
      <c r="AP23" s="1652"/>
      <c r="AQ23" s="2068">
        <v>0.3</v>
      </c>
      <c r="AR23" s="1652"/>
      <c r="AS23" s="1621">
        <v>0.2</v>
      </c>
      <c r="AT23" s="1623"/>
      <c r="AU23" s="1621"/>
      <c r="AV23" s="1621"/>
      <c r="AX23" s="1645" t="s">
        <v>279</v>
      </c>
      <c r="AY23" s="1691" t="s">
        <v>278</v>
      </c>
      <c r="AZ23" s="2061" t="s">
        <v>280</v>
      </c>
      <c r="BA23" s="1713"/>
      <c r="BB23" s="1621">
        <v>0.2</v>
      </c>
      <c r="BC23" s="1621">
        <v>0.2</v>
      </c>
      <c r="BD23" s="1621">
        <v>0.2</v>
      </c>
      <c r="BE23" s="1621"/>
      <c r="BF23" s="1621"/>
      <c r="BG23" s="1621"/>
      <c r="BH23" s="1712">
        <v>0.3</v>
      </c>
      <c r="BI23" s="1713"/>
      <c r="BJ23" s="1621">
        <v>0.2</v>
      </c>
      <c r="BK23" s="1623"/>
      <c r="BL23" s="1621"/>
      <c r="BM23" s="1621"/>
      <c r="BO23" s="1645" t="s">
        <v>279</v>
      </c>
      <c r="BP23" s="1691" t="s">
        <v>278</v>
      </c>
      <c r="BQ23" s="2061" t="s">
        <v>280</v>
      </c>
      <c r="BR23" s="1713"/>
      <c r="BS23" s="1621">
        <v>0.2</v>
      </c>
      <c r="BT23" s="1621">
        <v>0.2</v>
      </c>
      <c r="BU23" s="1621">
        <v>0.2</v>
      </c>
      <c r="BV23" s="1621"/>
      <c r="BW23" s="1621"/>
      <c r="BX23" s="1621"/>
      <c r="BY23" s="1712">
        <v>0.3</v>
      </c>
      <c r="BZ23" s="1713"/>
      <c r="CA23" s="1621">
        <v>0.2</v>
      </c>
      <c r="CB23" s="1623"/>
      <c r="CC23" s="1621"/>
      <c r="CD23" s="1621"/>
    </row>
    <row r="24" spans="1:83">
      <c r="B24" s="1595" t="str">
        <f t="shared" si="0"/>
        <v>2.1.3</v>
      </c>
      <c r="C24" s="1612" t="str">
        <f t="shared" si="1"/>
        <v>外皮性能</v>
      </c>
      <c r="D24" s="1719" t="e">
        <f t="shared" si="23"/>
        <v>#DIV/0!</v>
      </c>
      <c r="E24" s="1689" t="e">
        <f t="shared" si="23"/>
        <v>#DIV/0!</v>
      </c>
      <c r="G24" s="1689" t="e">
        <f t="shared" si="2"/>
        <v>#DIV/0!</v>
      </c>
      <c r="H24" s="1689" t="e">
        <f t="shared" si="3"/>
        <v>#DIV/0!</v>
      </c>
      <c r="I24" s="1689"/>
      <c r="J24" s="1689"/>
      <c r="K24" s="1689">
        <f>IF(スコア表示!W24=0,0,1)</f>
        <v>1</v>
      </c>
      <c r="L24" s="1689">
        <f>IF(スコア表示!AA24=0,0,1)</f>
        <v>1</v>
      </c>
      <c r="M24" s="1689" t="e">
        <f t="shared" si="4"/>
        <v>#DIV/0!</v>
      </c>
      <c r="N24" s="1689" t="e">
        <f t="shared" si="5"/>
        <v>#DIV/0!</v>
      </c>
      <c r="P24" s="1645" t="str">
        <f t="shared" si="6"/>
        <v>2.1.3</v>
      </c>
      <c r="Q24" s="1645" t="str">
        <f t="shared" si="7"/>
        <v xml:space="preserve"> Q1 2.1</v>
      </c>
      <c r="R24" s="1735" t="str">
        <f t="shared" si="8"/>
        <v>外皮性能</v>
      </c>
      <c r="S24" s="1616">
        <f t="shared" si="21"/>
        <v>0.2</v>
      </c>
      <c r="T24" s="1616">
        <f t="shared" si="9"/>
        <v>0.2</v>
      </c>
      <c r="U24" s="1616">
        <f t="shared" si="10"/>
        <v>0.1</v>
      </c>
      <c r="V24" s="1616">
        <f t="shared" si="11"/>
        <v>0.1</v>
      </c>
      <c r="W24" s="1616">
        <f t="shared" si="12"/>
        <v>0.2</v>
      </c>
      <c r="X24" s="1616">
        <f t="shared" si="13"/>
        <v>0.2</v>
      </c>
      <c r="Y24" s="1616">
        <f t="shared" si="14"/>
        <v>0.3</v>
      </c>
      <c r="Z24" s="1629">
        <f t="shared" si="15"/>
        <v>0.1</v>
      </c>
      <c r="AA24" s="1616">
        <f t="shared" si="16"/>
        <v>0.2</v>
      </c>
      <c r="AB24" s="1616">
        <f t="shared" si="17"/>
        <v>0.2</v>
      </c>
      <c r="AC24" s="1617">
        <f t="shared" si="18"/>
        <v>0.5</v>
      </c>
      <c r="AD24" s="1616">
        <f t="shared" si="19"/>
        <v>0.5</v>
      </c>
      <c r="AE24" s="1616">
        <f t="shared" si="20"/>
        <v>0.6</v>
      </c>
      <c r="AG24" s="1645" t="s">
        <v>281</v>
      </c>
      <c r="AH24" s="1691" t="s">
        <v>278</v>
      </c>
      <c r="AI24" s="2061" t="s">
        <v>282</v>
      </c>
      <c r="AJ24" s="1616">
        <v>0.2</v>
      </c>
      <c r="AK24" s="1616">
        <v>0.2</v>
      </c>
      <c r="AL24" s="1616">
        <v>0.1</v>
      </c>
      <c r="AM24" s="1616">
        <v>0.1</v>
      </c>
      <c r="AN24" s="1616">
        <v>0.2</v>
      </c>
      <c r="AO24" s="1616">
        <v>0.2</v>
      </c>
      <c r="AP24" s="1616">
        <v>0.3</v>
      </c>
      <c r="AQ24" s="1629">
        <v>0.1</v>
      </c>
      <c r="AR24" s="1616">
        <v>0.2</v>
      </c>
      <c r="AS24" s="1621">
        <v>0.2</v>
      </c>
      <c r="AT24" s="1623">
        <v>0.5</v>
      </c>
      <c r="AU24" s="1621">
        <v>0.5</v>
      </c>
      <c r="AV24" s="1621">
        <v>0.6</v>
      </c>
      <c r="AX24" s="1645" t="s">
        <v>281</v>
      </c>
      <c r="AY24" s="1691" t="s">
        <v>278</v>
      </c>
      <c r="AZ24" s="2061" t="s">
        <v>282</v>
      </c>
      <c r="BA24" s="1621">
        <v>0.2</v>
      </c>
      <c r="BB24" s="1621">
        <v>0.2</v>
      </c>
      <c r="BC24" s="1621">
        <v>0.1</v>
      </c>
      <c r="BD24" s="1621">
        <v>0.1</v>
      </c>
      <c r="BE24" s="1621">
        <v>0.2</v>
      </c>
      <c r="BF24" s="1621">
        <v>0.2</v>
      </c>
      <c r="BG24" s="1621">
        <v>0.3</v>
      </c>
      <c r="BH24" s="1712">
        <v>0.1</v>
      </c>
      <c r="BI24" s="1621">
        <v>0.2</v>
      </c>
      <c r="BJ24" s="1621">
        <v>0.2</v>
      </c>
      <c r="BK24" s="1623">
        <v>0.3</v>
      </c>
      <c r="BL24" s="1621">
        <v>0.3</v>
      </c>
      <c r="BM24" s="1621">
        <v>0.3</v>
      </c>
      <c r="BO24" s="1645" t="s">
        <v>281</v>
      </c>
      <c r="BP24" s="1691" t="s">
        <v>278</v>
      </c>
      <c r="BQ24" s="2061" t="s">
        <v>282</v>
      </c>
      <c r="BR24" s="1621">
        <v>0.2</v>
      </c>
      <c r="BS24" s="1621">
        <v>0.2</v>
      </c>
      <c r="BT24" s="1621">
        <v>0.1</v>
      </c>
      <c r="BU24" s="1621">
        <v>0.1</v>
      </c>
      <c r="BV24" s="1621">
        <v>0.2</v>
      </c>
      <c r="BW24" s="1621">
        <v>0.2</v>
      </c>
      <c r="BX24" s="1621">
        <v>0.3</v>
      </c>
      <c r="BY24" s="1712">
        <v>0.1</v>
      </c>
      <c r="BZ24" s="1621">
        <v>0.2</v>
      </c>
      <c r="CA24" s="1621">
        <v>0.2</v>
      </c>
      <c r="CB24" s="1623">
        <v>0.3</v>
      </c>
      <c r="CC24" s="1621">
        <v>0.3</v>
      </c>
      <c r="CD24" s="1621">
        <v>0.3</v>
      </c>
    </row>
    <row r="25" spans="1:83">
      <c r="B25" s="1595" t="str">
        <f t="shared" si="0"/>
        <v>2.1.4</v>
      </c>
      <c r="C25" s="1612" t="str">
        <f t="shared" si="1"/>
        <v>ゾーン別制御性</v>
      </c>
      <c r="D25" s="1719" t="e">
        <f t="shared" si="23"/>
        <v>#DIV/0!</v>
      </c>
      <c r="E25" s="1689" t="e">
        <f t="shared" si="23"/>
        <v>#DIV/0!</v>
      </c>
      <c r="G25" s="1689" t="e">
        <f t="shared" si="2"/>
        <v>#DIV/0!</v>
      </c>
      <c r="H25" s="1689" t="e">
        <f t="shared" si="3"/>
        <v>#DIV/0!</v>
      </c>
      <c r="I25" s="1689"/>
      <c r="J25" s="1689"/>
      <c r="K25" s="1689">
        <f>IF(スコア表示!W25=0,0,1)</f>
        <v>1</v>
      </c>
      <c r="L25" s="1689">
        <f>IF(スコア表示!AA25=0,0,1)</f>
        <v>0</v>
      </c>
      <c r="M25" s="1689" t="e">
        <f t="shared" si="4"/>
        <v>#DIV/0!</v>
      </c>
      <c r="N25" s="1689" t="e">
        <f t="shared" si="5"/>
        <v>#DIV/0!</v>
      </c>
      <c r="P25" s="1645" t="str">
        <f t="shared" si="6"/>
        <v>2.1.4</v>
      </c>
      <c r="Q25" s="1645" t="str">
        <f t="shared" si="7"/>
        <v xml:space="preserve"> Q1 2.1</v>
      </c>
      <c r="R25" s="1735" t="str">
        <f t="shared" si="8"/>
        <v>ゾーン別制御性</v>
      </c>
      <c r="S25" s="1616">
        <f t="shared" si="21"/>
        <v>0.3</v>
      </c>
      <c r="T25" s="1616">
        <f t="shared" si="9"/>
        <v>0</v>
      </c>
      <c r="U25" s="1616">
        <f t="shared" si="10"/>
        <v>0.2</v>
      </c>
      <c r="V25" s="1616">
        <f t="shared" si="11"/>
        <v>0.2</v>
      </c>
      <c r="W25" s="1616">
        <f t="shared" si="12"/>
        <v>0.3</v>
      </c>
      <c r="X25" s="1616">
        <f t="shared" si="13"/>
        <v>0.3</v>
      </c>
      <c r="Y25" s="1616">
        <f t="shared" si="14"/>
        <v>0</v>
      </c>
      <c r="Z25" s="1629">
        <f t="shared" si="15"/>
        <v>0.2</v>
      </c>
      <c r="AA25" s="1616">
        <f t="shared" si="16"/>
        <v>0.3</v>
      </c>
      <c r="AB25" s="1616">
        <f t="shared" si="17"/>
        <v>0</v>
      </c>
      <c r="AC25" s="1617">
        <f t="shared" si="18"/>
        <v>0</v>
      </c>
      <c r="AD25" s="1616">
        <f t="shared" si="19"/>
        <v>0</v>
      </c>
      <c r="AE25" s="1616">
        <f t="shared" si="20"/>
        <v>0</v>
      </c>
      <c r="AG25" s="1645" t="s">
        <v>283</v>
      </c>
      <c r="AH25" s="1691" t="s">
        <v>278</v>
      </c>
      <c r="AI25" s="2061" t="s">
        <v>284</v>
      </c>
      <c r="AJ25" s="1616">
        <v>0.3</v>
      </c>
      <c r="AK25" s="1616"/>
      <c r="AL25" s="1616">
        <v>0.2</v>
      </c>
      <c r="AM25" s="1616">
        <v>0.2</v>
      </c>
      <c r="AN25" s="1616">
        <v>0.3</v>
      </c>
      <c r="AO25" s="1616">
        <v>0.3</v>
      </c>
      <c r="AP25" s="1616"/>
      <c r="AQ25" s="1629">
        <v>0.2</v>
      </c>
      <c r="AR25" s="1616">
        <v>0.3</v>
      </c>
      <c r="AS25" s="1621">
        <v>0</v>
      </c>
      <c r="AT25" s="1623"/>
      <c r="AU25" s="1621"/>
      <c r="AV25" s="1621"/>
      <c r="AX25" s="1645" t="s">
        <v>283</v>
      </c>
      <c r="AY25" s="1691" t="s">
        <v>278</v>
      </c>
      <c r="AZ25" s="2061" t="s">
        <v>284</v>
      </c>
      <c r="BA25" s="1621">
        <v>0.3</v>
      </c>
      <c r="BB25" s="1621"/>
      <c r="BC25" s="1621">
        <v>0.2</v>
      </c>
      <c r="BD25" s="1621">
        <v>0.2</v>
      </c>
      <c r="BE25" s="1621">
        <v>0.3</v>
      </c>
      <c r="BF25" s="1621">
        <v>0.3</v>
      </c>
      <c r="BG25" s="1621"/>
      <c r="BH25" s="1712">
        <v>0.2</v>
      </c>
      <c r="BI25" s="1621">
        <v>0.3</v>
      </c>
      <c r="BJ25" s="1621"/>
      <c r="BK25" s="1623"/>
      <c r="BL25" s="1621"/>
      <c r="BM25" s="1621"/>
      <c r="BO25" s="1645" t="s">
        <v>283</v>
      </c>
      <c r="BP25" s="1691" t="s">
        <v>278</v>
      </c>
      <c r="BQ25" s="2061" t="s">
        <v>284</v>
      </c>
      <c r="BR25" s="1621">
        <v>0.3</v>
      </c>
      <c r="BS25" s="1621"/>
      <c r="BT25" s="1621">
        <v>0.2</v>
      </c>
      <c r="BU25" s="1621">
        <v>0.2</v>
      </c>
      <c r="BV25" s="1621">
        <v>0.3</v>
      </c>
      <c r="BW25" s="1621">
        <v>0.3</v>
      </c>
      <c r="BX25" s="1621"/>
      <c r="BY25" s="1712">
        <v>0.2</v>
      </c>
      <c r="BZ25" s="1621">
        <v>0.3</v>
      </c>
      <c r="CA25" s="1621"/>
      <c r="CB25" s="1623"/>
      <c r="CC25" s="1621"/>
      <c r="CD25" s="1621"/>
    </row>
    <row r="26" spans="1:83" hidden="1">
      <c r="B26" s="1595" t="str">
        <f t="shared" si="0"/>
        <v>2.1.5</v>
      </c>
      <c r="C26" s="1648" t="str">
        <f t="shared" si="1"/>
        <v>温度・湿度制御</v>
      </c>
      <c r="D26" s="1719" t="e">
        <f t="shared" si="23"/>
        <v>#DIV/0!</v>
      </c>
      <c r="E26" s="1689" t="e">
        <f t="shared" si="23"/>
        <v>#DIV/0!</v>
      </c>
      <c r="G26" s="1689" t="e">
        <f t="shared" si="2"/>
        <v>#DIV/0!</v>
      </c>
      <c r="H26" s="1689" t="e">
        <f t="shared" si="3"/>
        <v>#DIV/0!</v>
      </c>
      <c r="I26" s="1689"/>
      <c r="J26" s="1689"/>
      <c r="K26" s="1689">
        <f>IF(スコア表示!W26=0,0,1)</f>
        <v>0</v>
      </c>
      <c r="L26" s="1689">
        <f>IF(スコア表示!AA26=0,0,1)</f>
        <v>0</v>
      </c>
      <c r="M26" s="1689" t="e">
        <f t="shared" si="4"/>
        <v>#DIV/0!</v>
      </c>
      <c r="N26" s="1689" t="e">
        <f t="shared" si="5"/>
        <v>#DIV/0!</v>
      </c>
      <c r="P26" s="1645" t="str">
        <f t="shared" si="6"/>
        <v>2.1.5</v>
      </c>
      <c r="Q26" s="1645" t="str">
        <f t="shared" si="7"/>
        <v xml:space="preserve"> Q1 2.1</v>
      </c>
      <c r="R26" s="1735" t="str">
        <f t="shared" si="8"/>
        <v>温度・湿度制御</v>
      </c>
      <c r="S26" s="1616">
        <f t="shared" si="21"/>
        <v>0.1</v>
      </c>
      <c r="T26" s="1616">
        <f t="shared" si="9"/>
        <v>0.1</v>
      </c>
      <c r="U26" s="1616">
        <f t="shared" si="10"/>
        <v>0.1</v>
      </c>
      <c r="V26" s="1616">
        <f t="shared" si="11"/>
        <v>0.1</v>
      </c>
      <c r="W26" s="1616">
        <f t="shared" si="12"/>
        <v>0.1</v>
      </c>
      <c r="X26" s="1616">
        <f t="shared" si="13"/>
        <v>0.1</v>
      </c>
      <c r="Y26" s="1616">
        <f t="shared" si="14"/>
        <v>0.2</v>
      </c>
      <c r="Z26" s="1629">
        <f t="shared" si="15"/>
        <v>0.1</v>
      </c>
      <c r="AA26" s="1616">
        <f t="shared" si="16"/>
        <v>0.1</v>
      </c>
      <c r="AB26" s="1616">
        <f t="shared" si="17"/>
        <v>0.1</v>
      </c>
      <c r="AC26" s="1617">
        <f t="shared" si="18"/>
        <v>0.3</v>
      </c>
      <c r="AD26" s="1616">
        <f t="shared" si="19"/>
        <v>0.3</v>
      </c>
      <c r="AE26" s="1616">
        <f t="shared" si="20"/>
        <v>0</v>
      </c>
      <c r="AG26" s="1645" t="s">
        <v>285</v>
      </c>
      <c r="AH26" s="1691" t="s">
        <v>278</v>
      </c>
      <c r="AI26" s="2061" t="s">
        <v>286</v>
      </c>
      <c r="AJ26" s="1652">
        <v>0.1</v>
      </c>
      <c r="AK26" s="1652">
        <v>0.1</v>
      </c>
      <c r="AL26" s="1652">
        <v>0.1</v>
      </c>
      <c r="AM26" s="1652">
        <v>0.1</v>
      </c>
      <c r="AN26" s="1652">
        <v>0.1</v>
      </c>
      <c r="AO26" s="1652">
        <v>0.1</v>
      </c>
      <c r="AP26" s="1652">
        <v>0.2</v>
      </c>
      <c r="AQ26" s="2068">
        <v>0.1</v>
      </c>
      <c r="AR26" s="1652">
        <v>0.1</v>
      </c>
      <c r="AS26" s="1621">
        <v>0.1</v>
      </c>
      <c r="AT26" s="1623">
        <v>0.3</v>
      </c>
      <c r="AU26" s="1621">
        <v>0.3</v>
      </c>
      <c r="AV26" s="1621"/>
      <c r="AX26" s="1645" t="s">
        <v>285</v>
      </c>
      <c r="AY26" s="1691" t="s">
        <v>278</v>
      </c>
      <c r="AZ26" s="2061" t="s">
        <v>286</v>
      </c>
      <c r="BA26" s="1621">
        <v>0.1</v>
      </c>
      <c r="BB26" s="1621">
        <v>0.1</v>
      </c>
      <c r="BC26" s="1621">
        <v>0.1</v>
      </c>
      <c r="BD26" s="1621">
        <v>0.1</v>
      </c>
      <c r="BE26" s="1621">
        <v>0.1</v>
      </c>
      <c r="BF26" s="1621">
        <v>0.1</v>
      </c>
      <c r="BG26" s="1621">
        <v>0.2</v>
      </c>
      <c r="BH26" s="1712">
        <v>0.1</v>
      </c>
      <c r="BI26" s="1621">
        <v>0.1</v>
      </c>
      <c r="BJ26" s="1621">
        <v>0.1</v>
      </c>
      <c r="BK26" s="1623">
        <v>0.2</v>
      </c>
      <c r="BL26" s="1621">
        <v>0.2</v>
      </c>
      <c r="BM26" s="1621"/>
      <c r="BO26" s="1645" t="s">
        <v>285</v>
      </c>
      <c r="BP26" s="1691" t="s">
        <v>278</v>
      </c>
      <c r="BQ26" s="2061" t="s">
        <v>286</v>
      </c>
      <c r="BR26" s="1621">
        <v>0.1</v>
      </c>
      <c r="BS26" s="1621">
        <v>0.1</v>
      </c>
      <c r="BT26" s="1621">
        <v>0.1</v>
      </c>
      <c r="BU26" s="1621">
        <v>0.1</v>
      </c>
      <c r="BV26" s="1621">
        <v>0.1</v>
      </c>
      <c r="BW26" s="1621">
        <v>0.1</v>
      </c>
      <c r="BX26" s="1621">
        <v>0.2</v>
      </c>
      <c r="BY26" s="1712">
        <v>0.1</v>
      </c>
      <c r="BZ26" s="1621">
        <v>0.1</v>
      </c>
      <c r="CA26" s="1621">
        <v>0.1</v>
      </c>
      <c r="CB26" s="1623">
        <v>0.2</v>
      </c>
      <c r="CC26" s="1621">
        <v>0.2</v>
      </c>
      <c r="CD26" s="1621"/>
    </row>
    <row r="27" spans="1:83" hidden="1">
      <c r="B27" s="1595" t="str">
        <f t="shared" si="0"/>
        <v>2.1.6</v>
      </c>
      <c r="C27" s="1648" t="str">
        <f t="shared" si="1"/>
        <v>個別制御</v>
      </c>
      <c r="D27" s="1719" t="e">
        <f t="shared" si="23"/>
        <v>#DIV/0!</v>
      </c>
      <c r="E27" s="1689" t="e">
        <f t="shared" si="23"/>
        <v>#DIV/0!</v>
      </c>
      <c r="G27" s="1689" t="e">
        <f t="shared" si="2"/>
        <v>#DIV/0!</v>
      </c>
      <c r="H27" s="1689" t="e">
        <f t="shared" si="3"/>
        <v>#DIV/0!</v>
      </c>
      <c r="I27" s="1689"/>
      <c r="J27" s="1689"/>
      <c r="K27" s="1689">
        <f>IF(スコア表示!W27=0,0,1)</f>
        <v>0</v>
      </c>
      <c r="L27" s="1689">
        <f>IF(スコア表示!AA27=0,0,1)</f>
        <v>0</v>
      </c>
      <c r="M27" s="1689" t="e">
        <f t="shared" si="4"/>
        <v>#DIV/0!</v>
      </c>
      <c r="N27" s="1689" t="e">
        <f t="shared" si="5"/>
        <v>#DIV/0!</v>
      </c>
      <c r="P27" s="1645" t="str">
        <f t="shared" si="6"/>
        <v>2.1.6</v>
      </c>
      <c r="Q27" s="1645" t="str">
        <f t="shared" si="7"/>
        <v xml:space="preserve"> Q1 2.1</v>
      </c>
      <c r="R27" s="1735" t="str">
        <f t="shared" si="8"/>
        <v>個別制御</v>
      </c>
      <c r="S27" s="1616">
        <f t="shared" si="21"/>
        <v>0</v>
      </c>
      <c r="T27" s="1616">
        <f t="shared" si="9"/>
        <v>0</v>
      </c>
      <c r="U27" s="1616">
        <f t="shared" si="10"/>
        <v>0</v>
      </c>
      <c r="V27" s="1616">
        <f t="shared" si="11"/>
        <v>0</v>
      </c>
      <c r="W27" s="1616">
        <f t="shared" si="12"/>
        <v>0</v>
      </c>
      <c r="X27" s="1616">
        <f t="shared" si="13"/>
        <v>0</v>
      </c>
      <c r="Y27" s="1616">
        <f t="shared" si="14"/>
        <v>0</v>
      </c>
      <c r="Z27" s="1629">
        <f t="shared" si="15"/>
        <v>0</v>
      </c>
      <c r="AA27" s="1616">
        <f t="shared" si="16"/>
        <v>0</v>
      </c>
      <c r="AB27" s="1616">
        <f t="shared" si="17"/>
        <v>0</v>
      </c>
      <c r="AC27" s="1617">
        <f t="shared" si="18"/>
        <v>0.2</v>
      </c>
      <c r="AD27" s="1616">
        <f t="shared" si="19"/>
        <v>0.2</v>
      </c>
      <c r="AE27" s="1616">
        <f t="shared" si="20"/>
        <v>0.4</v>
      </c>
      <c r="AG27" s="1645" t="s">
        <v>287</v>
      </c>
      <c r="AH27" s="1691" t="s">
        <v>278</v>
      </c>
      <c r="AI27" s="2061" t="s">
        <v>288</v>
      </c>
      <c r="AJ27" s="1652"/>
      <c r="AK27" s="1652"/>
      <c r="AL27" s="1652"/>
      <c r="AM27" s="1652"/>
      <c r="AN27" s="1652"/>
      <c r="AO27" s="1652"/>
      <c r="AP27" s="1652"/>
      <c r="AQ27" s="2068"/>
      <c r="AR27" s="1652"/>
      <c r="AS27" s="1621">
        <v>0</v>
      </c>
      <c r="AT27" s="1623">
        <v>0.2</v>
      </c>
      <c r="AU27" s="1621">
        <v>0.2</v>
      </c>
      <c r="AV27" s="1621">
        <v>0.4</v>
      </c>
      <c r="AX27" s="1645" t="s">
        <v>287</v>
      </c>
      <c r="AY27" s="1691" t="s">
        <v>278</v>
      </c>
      <c r="AZ27" s="2061" t="s">
        <v>288</v>
      </c>
      <c r="BA27" s="1621"/>
      <c r="BB27" s="1621"/>
      <c r="BC27" s="1621"/>
      <c r="BD27" s="1621"/>
      <c r="BE27" s="1621"/>
      <c r="BF27" s="1621"/>
      <c r="BG27" s="1621"/>
      <c r="BH27" s="1712"/>
      <c r="BI27" s="1621"/>
      <c r="BJ27" s="1621"/>
      <c r="BK27" s="1623">
        <v>0.1</v>
      </c>
      <c r="BL27" s="1621">
        <v>0.1</v>
      </c>
      <c r="BM27" s="1621">
        <v>0.2</v>
      </c>
      <c r="BO27" s="1645" t="s">
        <v>287</v>
      </c>
      <c r="BP27" s="1691" t="s">
        <v>278</v>
      </c>
      <c r="BQ27" s="2061" t="s">
        <v>288</v>
      </c>
      <c r="BR27" s="1621"/>
      <c r="BS27" s="1621"/>
      <c r="BT27" s="1621"/>
      <c r="BU27" s="1621"/>
      <c r="BV27" s="1621"/>
      <c r="BW27" s="1621"/>
      <c r="BX27" s="1621"/>
      <c r="BY27" s="1712"/>
      <c r="BZ27" s="1621"/>
      <c r="CA27" s="1621"/>
      <c r="CB27" s="1623">
        <v>0.1</v>
      </c>
      <c r="CC27" s="1621">
        <v>0.1</v>
      </c>
      <c r="CD27" s="1621">
        <v>0.2</v>
      </c>
    </row>
    <row r="28" spans="1:83" hidden="1">
      <c r="B28" s="1595" t="str">
        <f t="shared" si="0"/>
        <v>2.1.7</v>
      </c>
      <c r="C28" s="1648" t="str">
        <f t="shared" si="1"/>
        <v>時間外空調に対する配慮</v>
      </c>
      <c r="D28" s="1719" t="e">
        <f t="shared" si="23"/>
        <v>#DIV/0!</v>
      </c>
      <c r="E28" s="1689" t="e">
        <f t="shared" si="23"/>
        <v>#DIV/0!</v>
      </c>
      <c r="G28" s="1689" t="e">
        <f t="shared" si="2"/>
        <v>#DIV/0!</v>
      </c>
      <c r="H28" s="1689" t="e">
        <f t="shared" si="3"/>
        <v>#DIV/0!</v>
      </c>
      <c r="I28" s="1689"/>
      <c r="J28" s="1689"/>
      <c r="K28" s="1689">
        <f>IF(スコア表示!W28=0,0,1)</f>
        <v>0</v>
      </c>
      <c r="L28" s="1689">
        <f>IF(スコア表示!AA28=0,0,1)</f>
        <v>0</v>
      </c>
      <c r="M28" s="1689" t="e">
        <f t="shared" si="4"/>
        <v>#DIV/0!</v>
      </c>
      <c r="N28" s="1689" t="e">
        <f t="shared" si="5"/>
        <v>#DIV/0!</v>
      </c>
      <c r="P28" s="1645" t="str">
        <f t="shared" si="6"/>
        <v>2.1.7</v>
      </c>
      <c r="Q28" s="1645" t="str">
        <f t="shared" si="7"/>
        <v xml:space="preserve"> Q1 2.1</v>
      </c>
      <c r="R28" s="1735" t="str">
        <f t="shared" si="8"/>
        <v>時間外空調に対する配慮</v>
      </c>
      <c r="S28" s="1616">
        <f t="shared" si="21"/>
        <v>0.1</v>
      </c>
      <c r="T28" s="1616">
        <f t="shared" si="9"/>
        <v>0.2</v>
      </c>
      <c r="U28" s="1616">
        <f t="shared" si="10"/>
        <v>0</v>
      </c>
      <c r="V28" s="1616">
        <f t="shared" si="11"/>
        <v>0</v>
      </c>
      <c r="W28" s="1616">
        <f t="shared" si="12"/>
        <v>0.1</v>
      </c>
      <c r="X28" s="1616">
        <f t="shared" si="13"/>
        <v>0.1</v>
      </c>
      <c r="Y28" s="1616">
        <f t="shared" si="14"/>
        <v>0</v>
      </c>
      <c r="Z28" s="1629">
        <f t="shared" si="15"/>
        <v>0</v>
      </c>
      <c r="AA28" s="1616">
        <f t="shared" si="16"/>
        <v>0.1</v>
      </c>
      <c r="AB28" s="1616">
        <f t="shared" si="17"/>
        <v>0.2</v>
      </c>
      <c r="AC28" s="1617">
        <f t="shared" si="18"/>
        <v>0</v>
      </c>
      <c r="AD28" s="1616">
        <f t="shared" si="19"/>
        <v>0</v>
      </c>
      <c r="AE28" s="1616">
        <f t="shared" si="20"/>
        <v>0</v>
      </c>
      <c r="AG28" s="1645" t="s">
        <v>289</v>
      </c>
      <c r="AH28" s="1691" t="s">
        <v>278</v>
      </c>
      <c r="AI28" s="2061" t="s">
        <v>898</v>
      </c>
      <c r="AJ28" s="1652">
        <v>0.1</v>
      </c>
      <c r="AK28" s="1652">
        <v>0.2</v>
      </c>
      <c r="AL28" s="1652"/>
      <c r="AM28" s="1652"/>
      <c r="AN28" s="1652">
        <v>0.1</v>
      </c>
      <c r="AO28" s="1652">
        <v>0.1</v>
      </c>
      <c r="AP28" s="1652"/>
      <c r="AQ28" s="2068"/>
      <c r="AR28" s="1652">
        <v>0.1</v>
      </c>
      <c r="AS28" s="1621">
        <v>0.2</v>
      </c>
      <c r="AT28" s="1623"/>
      <c r="AU28" s="1621"/>
      <c r="AV28" s="1621"/>
      <c r="AX28" s="1645" t="s">
        <v>289</v>
      </c>
      <c r="AY28" s="1691" t="s">
        <v>278</v>
      </c>
      <c r="AZ28" s="2061" t="s">
        <v>898</v>
      </c>
      <c r="BA28" s="1621">
        <v>0.1</v>
      </c>
      <c r="BB28" s="1621">
        <v>0.2</v>
      </c>
      <c r="BC28" s="1621"/>
      <c r="BD28" s="1621"/>
      <c r="BE28" s="1621">
        <v>0.1</v>
      </c>
      <c r="BF28" s="1621">
        <v>0.1</v>
      </c>
      <c r="BG28" s="1621"/>
      <c r="BH28" s="1712"/>
      <c r="BI28" s="1621">
        <v>0.1</v>
      </c>
      <c r="BJ28" s="1621">
        <v>0.2</v>
      </c>
      <c r="BK28" s="1623"/>
      <c r="BL28" s="1621"/>
      <c r="BM28" s="1621"/>
      <c r="BO28" s="1645" t="s">
        <v>289</v>
      </c>
      <c r="BP28" s="1691" t="s">
        <v>278</v>
      </c>
      <c r="BQ28" s="2061" t="s">
        <v>898</v>
      </c>
      <c r="BR28" s="1621">
        <v>0.1</v>
      </c>
      <c r="BS28" s="1621">
        <v>0.2</v>
      </c>
      <c r="BT28" s="1621"/>
      <c r="BU28" s="1621"/>
      <c r="BV28" s="1621">
        <v>0.1</v>
      </c>
      <c r="BW28" s="1621">
        <v>0.1</v>
      </c>
      <c r="BX28" s="1621"/>
      <c r="BY28" s="1712"/>
      <c r="BZ28" s="1621">
        <v>0.1</v>
      </c>
      <c r="CA28" s="1621">
        <v>0.2</v>
      </c>
      <c r="CB28" s="1623"/>
      <c r="CC28" s="1621"/>
      <c r="CD28" s="1621"/>
    </row>
    <row r="29" spans="1:83" hidden="1">
      <c r="B29" s="1595" t="str">
        <f t="shared" si="0"/>
        <v>2.1.8</v>
      </c>
      <c r="C29" s="1648" t="str">
        <f t="shared" si="1"/>
        <v>監視システム</v>
      </c>
      <c r="D29" s="1719" t="e">
        <f t="shared" si="23"/>
        <v>#DIV/0!</v>
      </c>
      <c r="E29" s="1689" t="e">
        <f t="shared" si="23"/>
        <v>#DIV/0!</v>
      </c>
      <c r="G29" s="1689" t="e">
        <f t="shared" si="2"/>
        <v>#DIV/0!</v>
      </c>
      <c r="H29" s="1689" t="e">
        <f t="shared" si="3"/>
        <v>#DIV/0!</v>
      </c>
      <c r="I29" s="1689"/>
      <c r="J29" s="1689"/>
      <c r="K29" s="1689">
        <f>IF(スコア表示!W29=0,0,1)</f>
        <v>0</v>
      </c>
      <c r="L29" s="1689">
        <f>IF(スコア表示!AA29=0,0,1)</f>
        <v>0</v>
      </c>
      <c r="M29" s="1689" t="e">
        <f t="shared" si="4"/>
        <v>#DIV/0!</v>
      </c>
      <c r="N29" s="1689" t="e">
        <f t="shared" si="5"/>
        <v>#DIV/0!</v>
      </c>
      <c r="P29" s="1645" t="str">
        <f t="shared" si="6"/>
        <v>2.1.8</v>
      </c>
      <c r="Q29" s="1645" t="str">
        <f t="shared" si="7"/>
        <v xml:space="preserve"> Q1 2.1</v>
      </c>
      <c r="R29" s="1735" t="str">
        <f t="shared" si="8"/>
        <v>監視システム</v>
      </c>
      <c r="S29" s="1616">
        <f t="shared" si="21"/>
        <v>0</v>
      </c>
      <c r="T29" s="1616">
        <f t="shared" si="9"/>
        <v>0</v>
      </c>
      <c r="U29" s="1616">
        <f t="shared" si="10"/>
        <v>0.1</v>
      </c>
      <c r="V29" s="1616">
        <f t="shared" si="11"/>
        <v>0.1</v>
      </c>
      <c r="W29" s="1616">
        <f t="shared" si="12"/>
        <v>0</v>
      </c>
      <c r="X29" s="1616">
        <f t="shared" si="13"/>
        <v>0</v>
      </c>
      <c r="Y29" s="1616">
        <f t="shared" si="14"/>
        <v>0</v>
      </c>
      <c r="Z29" s="1629">
        <f t="shared" si="15"/>
        <v>0</v>
      </c>
      <c r="AA29" s="1616">
        <f t="shared" si="16"/>
        <v>0</v>
      </c>
      <c r="AB29" s="1616">
        <f t="shared" si="17"/>
        <v>0</v>
      </c>
      <c r="AC29" s="1617">
        <f t="shared" si="18"/>
        <v>0</v>
      </c>
      <c r="AD29" s="1616">
        <f t="shared" si="19"/>
        <v>0</v>
      </c>
      <c r="AE29" s="1616">
        <f t="shared" si="20"/>
        <v>0</v>
      </c>
      <c r="AG29" s="1645" t="s">
        <v>290</v>
      </c>
      <c r="AH29" s="1691" t="s">
        <v>278</v>
      </c>
      <c r="AI29" s="2061" t="s">
        <v>291</v>
      </c>
      <c r="AJ29" s="1652"/>
      <c r="AK29" s="1652"/>
      <c r="AL29" s="1652">
        <v>0.1</v>
      </c>
      <c r="AM29" s="1652">
        <v>0.1</v>
      </c>
      <c r="AN29" s="1652"/>
      <c r="AO29" s="1652"/>
      <c r="AP29" s="1652"/>
      <c r="AQ29" s="2068"/>
      <c r="AR29" s="1652"/>
      <c r="AS29" s="1621">
        <v>0</v>
      </c>
      <c r="AT29" s="1623"/>
      <c r="AU29" s="1621"/>
      <c r="AV29" s="1621"/>
      <c r="AX29" s="1645" t="s">
        <v>290</v>
      </c>
      <c r="AY29" s="1691" t="s">
        <v>278</v>
      </c>
      <c r="AZ29" s="2061" t="s">
        <v>291</v>
      </c>
      <c r="BA29" s="1621"/>
      <c r="BB29" s="1621"/>
      <c r="BC29" s="1621">
        <v>0.1</v>
      </c>
      <c r="BD29" s="1621">
        <v>0.1</v>
      </c>
      <c r="BE29" s="1621"/>
      <c r="BF29" s="1621"/>
      <c r="BG29" s="1621"/>
      <c r="BH29" s="1712"/>
      <c r="BI29" s="1621"/>
      <c r="BJ29" s="1621"/>
      <c r="BK29" s="1623"/>
      <c r="BL29" s="1621"/>
      <c r="BM29" s="1621"/>
      <c r="BO29" s="1645" t="s">
        <v>290</v>
      </c>
      <c r="BP29" s="1691" t="s">
        <v>278</v>
      </c>
      <c r="BQ29" s="2061" t="s">
        <v>291</v>
      </c>
      <c r="BR29" s="1621"/>
      <c r="BS29" s="1621"/>
      <c r="BT29" s="1621">
        <v>0.1</v>
      </c>
      <c r="BU29" s="1621">
        <v>0.1</v>
      </c>
      <c r="BV29" s="1621"/>
      <c r="BW29" s="1621"/>
      <c r="BX29" s="1621"/>
      <c r="BY29" s="1712"/>
      <c r="BZ29" s="1621"/>
      <c r="CA29" s="1621"/>
      <c r="CB29" s="1623"/>
      <c r="CC29" s="1621"/>
      <c r="CD29" s="1621"/>
    </row>
    <row r="30" spans="1:83">
      <c r="B30" s="1595">
        <f t="shared" si="0"/>
        <v>2.2000000000000002</v>
      </c>
      <c r="C30" s="1628" t="str">
        <f t="shared" si="1"/>
        <v>湿度制御</v>
      </c>
      <c r="D30" s="1714" t="e">
        <f>IF(I$20=0,0,G30/I$20)</f>
        <v>#DIV/0!</v>
      </c>
      <c r="E30" s="1689" t="e">
        <f>IF(J$20=0,0,H30/J$20)</f>
        <v>#DIV/0!</v>
      </c>
      <c r="G30" s="1689" t="e">
        <f t="shared" si="2"/>
        <v>#DIV/0!</v>
      </c>
      <c r="H30" s="1689" t="e">
        <f t="shared" si="3"/>
        <v>#DIV/0!</v>
      </c>
      <c r="I30" s="1689"/>
      <c r="J30" s="1689"/>
      <c r="K30" s="1689">
        <f>IF(スコア表示!W30=0,0,1)</f>
        <v>1</v>
      </c>
      <c r="L30" s="1689">
        <f>IF(スコア表示!AA30=0,0,1)</f>
        <v>0</v>
      </c>
      <c r="M30" s="1689" t="e">
        <f t="shared" si="4"/>
        <v>#DIV/0!</v>
      </c>
      <c r="N30" s="1689" t="e">
        <f t="shared" si="5"/>
        <v>#DIV/0!</v>
      </c>
      <c r="P30" s="1645">
        <f t="shared" si="6"/>
        <v>2.2000000000000002</v>
      </c>
      <c r="Q30" s="1645" t="str">
        <f t="shared" si="7"/>
        <v xml:space="preserve"> Q1 2</v>
      </c>
      <c r="R30" s="1735" t="str">
        <f t="shared" si="8"/>
        <v>湿度制御</v>
      </c>
      <c r="S30" s="1616">
        <f t="shared" si="21"/>
        <v>0.2</v>
      </c>
      <c r="T30" s="1616">
        <f t="shared" si="9"/>
        <v>0.2</v>
      </c>
      <c r="U30" s="1616">
        <f t="shared" si="10"/>
        <v>0.2</v>
      </c>
      <c r="V30" s="1616">
        <f t="shared" si="11"/>
        <v>0.2</v>
      </c>
      <c r="W30" s="1616">
        <f t="shared" si="12"/>
        <v>0.2</v>
      </c>
      <c r="X30" s="1616">
        <f t="shared" si="13"/>
        <v>0.2</v>
      </c>
      <c r="Y30" s="1616">
        <f t="shared" si="14"/>
        <v>0.2</v>
      </c>
      <c r="Z30" s="1629">
        <f t="shared" si="15"/>
        <v>0.2</v>
      </c>
      <c r="AA30" s="1616">
        <f t="shared" si="16"/>
        <v>0.2</v>
      </c>
      <c r="AB30" s="1616">
        <f t="shared" si="17"/>
        <v>0.2</v>
      </c>
      <c r="AC30" s="1617">
        <f t="shared" si="18"/>
        <v>0</v>
      </c>
      <c r="AD30" s="1616">
        <f t="shared" si="19"/>
        <v>0</v>
      </c>
      <c r="AE30" s="1616">
        <f t="shared" si="20"/>
        <v>0</v>
      </c>
      <c r="AG30" s="1645">
        <v>2.2000000000000002</v>
      </c>
      <c r="AH30" s="1691" t="s">
        <v>277</v>
      </c>
      <c r="AI30" s="1735" t="s">
        <v>931</v>
      </c>
      <c r="AJ30" s="1616">
        <v>0.2</v>
      </c>
      <c r="AK30" s="1616">
        <v>0.2</v>
      </c>
      <c r="AL30" s="1616">
        <v>0.2</v>
      </c>
      <c r="AM30" s="1616">
        <v>0.2</v>
      </c>
      <c r="AN30" s="1616">
        <v>0.2</v>
      </c>
      <c r="AO30" s="1616">
        <v>0.2</v>
      </c>
      <c r="AP30" s="1616">
        <v>0.2</v>
      </c>
      <c r="AQ30" s="1629">
        <v>0.2</v>
      </c>
      <c r="AR30" s="1616">
        <v>0.2</v>
      </c>
      <c r="AS30" s="1621">
        <v>0.2</v>
      </c>
      <c r="AT30" s="1623"/>
      <c r="AU30" s="1621"/>
      <c r="AV30" s="1621"/>
      <c r="AX30" s="1645">
        <v>2.2000000000000002</v>
      </c>
      <c r="AY30" s="1691" t="s">
        <v>277</v>
      </c>
      <c r="AZ30" s="1735" t="s">
        <v>931</v>
      </c>
      <c r="BA30" s="1621">
        <v>0.2</v>
      </c>
      <c r="BB30" s="1621">
        <v>0.2</v>
      </c>
      <c r="BC30" s="1621">
        <v>0.2</v>
      </c>
      <c r="BD30" s="1621">
        <v>0.2</v>
      </c>
      <c r="BE30" s="1621">
        <v>0.2</v>
      </c>
      <c r="BF30" s="1621">
        <v>0.2</v>
      </c>
      <c r="BG30" s="1621">
        <v>0.2</v>
      </c>
      <c r="BH30" s="1712">
        <v>0.2</v>
      </c>
      <c r="BI30" s="1621">
        <v>0.2</v>
      </c>
      <c r="BJ30" s="1621">
        <v>0.2</v>
      </c>
      <c r="BK30" s="1623">
        <v>0.2</v>
      </c>
      <c r="BL30" s="1621">
        <v>0.2</v>
      </c>
      <c r="BM30" s="1621">
        <v>0.2</v>
      </c>
      <c r="BO30" s="1645">
        <v>2.2000000000000002</v>
      </c>
      <c r="BP30" s="1691" t="s">
        <v>277</v>
      </c>
      <c r="BQ30" s="1735" t="s">
        <v>931</v>
      </c>
      <c r="BR30" s="1621">
        <v>0.2</v>
      </c>
      <c r="BS30" s="1621">
        <v>0.2</v>
      </c>
      <c r="BT30" s="1621">
        <v>0.2</v>
      </c>
      <c r="BU30" s="1621">
        <v>0.2</v>
      </c>
      <c r="BV30" s="1621">
        <v>0.2</v>
      </c>
      <c r="BW30" s="1621">
        <v>0.2</v>
      </c>
      <c r="BX30" s="1621">
        <v>0.2</v>
      </c>
      <c r="BY30" s="1712">
        <v>0.2</v>
      </c>
      <c r="BZ30" s="1621">
        <v>0.2</v>
      </c>
      <c r="CA30" s="1621">
        <v>0.2</v>
      </c>
      <c r="CB30" s="1623">
        <v>0.2</v>
      </c>
      <c r="CC30" s="1621">
        <v>0.2</v>
      </c>
      <c r="CD30" s="1621">
        <v>0.2</v>
      </c>
    </row>
    <row r="31" spans="1:83">
      <c r="B31" s="1595">
        <f t="shared" si="0"/>
        <v>2.2999999999999998</v>
      </c>
      <c r="C31" s="1628" t="str">
        <f t="shared" si="1"/>
        <v>空調方式</v>
      </c>
      <c r="D31" s="1714" t="e">
        <f>IF(I$20=0,0,G31/I$20)</f>
        <v>#DIV/0!</v>
      </c>
      <c r="E31" s="1689" t="e">
        <f>IF(J$20=0,0,H31/J$20)</f>
        <v>#DIV/0!</v>
      </c>
      <c r="G31" s="1689" t="e">
        <f t="shared" si="2"/>
        <v>#DIV/0!</v>
      </c>
      <c r="H31" s="1689" t="e">
        <f t="shared" si="3"/>
        <v>#DIV/0!</v>
      </c>
      <c r="I31" s="1689" t="e">
        <f>SUM(G32:G33)</f>
        <v>#DIV/0!</v>
      </c>
      <c r="J31" s="1689" t="e">
        <f>SUM(H32:H33)</f>
        <v>#DIV/0!</v>
      </c>
      <c r="K31" s="1689" t="e">
        <f>IF(スコア表示!W31=0,0,1)</f>
        <v>#DIV/0!</v>
      </c>
      <c r="L31" s="1689" t="e">
        <f>IF(スコア表示!AA31=0,0,1)</f>
        <v>#DIV/0!</v>
      </c>
      <c r="M31" s="1689" t="e">
        <f t="shared" si="4"/>
        <v>#DIV/0!</v>
      </c>
      <c r="N31" s="1689" t="e">
        <f t="shared" si="5"/>
        <v>#DIV/0!</v>
      </c>
      <c r="P31" s="1645">
        <f t="shared" si="6"/>
        <v>2.2999999999999998</v>
      </c>
      <c r="Q31" s="1645" t="str">
        <f t="shared" si="7"/>
        <v xml:space="preserve"> Q1 2</v>
      </c>
      <c r="R31" s="1735" t="str">
        <f t="shared" si="8"/>
        <v>空調方式</v>
      </c>
      <c r="S31" s="1616">
        <f t="shared" si="21"/>
        <v>0.3</v>
      </c>
      <c r="T31" s="1616">
        <f t="shared" si="9"/>
        <v>0.3</v>
      </c>
      <c r="U31" s="1616">
        <f t="shared" si="10"/>
        <v>0.3</v>
      </c>
      <c r="V31" s="1616">
        <f t="shared" si="11"/>
        <v>0.3</v>
      </c>
      <c r="W31" s="1616">
        <f t="shared" si="12"/>
        <v>0.3</v>
      </c>
      <c r="X31" s="1616">
        <f t="shared" si="13"/>
        <v>0.3</v>
      </c>
      <c r="Y31" s="1616">
        <f t="shared" si="14"/>
        <v>0.3</v>
      </c>
      <c r="Z31" s="1629">
        <f t="shared" si="15"/>
        <v>0.3</v>
      </c>
      <c r="AA31" s="1616">
        <f t="shared" si="16"/>
        <v>0.3</v>
      </c>
      <c r="AB31" s="1616">
        <f t="shared" si="17"/>
        <v>0.3</v>
      </c>
      <c r="AC31" s="1617">
        <f t="shared" si="18"/>
        <v>0</v>
      </c>
      <c r="AD31" s="1616">
        <f t="shared" si="19"/>
        <v>0</v>
      </c>
      <c r="AE31" s="1616">
        <f t="shared" si="20"/>
        <v>0</v>
      </c>
      <c r="AG31" s="1645">
        <v>2.2999999999999998</v>
      </c>
      <c r="AH31" s="1691" t="s">
        <v>277</v>
      </c>
      <c r="AI31" s="1735" t="s">
        <v>622</v>
      </c>
      <c r="AJ31" s="1616">
        <v>0.3</v>
      </c>
      <c r="AK31" s="1616">
        <v>0.3</v>
      </c>
      <c r="AL31" s="1616">
        <v>0.3</v>
      </c>
      <c r="AM31" s="1616">
        <v>0.3</v>
      </c>
      <c r="AN31" s="1616">
        <v>0.3</v>
      </c>
      <c r="AO31" s="1616">
        <v>0.3</v>
      </c>
      <c r="AP31" s="1616">
        <v>0.3</v>
      </c>
      <c r="AQ31" s="1629">
        <v>0.3</v>
      </c>
      <c r="AR31" s="1616">
        <v>0.3</v>
      </c>
      <c r="AS31" s="2347">
        <v>0.3</v>
      </c>
      <c r="AT31" s="1623"/>
      <c r="AU31" s="1621"/>
      <c r="AV31" s="1621"/>
      <c r="AX31" s="1645">
        <v>2.2999999999999998</v>
      </c>
      <c r="AY31" s="1691" t="s">
        <v>277</v>
      </c>
      <c r="AZ31" s="1735" t="s">
        <v>622</v>
      </c>
      <c r="BA31" s="1621">
        <v>0.3</v>
      </c>
      <c r="BB31" s="1621">
        <v>0.3</v>
      </c>
      <c r="BC31" s="1621">
        <v>0.3</v>
      </c>
      <c r="BD31" s="1621">
        <v>0.3</v>
      </c>
      <c r="BE31" s="1621">
        <v>0.3</v>
      </c>
      <c r="BF31" s="1621">
        <v>0.3</v>
      </c>
      <c r="BG31" s="1621">
        <v>0.3</v>
      </c>
      <c r="BH31" s="1712">
        <v>0.3</v>
      </c>
      <c r="BI31" s="1621">
        <v>0.3</v>
      </c>
      <c r="BJ31" s="1621">
        <v>0.3</v>
      </c>
      <c r="BK31" s="1623">
        <v>0.3</v>
      </c>
      <c r="BL31" s="1621">
        <v>0.3</v>
      </c>
      <c r="BM31" s="1621">
        <v>0.3</v>
      </c>
      <c r="BO31" s="1645">
        <v>2.2999999999999998</v>
      </c>
      <c r="BP31" s="1691" t="s">
        <v>277</v>
      </c>
      <c r="BQ31" s="1735" t="s">
        <v>622</v>
      </c>
      <c r="BR31" s="1621">
        <v>0.3</v>
      </c>
      <c r="BS31" s="1621">
        <v>0.3</v>
      </c>
      <c r="BT31" s="1621">
        <v>0.3</v>
      </c>
      <c r="BU31" s="1621">
        <v>0.3</v>
      </c>
      <c r="BV31" s="1621">
        <v>0.3</v>
      </c>
      <c r="BW31" s="1621">
        <v>0.3</v>
      </c>
      <c r="BX31" s="1621">
        <v>0.3</v>
      </c>
      <c r="BY31" s="1712">
        <v>0.3</v>
      </c>
      <c r="BZ31" s="1621">
        <v>0.3</v>
      </c>
      <c r="CA31" s="1621">
        <v>0.3</v>
      </c>
      <c r="CB31" s="1623">
        <v>0.3</v>
      </c>
      <c r="CC31" s="1621">
        <v>0.3</v>
      </c>
      <c r="CD31" s="1621">
        <v>0.3</v>
      </c>
    </row>
    <row r="32" spans="1:83">
      <c r="B32" s="1595" t="str">
        <f t="shared" si="0"/>
        <v>2.3.1</v>
      </c>
      <c r="C32" s="1658" t="str">
        <f t="shared" si="1"/>
        <v>上下温度差</v>
      </c>
      <c r="D32" s="1719" t="e">
        <f>IF(I$31&gt;0,G32/I$31,0)</f>
        <v>#DIV/0!</v>
      </c>
      <c r="E32" s="1689" t="e">
        <f>IF(J$31&gt;0,H32/J$31,0)</f>
        <v>#DIV/0!</v>
      </c>
      <c r="G32" s="1689" t="e">
        <f t="shared" si="2"/>
        <v>#DIV/0!</v>
      </c>
      <c r="H32" s="1689" t="e">
        <f t="shared" si="3"/>
        <v>#DIV/0!</v>
      </c>
      <c r="I32" s="1689"/>
      <c r="J32" s="1689"/>
      <c r="K32" s="1689">
        <f>IF(スコア表示!W32=0,0,1)</f>
        <v>1</v>
      </c>
      <c r="L32" s="1689">
        <f>IF(スコア表示!AA32=0,0,1)</f>
        <v>0</v>
      </c>
      <c r="M32" s="1689" t="e">
        <f t="shared" si="4"/>
        <v>#DIV/0!</v>
      </c>
      <c r="N32" s="1689" t="e">
        <f t="shared" si="5"/>
        <v>#DIV/0!</v>
      </c>
      <c r="P32" s="1645" t="str">
        <f t="shared" si="6"/>
        <v>2.3.1</v>
      </c>
      <c r="Q32" s="1645" t="str">
        <f t="shared" si="7"/>
        <v xml:space="preserve"> Q1 2.3</v>
      </c>
      <c r="R32" s="1735" t="str">
        <f t="shared" si="8"/>
        <v>上下温度差</v>
      </c>
      <c r="S32" s="1616">
        <f t="shared" si="21"/>
        <v>0.5</v>
      </c>
      <c r="T32" s="1616">
        <f t="shared" si="9"/>
        <v>0.5</v>
      </c>
      <c r="U32" s="1616">
        <f t="shared" si="10"/>
        <v>0.5</v>
      </c>
      <c r="V32" s="1616">
        <f t="shared" si="11"/>
        <v>0.5</v>
      </c>
      <c r="W32" s="1616">
        <f t="shared" si="12"/>
        <v>0.5</v>
      </c>
      <c r="X32" s="1616">
        <f t="shared" si="13"/>
        <v>0.5</v>
      </c>
      <c r="Y32" s="1616">
        <f t="shared" si="14"/>
        <v>0.5</v>
      </c>
      <c r="Z32" s="1629">
        <f t="shared" si="15"/>
        <v>0.5</v>
      </c>
      <c r="AA32" s="1616">
        <f t="shared" si="16"/>
        <v>0.5</v>
      </c>
      <c r="AB32" s="1616">
        <f t="shared" si="17"/>
        <v>0.5</v>
      </c>
      <c r="AC32" s="1617">
        <f t="shared" si="18"/>
        <v>0</v>
      </c>
      <c r="AD32" s="1616">
        <f t="shared" si="19"/>
        <v>0</v>
      </c>
      <c r="AE32" s="1616">
        <f t="shared" si="20"/>
        <v>0</v>
      </c>
      <c r="AG32" s="1645" t="s">
        <v>1624</v>
      </c>
      <c r="AH32" s="1691" t="s">
        <v>292</v>
      </c>
      <c r="AI32" s="1735" t="s">
        <v>624</v>
      </c>
      <c r="AJ32" s="1616">
        <v>0.5</v>
      </c>
      <c r="AK32" s="1616">
        <v>0.5</v>
      </c>
      <c r="AL32" s="1616">
        <v>0.5</v>
      </c>
      <c r="AM32" s="1616">
        <v>0.5</v>
      </c>
      <c r="AN32" s="1616">
        <v>0.5</v>
      </c>
      <c r="AO32" s="1616">
        <v>0.5</v>
      </c>
      <c r="AP32" s="1616">
        <v>0.5</v>
      </c>
      <c r="AQ32" s="1629">
        <v>0.5</v>
      </c>
      <c r="AR32" s="1616">
        <v>0.5</v>
      </c>
      <c r="AS32" s="2347">
        <v>0.5</v>
      </c>
      <c r="AT32" s="1623"/>
      <c r="AU32" s="1623"/>
      <c r="AV32" s="1623"/>
      <c r="AX32" s="2064" t="s">
        <v>1418</v>
      </c>
      <c r="AY32" s="2066" t="s">
        <v>292</v>
      </c>
      <c r="AZ32" s="2067" t="s">
        <v>624</v>
      </c>
      <c r="BA32" s="2071"/>
      <c r="BB32" s="2071"/>
      <c r="BC32" s="2071"/>
      <c r="BD32" s="2071"/>
      <c r="BE32" s="2071"/>
      <c r="BF32" s="2071"/>
      <c r="BG32" s="2071"/>
      <c r="BH32" s="2072"/>
      <c r="BI32" s="2071"/>
      <c r="BJ32" s="2071"/>
      <c r="BK32" s="2073"/>
      <c r="BL32" s="2071"/>
      <c r="BM32" s="2071"/>
      <c r="BO32" s="2064" t="s">
        <v>1572</v>
      </c>
      <c r="BP32" s="2066" t="s">
        <v>292</v>
      </c>
      <c r="BQ32" s="2067" t="s">
        <v>624</v>
      </c>
      <c r="BR32" s="2071"/>
      <c r="BS32" s="2071"/>
      <c r="BT32" s="2071"/>
      <c r="BU32" s="2071"/>
      <c r="BV32" s="2071"/>
      <c r="BW32" s="2071"/>
      <c r="BX32" s="2071"/>
      <c r="BY32" s="2072"/>
      <c r="BZ32" s="2071"/>
      <c r="CA32" s="2071"/>
      <c r="CB32" s="2073"/>
      <c r="CC32" s="2071"/>
      <c r="CD32" s="2071"/>
    </row>
    <row r="33" spans="1:83">
      <c r="B33" s="1595" t="str">
        <f t="shared" si="0"/>
        <v>2.3.2</v>
      </c>
      <c r="C33" s="1658" t="str">
        <f t="shared" si="1"/>
        <v>平均気流速度</v>
      </c>
      <c r="D33" s="1719" t="e">
        <f>IF(I$31&gt;0,G33/I$31,0)</f>
        <v>#DIV/0!</v>
      </c>
      <c r="E33" s="1689" t="e">
        <f>IF(J$31&gt;0,H33/J$31,0)</f>
        <v>#DIV/0!</v>
      </c>
      <c r="G33" s="1689" t="e">
        <f t="shared" si="2"/>
        <v>#DIV/0!</v>
      </c>
      <c r="H33" s="1689" t="e">
        <f t="shared" si="3"/>
        <v>#DIV/0!</v>
      </c>
      <c r="I33" s="1689"/>
      <c r="J33" s="1689"/>
      <c r="K33" s="1689">
        <f>IF(スコア表示!W33=0,0,1)</f>
        <v>1</v>
      </c>
      <c r="L33" s="1689">
        <f>IF(スコア表示!AA33=0,0,1)</f>
        <v>0</v>
      </c>
      <c r="M33" s="1689" t="e">
        <f t="shared" si="4"/>
        <v>#DIV/0!</v>
      </c>
      <c r="N33" s="1689" t="e">
        <f t="shared" si="5"/>
        <v>#DIV/0!</v>
      </c>
      <c r="P33" s="1645" t="str">
        <f t="shared" si="6"/>
        <v>2.3.2</v>
      </c>
      <c r="Q33" s="1645" t="str">
        <f t="shared" si="7"/>
        <v xml:space="preserve"> Q1 2.3</v>
      </c>
      <c r="R33" s="1735" t="str">
        <f t="shared" si="8"/>
        <v>平均気流速度</v>
      </c>
      <c r="S33" s="1616">
        <f t="shared" si="21"/>
        <v>0.5</v>
      </c>
      <c r="T33" s="1616">
        <f t="shared" si="9"/>
        <v>0.5</v>
      </c>
      <c r="U33" s="1616">
        <f t="shared" si="10"/>
        <v>0.5</v>
      </c>
      <c r="V33" s="1616">
        <f t="shared" si="11"/>
        <v>0.5</v>
      </c>
      <c r="W33" s="1616">
        <f t="shared" si="12"/>
        <v>0.5</v>
      </c>
      <c r="X33" s="1616">
        <f t="shared" si="13"/>
        <v>0.5</v>
      </c>
      <c r="Y33" s="1616">
        <f t="shared" si="14"/>
        <v>0.5</v>
      </c>
      <c r="Z33" s="1629">
        <f t="shared" si="15"/>
        <v>0.5</v>
      </c>
      <c r="AA33" s="1616">
        <f t="shared" si="16"/>
        <v>0.5</v>
      </c>
      <c r="AB33" s="1616">
        <f t="shared" si="17"/>
        <v>0.5</v>
      </c>
      <c r="AC33" s="1617">
        <f t="shared" si="18"/>
        <v>0</v>
      </c>
      <c r="AD33" s="1616">
        <f t="shared" si="19"/>
        <v>0</v>
      </c>
      <c r="AE33" s="1616">
        <f t="shared" si="20"/>
        <v>0</v>
      </c>
      <c r="AG33" s="1645" t="s">
        <v>1625</v>
      </c>
      <c r="AH33" s="1691" t="s">
        <v>292</v>
      </c>
      <c r="AI33" s="1735" t="s">
        <v>627</v>
      </c>
      <c r="AJ33" s="1616">
        <v>0.5</v>
      </c>
      <c r="AK33" s="1616">
        <v>0.5</v>
      </c>
      <c r="AL33" s="1616">
        <v>0.5</v>
      </c>
      <c r="AM33" s="1616">
        <v>0.5</v>
      </c>
      <c r="AN33" s="1616">
        <v>0.5</v>
      </c>
      <c r="AO33" s="1616">
        <v>0.5</v>
      </c>
      <c r="AP33" s="1616">
        <v>0.5</v>
      </c>
      <c r="AQ33" s="1616">
        <v>0.5</v>
      </c>
      <c r="AR33" s="1616">
        <v>0.5</v>
      </c>
      <c r="AS33" s="2347">
        <v>0.5</v>
      </c>
      <c r="AT33" s="1623"/>
      <c r="AU33" s="1623"/>
      <c r="AV33" s="1623"/>
      <c r="AX33" s="2064" t="s">
        <v>1420</v>
      </c>
      <c r="AY33" s="2066" t="s">
        <v>292</v>
      </c>
      <c r="AZ33" s="2067" t="s">
        <v>627</v>
      </c>
      <c r="BA33" s="2071"/>
      <c r="BB33" s="2071"/>
      <c r="BC33" s="2071"/>
      <c r="BD33" s="2071"/>
      <c r="BE33" s="2071"/>
      <c r="BF33" s="2071"/>
      <c r="BG33" s="2071"/>
      <c r="BH33" s="2072"/>
      <c r="BI33" s="2071"/>
      <c r="BJ33" s="2071"/>
      <c r="BK33" s="2073"/>
      <c r="BL33" s="2071"/>
      <c r="BM33" s="2071"/>
      <c r="BO33" s="2064" t="s">
        <v>1573</v>
      </c>
      <c r="BP33" s="2066" t="s">
        <v>292</v>
      </c>
      <c r="BQ33" s="2067" t="s">
        <v>627</v>
      </c>
      <c r="BR33" s="2071"/>
      <c r="BS33" s="2071"/>
      <c r="BT33" s="2071"/>
      <c r="BU33" s="2071"/>
      <c r="BV33" s="2071"/>
      <c r="BW33" s="2071"/>
      <c r="BX33" s="2071"/>
      <c r="BY33" s="2072"/>
      <c r="BZ33" s="2071"/>
      <c r="CA33" s="2071"/>
      <c r="CB33" s="2073"/>
      <c r="CC33" s="2071"/>
      <c r="CD33" s="2071"/>
    </row>
    <row r="34" spans="1:83" s="1603" customFormat="1">
      <c r="A34"/>
      <c r="B34" s="1595">
        <f t="shared" si="0"/>
        <v>3</v>
      </c>
      <c r="C34" s="1605" t="str">
        <f t="shared" si="1"/>
        <v>光・視環境</v>
      </c>
      <c r="D34" s="2059" t="e">
        <f>IF(I$9=0,0,G34/I$9)</f>
        <v>#DIV/0!</v>
      </c>
      <c r="E34" s="1741" t="e">
        <f>IF(J$9=0,0,H34/J$9)</f>
        <v>#DIV/0!</v>
      </c>
      <c r="F34"/>
      <c r="G34" s="1741" t="e">
        <f t="shared" si="2"/>
        <v>#DIV/0!</v>
      </c>
      <c r="H34" s="1741" t="e">
        <f t="shared" si="3"/>
        <v>#DIV/0!</v>
      </c>
      <c r="I34" s="1741" t="e">
        <f>G35+G39+G43+G46</f>
        <v>#DIV/0!</v>
      </c>
      <c r="J34" s="1741" t="e">
        <f>H35+H39+H43+H46</f>
        <v>#DIV/0!</v>
      </c>
      <c r="K34" s="1741" t="e">
        <f>IF(スコア表示!W34=0,0,1)</f>
        <v>#DIV/0!</v>
      </c>
      <c r="L34" s="1741" t="e">
        <f>IF(スコア表示!AA34=0,0,1)</f>
        <v>#DIV/0!</v>
      </c>
      <c r="M34" s="1741" t="e">
        <f t="shared" si="4"/>
        <v>#DIV/0!</v>
      </c>
      <c r="N34" s="1741">
        <v>1</v>
      </c>
      <c r="O34"/>
      <c r="P34" s="1639">
        <f t="shared" si="6"/>
        <v>3</v>
      </c>
      <c r="Q34" s="1639" t="str">
        <f t="shared" si="7"/>
        <v xml:space="preserve"> Q1</v>
      </c>
      <c r="R34" s="1778" t="str">
        <f t="shared" si="8"/>
        <v>光・視環境</v>
      </c>
      <c r="S34" s="1608">
        <f t="shared" si="21"/>
        <v>0.25</v>
      </c>
      <c r="T34" s="1608">
        <f t="shared" si="9"/>
        <v>0.25</v>
      </c>
      <c r="U34" s="1608">
        <f t="shared" si="10"/>
        <v>0.25</v>
      </c>
      <c r="V34" s="1608">
        <f t="shared" si="11"/>
        <v>0.25</v>
      </c>
      <c r="W34" s="1608">
        <f t="shared" si="12"/>
        <v>0.25</v>
      </c>
      <c r="X34" s="1608">
        <f t="shared" si="13"/>
        <v>0.25</v>
      </c>
      <c r="Y34" s="1608">
        <f t="shared" si="14"/>
        <v>0.25</v>
      </c>
      <c r="Z34" s="1627">
        <f t="shared" si="15"/>
        <v>0</v>
      </c>
      <c r="AA34" s="1608">
        <f t="shared" si="16"/>
        <v>0.25</v>
      </c>
      <c r="AB34" s="1608">
        <f t="shared" si="17"/>
        <v>0.25</v>
      </c>
      <c r="AC34" s="1657">
        <f t="shared" si="18"/>
        <v>0</v>
      </c>
      <c r="AD34" s="1608">
        <f t="shared" si="19"/>
        <v>0</v>
      </c>
      <c r="AE34" s="1608">
        <f t="shared" si="20"/>
        <v>0</v>
      </c>
      <c r="AF34"/>
      <c r="AG34" s="1639">
        <v>3</v>
      </c>
      <c r="AH34" s="1742" t="s">
        <v>271</v>
      </c>
      <c r="AI34" s="1778" t="s">
        <v>1139</v>
      </c>
      <c r="AJ34" s="1608">
        <v>0.25</v>
      </c>
      <c r="AK34" s="1608">
        <v>0.25</v>
      </c>
      <c r="AL34" s="1608">
        <v>0.25</v>
      </c>
      <c r="AM34" s="1608">
        <v>0.25</v>
      </c>
      <c r="AN34" s="1608">
        <v>0.25</v>
      </c>
      <c r="AO34" s="1608">
        <v>0.25</v>
      </c>
      <c r="AP34" s="1608">
        <v>0.25</v>
      </c>
      <c r="AQ34" s="1627">
        <v>0</v>
      </c>
      <c r="AR34" s="1608">
        <v>0.25</v>
      </c>
      <c r="AS34" s="1709">
        <v>0.25</v>
      </c>
      <c r="AT34" s="2060"/>
      <c r="AU34" s="1709"/>
      <c r="AV34" s="1709"/>
      <c r="AW34"/>
      <c r="AX34" s="1639">
        <v>3</v>
      </c>
      <c r="AY34" s="1742" t="s">
        <v>271</v>
      </c>
      <c r="AZ34" s="1778" t="s">
        <v>1139</v>
      </c>
      <c r="BA34" s="1709">
        <v>0.25</v>
      </c>
      <c r="BB34" s="1709">
        <v>0.25</v>
      </c>
      <c r="BC34" s="1709">
        <v>0.25</v>
      </c>
      <c r="BD34" s="1709">
        <v>0.25</v>
      </c>
      <c r="BE34" s="1709">
        <v>0.25</v>
      </c>
      <c r="BF34" s="1709">
        <v>0.25</v>
      </c>
      <c r="BG34" s="1709">
        <v>0.25</v>
      </c>
      <c r="BH34" s="1633">
        <v>0</v>
      </c>
      <c r="BI34" s="1709">
        <v>0.25</v>
      </c>
      <c r="BJ34" s="1709">
        <v>0.25</v>
      </c>
      <c r="BK34" s="2060"/>
      <c r="BL34" s="1709"/>
      <c r="BM34" s="1709"/>
      <c r="BN34"/>
      <c r="BO34" s="1639">
        <v>3</v>
      </c>
      <c r="BP34" s="1742" t="s">
        <v>271</v>
      </c>
      <c r="BQ34" s="1778" t="s">
        <v>1139</v>
      </c>
      <c r="BR34" s="1709">
        <v>0.25</v>
      </c>
      <c r="BS34" s="1709">
        <v>0.25</v>
      </c>
      <c r="BT34" s="1709">
        <v>0.25</v>
      </c>
      <c r="BU34" s="1709">
        <v>0.25</v>
      </c>
      <c r="BV34" s="1709">
        <v>0.25</v>
      </c>
      <c r="BW34" s="1709">
        <v>0.25</v>
      </c>
      <c r="BX34" s="1709">
        <v>0.25</v>
      </c>
      <c r="BY34" s="1633">
        <v>0</v>
      </c>
      <c r="BZ34" s="1709">
        <v>0.25</v>
      </c>
      <c r="CA34" s="1709">
        <v>0.25</v>
      </c>
      <c r="CB34" s="2060"/>
      <c r="CC34" s="1709"/>
      <c r="CD34" s="1709"/>
      <c r="CE34"/>
    </row>
    <row r="35" spans="1:83">
      <c r="B35" s="1595">
        <f t="shared" si="0"/>
        <v>3.1</v>
      </c>
      <c r="C35" s="1628" t="str">
        <f t="shared" si="1"/>
        <v>昼光利用</v>
      </c>
      <c r="D35" s="1714" t="e">
        <f>IF(I$34=0,0,G35/I$34)</f>
        <v>#DIV/0!</v>
      </c>
      <c r="E35" s="1689" t="e">
        <f>IF(J$34=0,0,H35/J$34)</f>
        <v>#DIV/0!</v>
      </c>
      <c r="G35" s="1689" t="e">
        <f t="shared" si="2"/>
        <v>#DIV/0!</v>
      </c>
      <c r="H35" s="1689" t="e">
        <f t="shared" si="3"/>
        <v>#DIV/0!</v>
      </c>
      <c r="I35" s="1689" t="e">
        <f>SUM(G36:G38)</f>
        <v>#DIV/0!</v>
      </c>
      <c r="J35" s="1689" t="e">
        <f>SUM(H36:H38)</f>
        <v>#DIV/0!</v>
      </c>
      <c r="K35" s="1689" t="e">
        <f>IF(スコア表示!W35=0,0,1)</f>
        <v>#DIV/0!</v>
      </c>
      <c r="L35" s="1689" t="e">
        <f>IF(スコア表示!AA35=0,0,1)</f>
        <v>#DIV/0!</v>
      </c>
      <c r="M35" s="1689" t="e">
        <f t="shared" si="4"/>
        <v>#DIV/0!</v>
      </c>
      <c r="N35" s="1689" t="e">
        <f t="shared" si="5"/>
        <v>#DIV/0!</v>
      </c>
      <c r="P35" s="1645">
        <f t="shared" si="6"/>
        <v>3.1</v>
      </c>
      <c r="Q35" s="1645" t="str">
        <f t="shared" si="7"/>
        <v xml:space="preserve"> Q1 3</v>
      </c>
      <c r="R35" s="1735" t="str">
        <f t="shared" si="8"/>
        <v>昼光利用</v>
      </c>
      <c r="S35" s="1616">
        <f t="shared" si="21"/>
        <v>0.3</v>
      </c>
      <c r="T35" s="1616">
        <f t="shared" si="9"/>
        <v>0.3</v>
      </c>
      <c r="U35" s="1616">
        <f t="shared" si="10"/>
        <v>0.5</v>
      </c>
      <c r="V35" s="1616">
        <f t="shared" si="11"/>
        <v>1</v>
      </c>
      <c r="W35" s="1616">
        <f t="shared" si="12"/>
        <v>0.3</v>
      </c>
      <c r="X35" s="1616">
        <f t="shared" si="13"/>
        <v>0.3</v>
      </c>
      <c r="Y35" s="1616">
        <f t="shared" si="14"/>
        <v>0.3</v>
      </c>
      <c r="Z35" s="1629">
        <f t="shared" si="15"/>
        <v>0</v>
      </c>
      <c r="AA35" s="1616">
        <f t="shared" si="16"/>
        <v>0.3</v>
      </c>
      <c r="AB35" s="1616">
        <f t="shared" si="17"/>
        <v>0.3</v>
      </c>
      <c r="AC35" s="1617">
        <f t="shared" si="18"/>
        <v>0.3</v>
      </c>
      <c r="AD35" s="1616">
        <f t="shared" si="19"/>
        <v>0.3</v>
      </c>
      <c r="AE35" s="1616">
        <f t="shared" si="20"/>
        <v>0.3</v>
      </c>
      <c r="AG35" s="1645">
        <v>3.1</v>
      </c>
      <c r="AH35" s="1691" t="s">
        <v>293</v>
      </c>
      <c r="AI35" s="1735" t="s">
        <v>631</v>
      </c>
      <c r="AJ35" s="1616">
        <v>0.3</v>
      </c>
      <c r="AK35" s="1616">
        <v>0.3</v>
      </c>
      <c r="AL35" s="1616">
        <v>0.5</v>
      </c>
      <c r="AM35" s="1616">
        <v>1</v>
      </c>
      <c r="AN35" s="1616">
        <v>0.3</v>
      </c>
      <c r="AO35" s="1616">
        <v>0.3</v>
      </c>
      <c r="AP35" s="1616">
        <v>0.3</v>
      </c>
      <c r="AQ35" s="1629"/>
      <c r="AR35" s="1616">
        <v>0.3</v>
      </c>
      <c r="AS35" s="1621">
        <v>0.3</v>
      </c>
      <c r="AT35" s="1623">
        <v>0.3</v>
      </c>
      <c r="AU35" s="1621">
        <v>0.3</v>
      </c>
      <c r="AV35" s="1621">
        <v>0.3</v>
      </c>
      <c r="AX35" s="1645">
        <v>3.1</v>
      </c>
      <c r="AY35" s="1691" t="s">
        <v>293</v>
      </c>
      <c r="AZ35" s="1735" t="s">
        <v>631</v>
      </c>
      <c r="BA35" s="1621">
        <v>0.3</v>
      </c>
      <c r="BB35" s="1621">
        <v>0.3</v>
      </c>
      <c r="BC35" s="1621">
        <v>0.5</v>
      </c>
      <c r="BD35" s="1621">
        <v>1</v>
      </c>
      <c r="BE35" s="1621">
        <v>0.3</v>
      </c>
      <c r="BF35" s="1621">
        <v>0.3</v>
      </c>
      <c r="BG35" s="1621">
        <v>0.3</v>
      </c>
      <c r="BH35" s="1712"/>
      <c r="BI35" s="1621">
        <v>0.3</v>
      </c>
      <c r="BJ35" s="1621">
        <v>0.3</v>
      </c>
      <c r="BK35" s="1623">
        <v>0.3</v>
      </c>
      <c r="BL35" s="1621">
        <v>0.3</v>
      </c>
      <c r="BM35" s="1621">
        <v>0.3</v>
      </c>
      <c r="BO35" s="1645">
        <v>3.1</v>
      </c>
      <c r="BP35" s="1691" t="s">
        <v>293</v>
      </c>
      <c r="BQ35" s="1735" t="s">
        <v>631</v>
      </c>
      <c r="BR35" s="1621">
        <v>0.3</v>
      </c>
      <c r="BS35" s="1621">
        <v>0.3</v>
      </c>
      <c r="BT35" s="1621">
        <v>0.5</v>
      </c>
      <c r="BU35" s="1621">
        <v>1</v>
      </c>
      <c r="BV35" s="1621">
        <v>0.3</v>
      </c>
      <c r="BW35" s="1621">
        <v>0.3</v>
      </c>
      <c r="BX35" s="1621">
        <v>0.3</v>
      </c>
      <c r="BY35" s="1712"/>
      <c r="BZ35" s="1621">
        <v>0.3</v>
      </c>
      <c r="CA35" s="1621">
        <v>0.3</v>
      </c>
      <c r="CB35" s="1623">
        <v>0.3</v>
      </c>
      <c r="CC35" s="1621">
        <v>0.3</v>
      </c>
      <c r="CD35" s="1621">
        <v>0.3</v>
      </c>
    </row>
    <row r="36" spans="1:83">
      <c r="B36" s="1595" t="str">
        <f t="shared" si="0"/>
        <v>3.1.1</v>
      </c>
      <c r="C36" s="1612" t="str">
        <f t="shared" si="1"/>
        <v>昼光率</v>
      </c>
      <c r="D36" s="1719" t="e">
        <f t="shared" ref="D36:E38" si="24">IF(I$35&gt;0,G36/I$35,0)</f>
        <v>#DIV/0!</v>
      </c>
      <c r="E36" s="1689" t="e">
        <f t="shared" si="24"/>
        <v>#DIV/0!</v>
      </c>
      <c r="G36" s="1689" t="e">
        <f t="shared" si="2"/>
        <v>#DIV/0!</v>
      </c>
      <c r="H36" s="1689" t="e">
        <f t="shared" si="3"/>
        <v>#DIV/0!</v>
      </c>
      <c r="I36" s="1689"/>
      <c r="J36" s="1689"/>
      <c r="K36" s="1689">
        <f>IF(スコア表示!W36=0,0,1)</f>
        <v>1</v>
      </c>
      <c r="L36" s="1689">
        <f>IF(スコア表示!AA36=0,0,1)</f>
        <v>1</v>
      </c>
      <c r="M36" s="1689" t="e">
        <f t="shared" si="4"/>
        <v>#DIV/0!</v>
      </c>
      <c r="N36" s="1689" t="e">
        <f t="shared" si="5"/>
        <v>#DIV/0!</v>
      </c>
      <c r="P36" s="1645" t="str">
        <f t="shared" si="6"/>
        <v>3.1.1</v>
      </c>
      <c r="Q36" s="1645" t="str">
        <f t="shared" si="7"/>
        <v xml:space="preserve"> Q1 3.1</v>
      </c>
      <c r="R36" s="1735" t="str">
        <f t="shared" si="8"/>
        <v>昼光率</v>
      </c>
      <c r="S36" s="1616">
        <f t="shared" si="21"/>
        <v>0.6</v>
      </c>
      <c r="T36" s="1616">
        <f t="shared" si="9"/>
        <v>0.6</v>
      </c>
      <c r="U36" s="1616">
        <f t="shared" si="10"/>
        <v>0</v>
      </c>
      <c r="V36" s="1616">
        <f t="shared" si="11"/>
        <v>0</v>
      </c>
      <c r="W36" s="1616">
        <f t="shared" si="12"/>
        <v>0.6</v>
      </c>
      <c r="X36" s="1616">
        <f t="shared" si="13"/>
        <v>0.6</v>
      </c>
      <c r="Y36" s="1616">
        <f t="shared" si="14"/>
        <v>0.6</v>
      </c>
      <c r="Z36" s="1629">
        <f t="shared" si="15"/>
        <v>0</v>
      </c>
      <c r="AA36" s="1616">
        <f t="shared" si="16"/>
        <v>0.6</v>
      </c>
      <c r="AB36" s="1616">
        <f t="shared" si="17"/>
        <v>0.6</v>
      </c>
      <c r="AC36" s="1617">
        <f t="shared" si="18"/>
        <v>0.6</v>
      </c>
      <c r="AD36" s="1616">
        <f t="shared" si="19"/>
        <v>0.6</v>
      </c>
      <c r="AE36" s="1616">
        <f t="shared" si="20"/>
        <v>0.5</v>
      </c>
      <c r="AG36" s="1645" t="s">
        <v>1626</v>
      </c>
      <c r="AH36" s="1691" t="s">
        <v>294</v>
      </c>
      <c r="AI36" s="2061" t="s">
        <v>295</v>
      </c>
      <c r="AJ36" s="1616">
        <v>0.6</v>
      </c>
      <c r="AK36" s="1616">
        <v>0.6</v>
      </c>
      <c r="AL36" s="1616"/>
      <c r="AM36" s="1616"/>
      <c r="AN36" s="1616">
        <v>0.6</v>
      </c>
      <c r="AO36" s="1616">
        <v>0.6</v>
      </c>
      <c r="AP36" s="1616">
        <v>0.6</v>
      </c>
      <c r="AQ36" s="1629"/>
      <c r="AR36" s="1616">
        <v>0.6</v>
      </c>
      <c r="AS36" s="1621">
        <v>0.6</v>
      </c>
      <c r="AT36" s="1623">
        <v>0.6</v>
      </c>
      <c r="AU36" s="1621">
        <v>0.6</v>
      </c>
      <c r="AV36" s="1621">
        <v>0.5</v>
      </c>
      <c r="AX36" s="1645" t="s">
        <v>1421</v>
      </c>
      <c r="AY36" s="1691" t="s">
        <v>294</v>
      </c>
      <c r="AZ36" s="2061" t="s">
        <v>295</v>
      </c>
      <c r="BA36" s="1621">
        <v>0.6</v>
      </c>
      <c r="BB36" s="1621">
        <v>0.6</v>
      </c>
      <c r="BC36" s="1621"/>
      <c r="BD36" s="1621"/>
      <c r="BE36" s="1621">
        <v>0.6</v>
      </c>
      <c r="BF36" s="1621">
        <v>0.6</v>
      </c>
      <c r="BG36" s="1621">
        <v>0.6</v>
      </c>
      <c r="BH36" s="1712"/>
      <c r="BI36" s="1621">
        <v>0.6</v>
      </c>
      <c r="BJ36" s="1621">
        <v>0.6</v>
      </c>
      <c r="BK36" s="1623">
        <v>0.6</v>
      </c>
      <c r="BL36" s="1621">
        <v>0.6</v>
      </c>
      <c r="BM36" s="1621">
        <v>0.5</v>
      </c>
      <c r="BO36" s="1645" t="s">
        <v>1574</v>
      </c>
      <c r="BP36" s="1691" t="s">
        <v>294</v>
      </c>
      <c r="BQ36" s="2061" t="s">
        <v>295</v>
      </c>
      <c r="BR36" s="1621">
        <v>0.6</v>
      </c>
      <c r="BS36" s="1621">
        <v>0.6</v>
      </c>
      <c r="BT36" s="1621"/>
      <c r="BU36" s="1621"/>
      <c r="BV36" s="1621">
        <v>0.6</v>
      </c>
      <c r="BW36" s="1621">
        <v>0.6</v>
      </c>
      <c r="BX36" s="1621">
        <v>0.6</v>
      </c>
      <c r="BY36" s="1712"/>
      <c r="BZ36" s="1621">
        <v>0.6</v>
      </c>
      <c r="CA36" s="1621">
        <v>0.6</v>
      </c>
      <c r="CB36" s="1623">
        <v>0.6</v>
      </c>
      <c r="CC36" s="1621">
        <v>0.6</v>
      </c>
      <c r="CD36" s="1621">
        <v>0.5</v>
      </c>
    </row>
    <row r="37" spans="1:83">
      <c r="B37" s="1595" t="str">
        <f t="shared" si="0"/>
        <v>3.1.2</v>
      </c>
      <c r="C37" s="1612" t="str">
        <f t="shared" si="1"/>
        <v>方位別開口</v>
      </c>
      <c r="D37" s="1719" t="e">
        <f t="shared" si="24"/>
        <v>#DIV/0!</v>
      </c>
      <c r="E37" s="1689" t="e">
        <f t="shared" si="24"/>
        <v>#DIV/0!</v>
      </c>
      <c r="G37" s="1689" t="e">
        <f t="shared" si="2"/>
        <v>#DIV/0!</v>
      </c>
      <c r="H37" s="1689" t="e">
        <f t="shared" si="3"/>
        <v>#DIV/0!</v>
      </c>
      <c r="I37" s="1689"/>
      <c r="J37" s="1689"/>
      <c r="K37" s="1689">
        <f>IF(スコア表示!W37=0,0,1)</f>
        <v>1</v>
      </c>
      <c r="L37" s="1689">
        <f>IF(スコア表示!AA37=0,0,1)</f>
        <v>1</v>
      </c>
      <c r="M37" s="1689" t="e">
        <f t="shared" si="4"/>
        <v>#DIV/0!</v>
      </c>
      <c r="N37" s="1689" t="e">
        <f t="shared" si="5"/>
        <v>#DIV/0!</v>
      </c>
      <c r="P37" s="1645" t="str">
        <f t="shared" si="6"/>
        <v>3.1.2</v>
      </c>
      <c r="Q37" s="1645" t="str">
        <f t="shared" si="7"/>
        <v xml:space="preserve"> Q1 3.1</v>
      </c>
      <c r="R37" s="1735" t="str">
        <f t="shared" si="8"/>
        <v>方位別開口</v>
      </c>
      <c r="S37" s="1616">
        <f t="shared" si="21"/>
        <v>0</v>
      </c>
      <c r="T37" s="1616">
        <f t="shared" si="9"/>
        <v>0</v>
      </c>
      <c r="U37" s="1616">
        <f t="shared" si="10"/>
        <v>0</v>
      </c>
      <c r="V37" s="1616">
        <f t="shared" si="11"/>
        <v>0</v>
      </c>
      <c r="W37" s="1616">
        <f t="shared" si="12"/>
        <v>0</v>
      </c>
      <c r="X37" s="1616">
        <f t="shared" si="13"/>
        <v>0</v>
      </c>
      <c r="Y37" s="1616">
        <f t="shared" si="14"/>
        <v>0</v>
      </c>
      <c r="Z37" s="1629">
        <f t="shared" si="15"/>
        <v>0</v>
      </c>
      <c r="AA37" s="1616">
        <f t="shared" si="16"/>
        <v>0</v>
      </c>
      <c r="AB37" s="1616">
        <f t="shared" si="17"/>
        <v>0</v>
      </c>
      <c r="AC37" s="1617">
        <f t="shared" si="18"/>
        <v>0</v>
      </c>
      <c r="AD37" s="1616">
        <f t="shared" si="19"/>
        <v>0</v>
      </c>
      <c r="AE37" s="1616">
        <f t="shared" si="20"/>
        <v>0.3</v>
      </c>
      <c r="AG37" s="1645" t="s">
        <v>1627</v>
      </c>
      <c r="AH37" s="1691" t="s">
        <v>294</v>
      </c>
      <c r="AI37" s="2061" t="s">
        <v>296</v>
      </c>
      <c r="AJ37" s="1616"/>
      <c r="AK37" s="1616"/>
      <c r="AL37" s="1616"/>
      <c r="AM37" s="1616"/>
      <c r="AN37" s="1616"/>
      <c r="AO37" s="1616"/>
      <c r="AP37" s="1616"/>
      <c r="AQ37" s="1629"/>
      <c r="AR37" s="1616"/>
      <c r="AS37" s="1621"/>
      <c r="AT37" s="1623"/>
      <c r="AU37" s="1621"/>
      <c r="AV37" s="1621">
        <v>0.3</v>
      </c>
      <c r="AX37" s="1645" t="s">
        <v>1423</v>
      </c>
      <c r="AY37" s="1691" t="s">
        <v>294</v>
      </c>
      <c r="AZ37" s="2061" t="s">
        <v>296</v>
      </c>
      <c r="BA37" s="1621"/>
      <c r="BB37" s="1621"/>
      <c r="BC37" s="1621"/>
      <c r="BD37" s="1621"/>
      <c r="BE37" s="1621"/>
      <c r="BF37" s="1621"/>
      <c r="BG37" s="1621"/>
      <c r="BH37" s="1712"/>
      <c r="BI37" s="1621"/>
      <c r="BJ37" s="1621"/>
      <c r="BK37" s="1623"/>
      <c r="BL37" s="1621"/>
      <c r="BM37" s="1621">
        <v>0.3</v>
      </c>
      <c r="BO37" s="1645" t="s">
        <v>1575</v>
      </c>
      <c r="BP37" s="1691" t="s">
        <v>294</v>
      </c>
      <c r="BQ37" s="2061" t="s">
        <v>296</v>
      </c>
      <c r="BR37" s="1621"/>
      <c r="BS37" s="1621"/>
      <c r="BT37" s="1621"/>
      <c r="BU37" s="1621"/>
      <c r="BV37" s="1621"/>
      <c r="BW37" s="1621"/>
      <c r="BX37" s="1621"/>
      <c r="BY37" s="1712"/>
      <c r="BZ37" s="1621"/>
      <c r="CA37" s="1621"/>
      <c r="CB37" s="1623"/>
      <c r="CC37" s="1621"/>
      <c r="CD37" s="1621">
        <v>0.3</v>
      </c>
    </row>
    <row r="38" spans="1:83">
      <c r="B38" s="1595" t="str">
        <f t="shared" si="0"/>
        <v>3.1.3</v>
      </c>
      <c r="C38" s="1612" t="str">
        <f t="shared" si="1"/>
        <v>昼光利用設備</v>
      </c>
      <c r="D38" s="1719" t="e">
        <f t="shared" si="24"/>
        <v>#DIV/0!</v>
      </c>
      <c r="E38" s="1689" t="e">
        <f t="shared" si="24"/>
        <v>#DIV/0!</v>
      </c>
      <c r="G38" s="1689" t="e">
        <f t="shared" si="2"/>
        <v>#DIV/0!</v>
      </c>
      <c r="H38" s="1689" t="e">
        <f t="shared" si="3"/>
        <v>#DIV/0!</v>
      </c>
      <c r="I38" s="1689"/>
      <c r="J38" s="1689"/>
      <c r="K38" s="1689">
        <f>IF(スコア表示!W38=0,0,1)</f>
        <v>1</v>
      </c>
      <c r="L38" s="1689">
        <f>IF(スコア表示!AA38=0,0,1)</f>
        <v>1</v>
      </c>
      <c r="M38" s="1689" t="e">
        <f t="shared" si="4"/>
        <v>#DIV/0!</v>
      </c>
      <c r="N38" s="1689" t="e">
        <f t="shared" si="5"/>
        <v>#DIV/0!</v>
      </c>
      <c r="P38" s="1645" t="str">
        <f t="shared" si="6"/>
        <v>3.1.3</v>
      </c>
      <c r="Q38" s="1645" t="str">
        <f t="shared" si="7"/>
        <v xml:space="preserve"> Q1 3.1</v>
      </c>
      <c r="R38" s="1735" t="str">
        <f t="shared" si="8"/>
        <v>昼光利用設備</v>
      </c>
      <c r="S38" s="1616">
        <f t="shared" si="21"/>
        <v>0.4</v>
      </c>
      <c r="T38" s="1616">
        <f t="shared" si="9"/>
        <v>0.4</v>
      </c>
      <c r="U38" s="1616">
        <f t="shared" si="10"/>
        <v>1</v>
      </c>
      <c r="V38" s="1616">
        <f t="shared" si="11"/>
        <v>1</v>
      </c>
      <c r="W38" s="1616">
        <f t="shared" si="12"/>
        <v>0.4</v>
      </c>
      <c r="X38" s="1616">
        <f t="shared" si="13"/>
        <v>0.4</v>
      </c>
      <c r="Y38" s="1616">
        <f t="shared" si="14"/>
        <v>0.4</v>
      </c>
      <c r="Z38" s="1629">
        <f t="shared" si="15"/>
        <v>0</v>
      </c>
      <c r="AA38" s="1616">
        <f t="shared" si="16"/>
        <v>0.4</v>
      </c>
      <c r="AB38" s="1616">
        <f t="shared" si="17"/>
        <v>0.4</v>
      </c>
      <c r="AC38" s="1617">
        <f t="shared" si="18"/>
        <v>0.4</v>
      </c>
      <c r="AD38" s="1616">
        <f t="shared" si="19"/>
        <v>0.4</v>
      </c>
      <c r="AE38" s="1616">
        <f t="shared" si="20"/>
        <v>0.2</v>
      </c>
      <c r="AG38" s="1645" t="s">
        <v>1628</v>
      </c>
      <c r="AH38" s="1691" t="s">
        <v>294</v>
      </c>
      <c r="AI38" s="2061" t="s">
        <v>297</v>
      </c>
      <c r="AJ38" s="1616">
        <v>0.4</v>
      </c>
      <c r="AK38" s="1616">
        <v>0.4</v>
      </c>
      <c r="AL38" s="1616">
        <v>1</v>
      </c>
      <c r="AM38" s="1616">
        <v>1</v>
      </c>
      <c r="AN38" s="1616">
        <v>0.4</v>
      </c>
      <c r="AO38" s="1616">
        <v>0.4</v>
      </c>
      <c r="AP38" s="1616">
        <v>0.4</v>
      </c>
      <c r="AQ38" s="1629"/>
      <c r="AR38" s="1616">
        <v>0.4</v>
      </c>
      <c r="AS38" s="1621">
        <v>0.4</v>
      </c>
      <c r="AT38" s="1623">
        <v>0.4</v>
      </c>
      <c r="AU38" s="1621">
        <v>0.4</v>
      </c>
      <c r="AV38" s="1621">
        <v>0.2</v>
      </c>
      <c r="AX38" s="1645" t="s">
        <v>1424</v>
      </c>
      <c r="AY38" s="1691" t="s">
        <v>294</v>
      </c>
      <c r="AZ38" s="2061" t="s">
        <v>297</v>
      </c>
      <c r="BA38" s="1621">
        <v>0.4</v>
      </c>
      <c r="BB38" s="1621">
        <v>0.4</v>
      </c>
      <c r="BC38" s="1621">
        <v>1</v>
      </c>
      <c r="BD38" s="1621">
        <v>1</v>
      </c>
      <c r="BE38" s="1621">
        <v>0.4</v>
      </c>
      <c r="BF38" s="1621">
        <v>0.4</v>
      </c>
      <c r="BG38" s="1621">
        <v>0.4</v>
      </c>
      <c r="BH38" s="1712"/>
      <c r="BI38" s="1621">
        <v>0.4</v>
      </c>
      <c r="BJ38" s="1621">
        <v>0.4</v>
      </c>
      <c r="BK38" s="1623">
        <v>0.4</v>
      </c>
      <c r="BL38" s="1621">
        <v>0.4</v>
      </c>
      <c r="BM38" s="1621">
        <v>0.2</v>
      </c>
      <c r="BO38" s="1645" t="s">
        <v>1576</v>
      </c>
      <c r="BP38" s="1691" t="s">
        <v>294</v>
      </c>
      <c r="BQ38" s="2061" t="s">
        <v>297</v>
      </c>
      <c r="BR38" s="1621">
        <v>0.4</v>
      </c>
      <c r="BS38" s="1621">
        <v>0.4</v>
      </c>
      <c r="BT38" s="1621">
        <v>1</v>
      </c>
      <c r="BU38" s="1621">
        <v>1</v>
      </c>
      <c r="BV38" s="1621">
        <v>0.4</v>
      </c>
      <c r="BW38" s="1621">
        <v>0.4</v>
      </c>
      <c r="BX38" s="1621">
        <v>0.4</v>
      </c>
      <c r="BY38" s="1712"/>
      <c r="BZ38" s="1621">
        <v>0.4</v>
      </c>
      <c r="CA38" s="1621">
        <v>0.4</v>
      </c>
      <c r="CB38" s="1623">
        <v>0.4</v>
      </c>
      <c r="CC38" s="1621">
        <v>0.4</v>
      </c>
      <c r="CD38" s="1621">
        <v>0.2</v>
      </c>
    </row>
    <row r="39" spans="1:83">
      <c r="B39" s="1595">
        <f t="shared" si="0"/>
        <v>3.2</v>
      </c>
      <c r="C39" s="1612" t="str">
        <f t="shared" si="1"/>
        <v>グレア対策</v>
      </c>
      <c r="D39" s="1714" t="e">
        <f>IF(I$34=0,0,G39/I$34)</f>
        <v>#DIV/0!</v>
      </c>
      <c r="E39" s="1689" t="e">
        <f>IF(J$34=0,0,H39/J$34)</f>
        <v>#DIV/0!</v>
      </c>
      <c r="G39" s="1689" t="e">
        <f t="shared" si="2"/>
        <v>#DIV/0!</v>
      </c>
      <c r="H39" s="1689" t="e">
        <f t="shared" si="3"/>
        <v>#DIV/0!</v>
      </c>
      <c r="I39" s="1689" t="e">
        <f>SUM(G40:G42)</f>
        <v>#DIV/0!</v>
      </c>
      <c r="J39" s="1689" t="e">
        <f>SUM(H40:H42)</f>
        <v>#DIV/0!</v>
      </c>
      <c r="K39" s="1689" t="e">
        <f>IF(スコア表示!W39=0,0,1)</f>
        <v>#DIV/0!</v>
      </c>
      <c r="L39" s="1689" t="e">
        <f>IF(スコア表示!AA39=0,0,1)</f>
        <v>#DIV/0!</v>
      </c>
      <c r="M39" s="1689" t="e">
        <f t="shared" si="4"/>
        <v>#DIV/0!</v>
      </c>
      <c r="N39" s="1689" t="e">
        <f t="shared" si="5"/>
        <v>#DIV/0!</v>
      </c>
      <c r="P39" s="1645">
        <f t="shared" si="6"/>
        <v>3.2</v>
      </c>
      <c r="Q39" s="1645" t="str">
        <f t="shared" si="7"/>
        <v xml:space="preserve"> Q1 3</v>
      </c>
      <c r="R39" s="1735" t="str">
        <f t="shared" si="8"/>
        <v>グレア対策</v>
      </c>
      <c r="S39" s="1616">
        <f t="shared" si="21"/>
        <v>0.3</v>
      </c>
      <c r="T39" s="1616">
        <f t="shared" si="9"/>
        <v>0.3</v>
      </c>
      <c r="U39" s="1616">
        <f t="shared" si="10"/>
        <v>0</v>
      </c>
      <c r="V39" s="1616">
        <f t="shared" si="11"/>
        <v>0</v>
      </c>
      <c r="W39" s="1616">
        <f t="shared" si="12"/>
        <v>0.3</v>
      </c>
      <c r="X39" s="1616">
        <f t="shared" si="13"/>
        <v>0.3</v>
      </c>
      <c r="Y39" s="1616">
        <f t="shared" si="14"/>
        <v>0.3</v>
      </c>
      <c r="Z39" s="1629">
        <f t="shared" si="15"/>
        <v>0</v>
      </c>
      <c r="AA39" s="1616">
        <f t="shared" si="16"/>
        <v>0.3</v>
      </c>
      <c r="AB39" s="1616">
        <f t="shared" si="17"/>
        <v>0.3</v>
      </c>
      <c r="AC39" s="1617">
        <f t="shared" si="18"/>
        <v>0.3</v>
      </c>
      <c r="AD39" s="1616">
        <f t="shared" si="19"/>
        <v>0.3</v>
      </c>
      <c r="AE39" s="1616">
        <f t="shared" si="20"/>
        <v>0.3</v>
      </c>
      <c r="AG39" s="1645">
        <v>3.2</v>
      </c>
      <c r="AH39" s="1691" t="s">
        <v>293</v>
      </c>
      <c r="AI39" s="2061" t="s">
        <v>640</v>
      </c>
      <c r="AJ39" s="1616">
        <v>0.3</v>
      </c>
      <c r="AK39" s="1616">
        <v>0.3</v>
      </c>
      <c r="AL39" s="1616"/>
      <c r="AM39" s="1616"/>
      <c r="AN39" s="1616">
        <v>0.3</v>
      </c>
      <c r="AO39" s="1616">
        <v>0.3</v>
      </c>
      <c r="AP39" s="1616">
        <v>0.3</v>
      </c>
      <c r="AQ39" s="1629"/>
      <c r="AR39" s="1616">
        <v>0.3</v>
      </c>
      <c r="AS39" s="1621">
        <v>0.3</v>
      </c>
      <c r="AT39" s="1623">
        <v>0.3</v>
      </c>
      <c r="AU39" s="1621">
        <v>0.3</v>
      </c>
      <c r="AV39" s="1621">
        <v>0.3</v>
      </c>
      <c r="AX39" s="1645">
        <v>3.2</v>
      </c>
      <c r="AY39" s="1691" t="s">
        <v>293</v>
      </c>
      <c r="AZ39" s="2061" t="s">
        <v>640</v>
      </c>
      <c r="BA39" s="1621">
        <v>0.3</v>
      </c>
      <c r="BB39" s="1621">
        <v>0.3</v>
      </c>
      <c r="BC39" s="1621"/>
      <c r="BD39" s="1621"/>
      <c r="BE39" s="1621">
        <v>0.3</v>
      </c>
      <c r="BF39" s="1621">
        <v>0.3</v>
      </c>
      <c r="BG39" s="1621">
        <v>0.3</v>
      </c>
      <c r="BH39" s="1712"/>
      <c r="BI39" s="1621">
        <v>0.3</v>
      </c>
      <c r="BJ39" s="1621">
        <v>0.3</v>
      </c>
      <c r="BK39" s="1623">
        <v>0.3</v>
      </c>
      <c r="BL39" s="1621">
        <v>0.3</v>
      </c>
      <c r="BM39" s="1621">
        <v>0.3</v>
      </c>
      <c r="BO39" s="1645">
        <v>3.2</v>
      </c>
      <c r="BP39" s="1691" t="s">
        <v>293</v>
      </c>
      <c r="BQ39" s="2061" t="s">
        <v>640</v>
      </c>
      <c r="BR39" s="1621">
        <v>0.3</v>
      </c>
      <c r="BS39" s="1621">
        <v>0.3</v>
      </c>
      <c r="BT39" s="1621"/>
      <c r="BU39" s="1621"/>
      <c r="BV39" s="1621">
        <v>0.3</v>
      </c>
      <c r="BW39" s="1621">
        <v>0.3</v>
      </c>
      <c r="BX39" s="1621">
        <v>0.3</v>
      </c>
      <c r="BY39" s="1712"/>
      <c r="BZ39" s="1621">
        <v>0.3</v>
      </c>
      <c r="CA39" s="1621">
        <v>0.3</v>
      </c>
      <c r="CB39" s="1623">
        <v>0.3</v>
      </c>
      <c r="CC39" s="1621">
        <v>0.3</v>
      </c>
      <c r="CD39" s="1621">
        <v>0.3</v>
      </c>
    </row>
    <row r="40" spans="1:83">
      <c r="B40" s="1595" t="str">
        <f t="shared" si="0"/>
        <v>3.2.1</v>
      </c>
      <c r="C40" s="1612" t="str">
        <f t="shared" si="1"/>
        <v>照明器具のグレア</v>
      </c>
      <c r="D40" s="1719" t="e">
        <f t="shared" ref="D40:E42" si="25">IF(I$39&gt;0,G40/I$39,0)</f>
        <v>#DIV/0!</v>
      </c>
      <c r="E40" s="1689" t="e">
        <f t="shared" si="25"/>
        <v>#DIV/0!</v>
      </c>
      <c r="G40" s="1689" t="e">
        <f t="shared" si="2"/>
        <v>#DIV/0!</v>
      </c>
      <c r="H40" s="1689" t="e">
        <f t="shared" si="3"/>
        <v>#DIV/0!</v>
      </c>
      <c r="I40" s="1689"/>
      <c r="J40" s="1689"/>
      <c r="K40" s="1689">
        <f>IF(スコア表示!W40=0,0,1)</f>
        <v>0</v>
      </c>
      <c r="L40" s="1689">
        <f>IF(スコア表示!AA40=0,0,1)</f>
        <v>0</v>
      </c>
      <c r="M40" s="1689" t="e">
        <f t="shared" si="4"/>
        <v>#DIV/0!</v>
      </c>
      <c r="N40" s="1689" t="e">
        <f t="shared" si="5"/>
        <v>#DIV/0!</v>
      </c>
      <c r="P40" s="1645" t="str">
        <f t="shared" si="6"/>
        <v>3.2.1</v>
      </c>
      <c r="Q40" s="1645" t="str">
        <f t="shared" si="7"/>
        <v xml:space="preserve"> Q1 3.2</v>
      </c>
      <c r="R40" s="1735" t="str">
        <f t="shared" si="8"/>
        <v>照明器具のグレア</v>
      </c>
      <c r="S40" s="1616">
        <f t="shared" si="21"/>
        <v>0.4</v>
      </c>
      <c r="T40" s="1616">
        <f t="shared" si="9"/>
        <v>0.4</v>
      </c>
      <c r="U40" s="1616">
        <f t="shared" si="10"/>
        <v>0</v>
      </c>
      <c r="V40" s="1616">
        <f t="shared" si="11"/>
        <v>0</v>
      </c>
      <c r="W40" s="1616">
        <f t="shared" si="12"/>
        <v>0.4</v>
      </c>
      <c r="X40" s="1616">
        <f t="shared" si="13"/>
        <v>0.4</v>
      </c>
      <c r="Y40" s="1616">
        <f t="shared" si="14"/>
        <v>0.4</v>
      </c>
      <c r="Z40" s="1629">
        <f t="shared" si="15"/>
        <v>0</v>
      </c>
      <c r="AA40" s="1616">
        <f t="shared" si="16"/>
        <v>0.4</v>
      </c>
      <c r="AB40" s="1616">
        <f t="shared" si="17"/>
        <v>0.3</v>
      </c>
      <c r="AC40" s="1617">
        <f t="shared" si="18"/>
        <v>0.4</v>
      </c>
      <c r="AD40" s="1616">
        <f t="shared" si="19"/>
        <v>0.4</v>
      </c>
      <c r="AE40" s="1616">
        <f t="shared" si="20"/>
        <v>0.4</v>
      </c>
      <c r="AG40" s="1645" t="s">
        <v>1629</v>
      </c>
      <c r="AH40" s="1691" t="s">
        <v>298</v>
      </c>
      <c r="AI40" s="2061" t="s">
        <v>299</v>
      </c>
      <c r="AJ40" s="1652">
        <v>0.4</v>
      </c>
      <c r="AK40" s="1652">
        <v>0.4</v>
      </c>
      <c r="AL40" s="1652"/>
      <c r="AM40" s="1652"/>
      <c r="AN40" s="1652">
        <v>0.4</v>
      </c>
      <c r="AO40" s="1652">
        <v>0.4</v>
      </c>
      <c r="AP40" s="1652">
        <v>0.4</v>
      </c>
      <c r="AQ40" s="2068"/>
      <c r="AR40" s="1652">
        <v>0.4</v>
      </c>
      <c r="AS40" s="2347">
        <v>0.3</v>
      </c>
      <c r="AT40" s="1623">
        <v>0.4</v>
      </c>
      <c r="AU40" s="1621">
        <v>0.4</v>
      </c>
      <c r="AV40" s="1621">
        <v>0.4</v>
      </c>
      <c r="AX40" s="1645" t="s">
        <v>1426</v>
      </c>
      <c r="AY40" s="1691" t="s">
        <v>298</v>
      </c>
      <c r="AZ40" s="2061" t="s">
        <v>299</v>
      </c>
      <c r="BA40" s="1621">
        <v>0.4</v>
      </c>
      <c r="BB40" s="1621">
        <v>0.4</v>
      </c>
      <c r="BC40" s="1621"/>
      <c r="BD40" s="1621"/>
      <c r="BE40" s="1621">
        <v>0.4</v>
      </c>
      <c r="BF40" s="1621">
        <v>0.4</v>
      </c>
      <c r="BG40" s="1621">
        <v>0.4</v>
      </c>
      <c r="BH40" s="1712"/>
      <c r="BI40" s="1621">
        <v>0.4</v>
      </c>
      <c r="BJ40" s="1621">
        <v>0.4</v>
      </c>
      <c r="BK40" s="1623">
        <v>0.4</v>
      </c>
      <c r="BL40" s="1621">
        <v>0.4</v>
      </c>
      <c r="BM40" s="1621">
        <v>0.4</v>
      </c>
      <c r="BO40" s="1645" t="s">
        <v>1577</v>
      </c>
      <c r="BP40" s="1691" t="s">
        <v>298</v>
      </c>
      <c r="BQ40" s="2061" t="s">
        <v>299</v>
      </c>
      <c r="BR40" s="1621">
        <v>0.4</v>
      </c>
      <c r="BS40" s="1621">
        <v>0.4</v>
      </c>
      <c r="BT40" s="1621"/>
      <c r="BU40" s="1621"/>
      <c r="BV40" s="1621">
        <v>0.4</v>
      </c>
      <c r="BW40" s="1621">
        <v>0.4</v>
      </c>
      <c r="BX40" s="1621">
        <v>0.4</v>
      </c>
      <c r="BY40" s="1712"/>
      <c r="BZ40" s="1621">
        <v>0.4</v>
      </c>
      <c r="CA40" s="1621">
        <v>0.4</v>
      </c>
      <c r="CB40" s="1623">
        <v>0.4</v>
      </c>
      <c r="CC40" s="1621">
        <v>0.4</v>
      </c>
      <c r="CD40" s="1621">
        <v>0.4</v>
      </c>
    </row>
    <row r="41" spans="1:83">
      <c r="B41" s="1595" t="str">
        <f t="shared" si="0"/>
        <v>3.2.2</v>
      </c>
      <c r="C41" s="1612" t="str">
        <f t="shared" ref="C41:C72" si="26">R41</f>
        <v>昼光制御</v>
      </c>
      <c r="D41" s="1719" t="e">
        <f t="shared" si="25"/>
        <v>#DIV/0!</v>
      </c>
      <c r="E41" s="1689" t="e">
        <f t="shared" si="25"/>
        <v>#DIV/0!</v>
      </c>
      <c r="G41" s="1689" t="e">
        <f t="shared" ref="G41:G72" si="27">K41*M41</f>
        <v>#DIV/0!</v>
      </c>
      <c r="H41" s="1689" t="e">
        <f t="shared" ref="H41:H72" si="28">L41*N41</f>
        <v>#DIV/0!</v>
      </c>
      <c r="I41" s="1689"/>
      <c r="J41" s="1689"/>
      <c r="K41" s="1689">
        <f>IF(スコア表示!W41=0,0,1)</f>
        <v>1</v>
      </c>
      <c r="L41" s="1689">
        <f>IF(スコア表示!AA41=0,0,1)</f>
        <v>1</v>
      </c>
      <c r="M41" s="1689" t="e">
        <f t="shared" ref="M41:M72" si="29">SUMPRODUCT($S$7:$AB$7,S41:AB41)</f>
        <v>#DIV/0!</v>
      </c>
      <c r="N41" s="1689" t="e">
        <f t="shared" ref="N41:N72" si="30">(AC$7*AC41)+(AD$7*AD41)+(AE$7*AE41)</f>
        <v>#DIV/0!</v>
      </c>
      <c r="P41" s="1645" t="str">
        <f t="shared" ref="P41:P72" si="31">IF($P$3=1,AX41,BO41)</f>
        <v>3.2.2</v>
      </c>
      <c r="Q41" s="1645" t="str">
        <f t="shared" ref="Q41:Q72" si="32">IF($P$3=1,AY41,BP41)</f>
        <v xml:space="preserve"> Q1 3.2</v>
      </c>
      <c r="R41" s="1735" t="str">
        <f t="shared" ref="R41:R72" si="33">AI41</f>
        <v>昼光制御</v>
      </c>
      <c r="S41" s="1616">
        <f t="shared" ref="S41:S72" si="34">IF($P$3=1,BA41,IF($P$3=2,BR41,AJ41))</f>
        <v>0.6</v>
      </c>
      <c r="T41" s="1616">
        <f t="shared" ref="T41:T72" si="35">IF($P$3=1,BB41,IF($P$3=2,BS41,AK41))</f>
        <v>0.6</v>
      </c>
      <c r="U41" s="1616">
        <f t="shared" ref="U41:U72" si="36">IF($P$3=1,BC41,IF($P$3=2,BT41,AL41))</f>
        <v>0</v>
      </c>
      <c r="V41" s="1616">
        <f t="shared" ref="V41:V72" si="37">IF($P$3=1,BD41,IF($P$3=2,BU41,AM41))</f>
        <v>0</v>
      </c>
      <c r="W41" s="1616">
        <f t="shared" ref="W41:W72" si="38">IF($P$3=1,BE41,IF($P$3=2,BV41,AN41))</f>
        <v>0.6</v>
      </c>
      <c r="X41" s="1616">
        <f t="shared" ref="X41:X72" si="39">IF($P$3=1,BF41,IF($P$3=2,BW41,AO41))</f>
        <v>0.6</v>
      </c>
      <c r="Y41" s="1616">
        <f t="shared" ref="Y41:Y72" si="40">IF($P$3=1,BG41,IF($P$3=2,BX41,AP41))</f>
        <v>0.6</v>
      </c>
      <c r="Z41" s="1629">
        <f t="shared" ref="Z41:Z72" si="41">IF($P$3=1,BH41,IF($P$3=2,BY41,AQ41))</f>
        <v>0</v>
      </c>
      <c r="AA41" s="1616">
        <f t="shared" ref="AA41:AA72" si="42">IF($P$3=1,BI41,IF($P$3=2,BZ41,AR41))</f>
        <v>0.6</v>
      </c>
      <c r="AB41" s="1616">
        <f t="shared" ref="AB41:AB72" si="43">IF($P$3=1,BJ41,IF($P$3=2,CA41,AS41))</f>
        <v>0.4</v>
      </c>
      <c r="AC41" s="1617">
        <f t="shared" ref="AC41:AC72" si="44">IF($P$3=1,BK41,IF($P$3=2,CB41,AT41))</f>
        <v>0.6</v>
      </c>
      <c r="AD41" s="1616">
        <f t="shared" ref="AD41:AD72" si="45">IF($P$3=1,BL41,IF($P$3=2,CC41,AU41))</f>
        <v>0.6</v>
      </c>
      <c r="AE41" s="1616">
        <f t="shared" ref="AE41:AE72" si="46">IF($P$3=1,BM41,IF($P$3=2,CD41,AV41))</f>
        <v>0.6</v>
      </c>
      <c r="AG41" s="1645" t="s">
        <v>1630</v>
      </c>
      <c r="AH41" s="1691" t="s">
        <v>298</v>
      </c>
      <c r="AI41" s="2061" t="s">
        <v>300</v>
      </c>
      <c r="AJ41" s="1616">
        <v>0.6</v>
      </c>
      <c r="AK41" s="1616">
        <v>0.6</v>
      </c>
      <c r="AL41" s="1616"/>
      <c r="AM41" s="1616"/>
      <c r="AN41" s="1616">
        <v>0.6</v>
      </c>
      <c r="AO41" s="1616">
        <v>0.6</v>
      </c>
      <c r="AP41" s="1616">
        <v>0.6</v>
      </c>
      <c r="AQ41" s="1629"/>
      <c r="AR41" s="1616">
        <v>0.6</v>
      </c>
      <c r="AS41" s="2347">
        <v>0.4</v>
      </c>
      <c r="AT41" s="1623">
        <v>0.6</v>
      </c>
      <c r="AU41" s="1621">
        <v>0.6</v>
      </c>
      <c r="AV41" s="1621">
        <v>0.6</v>
      </c>
      <c r="AX41" s="1645" t="s">
        <v>1428</v>
      </c>
      <c r="AY41" s="1691" t="s">
        <v>298</v>
      </c>
      <c r="AZ41" s="2061" t="s">
        <v>300</v>
      </c>
      <c r="BA41" s="1621">
        <v>0.6</v>
      </c>
      <c r="BB41" s="1621">
        <v>0.6</v>
      </c>
      <c r="BC41" s="1621"/>
      <c r="BD41" s="1621"/>
      <c r="BE41" s="1621">
        <v>0.6</v>
      </c>
      <c r="BF41" s="1621">
        <v>0.6</v>
      </c>
      <c r="BG41" s="1621">
        <v>0.6</v>
      </c>
      <c r="BH41" s="1712"/>
      <c r="BI41" s="1621">
        <v>0.6</v>
      </c>
      <c r="BJ41" s="1621">
        <v>0.6</v>
      </c>
      <c r="BK41" s="1623">
        <v>0.6</v>
      </c>
      <c r="BL41" s="1621">
        <v>0.6</v>
      </c>
      <c r="BM41" s="1621">
        <v>0.6</v>
      </c>
      <c r="BO41" s="1645" t="s">
        <v>1578</v>
      </c>
      <c r="BP41" s="1691" t="s">
        <v>298</v>
      </c>
      <c r="BQ41" s="2061" t="s">
        <v>300</v>
      </c>
      <c r="BR41" s="1621">
        <v>0.6</v>
      </c>
      <c r="BS41" s="1621">
        <v>0.6</v>
      </c>
      <c r="BT41" s="1621"/>
      <c r="BU41" s="1621"/>
      <c r="BV41" s="1621">
        <v>0.6</v>
      </c>
      <c r="BW41" s="1621">
        <v>0.6</v>
      </c>
      <c r="BX41" s="1621">
        <v>0.6</v>
      </c>
      <c r="BY41" s="1712"/>
      <c r="BZ41" s="1621">
        <v>0.6</v>
      </c>
      <c r="CA41" s="1621">
        <v>0.6</v>
      </c>
      <c r="CB41" s="1623">
        <v>0.6</v>
      </c>
      <c r="CC41" s="1621">
        <v>0.6</v>
      </c>
      <c r="CD41" s="1621">
        <v>0.6</v>
      </c>
    </row>
    <row r="42" spans="1:83">
      <c r="B42" s="1595" t="s">
        <v>1096</v>
      </c>
      <c r="C42" s="1612" t="str">
        <f t="shared" si="26"/>
        <v>映り込み対策</v>
      </c>
      <c r="D42" s="1719" t="e">
        <f>IF(I$39&gt;0,G42/I$39,0)</f>
        <v>#DIV/0!</v>
      </c>
      <c r="E42" s="1689" t="e">
        <f t="shared" si="25"/>
        <v>#DIV/0!</v>
      </c>
      <c r="G42" s="1689" t="e">
        <f t="shared" si="27"/>
        <v>#DIV/0!</v>
      </c>
      <c r="H42" s="1689" t="e">
        <f t="shared" si="28"/>
        <v>#DIV/0!</v>
      </c>
      <c r="I42" s="1689"/>
      <c r="J42" s="1689"/>
      <c r="K42" s="1689">
        <f>IF(スコア表示!W42=0,0,1)</f>
        <v>1</v>
      </c>
      <c r="L42" s="1689">
        <f>IF(スコア表示!AA42=0,0,1)</f>
        <v>1</v>
      </c>
      <c r="M42" s="1689" t="e">
        <f t="shared" si="29"/>
        <v>#DIV/0!</v>
      </c>
      <c r="N42" s="1689" t="e">
        <f t="shared" si="30"/>
        <v>#DIV/0!</v>
      </c>
      <c r="P42" s="1645" t="str">
        <f t="shared" si="31"/>
        <v>3.2.3</v>
      </c>
      <c r="Q42" s="1645" t="str">
        <f t="shared" si="32"/>
        <v xml:space="preserve"> Q1 3.3</v>
      </c>
      <c r="R42" s="1735" t="str">
        <f t="shared" si="33"/>
        <v>映り込み対策</v>
      </c>
      <c r="S42" s="1616">
        <f t="shared" si="34"/>
        <v>0</v>
      </c>
      <c r="T42" s="1616">
        <f t="shared" si="35"/>
        <v>0</v>
      </c>
      <c r="U42" s="1616">
        <f t="shared" si="36"/>
        <v>0</v>
      </c>
      <c r="V42" s="1616">
        <f t="shared" si="37"/>
        <v>0</v>
      </c>
      <c r="W42" s="1616">
        <f t="shared" si="38"/>
        <v>0</v>
      </c>
      <c r="X42" s="1616">
        <f t="shared" si="39"/>
        <v>0</v>
      </c>
      <c r="Y42" s="1616">
        <f t="shared" si="40"/>
        <v>0</v>
      </c>
      <c r="Z42" s="1629">
        <f t="shared" si="41"/>
        <v>0</v>
      </c>
      <c r="AA42" s="1616">
        <f t="shared" si="42"/>
        <v>0</v>
      </c>
      <c r="AB42" s="1616">
        <f t="shared" si="43"/>
        <v>0.3</v>
      </c>
      <c r="AC42" s="1617">
        <f t="shared" si="44"/>
        <v>0</v>
      </c>
      <c r="AD42" s="1616">
        <f t="shared" si="45"/>
        <v>0</v>
      </c>
      <c r="AE42" s="1616">
        <f t="shared" si="46"/>
        <v>0</v>
      </c>
      <c r="AG42" s="1645" t="s">
        <v>373</v>
      </c>
      <c r="AH42" s="1691" t="s">
        <v>301</v>
      </c>
      <c r="AI42" s="2061" t="s">
        <v>844</v>
      </c>
      <c r="AJ42" s="1616"/>
      <c r="AK42" s="1616"/>
      <c r="AL42" s="1616"/>
      <c r="AM42" s="1616"/>
      <c r="AN42" s="1616"/>
      <c r="AO42" s="1616"/>
      <c r="AP42" s="1616"/>
      <c r="AQ42" s="1629"/>
      <c r="AR42" s="1616"/>
      <c r="AS42" s="2347">
        <v>0.3</v>
      </c>
      <c r="AT42" s="1623"/>
      <c r="AU42" s="1621"/>
      <c r="AV42" s="1621"/>
      <c r="AX42" s="2064" t="s">
        <v>1429</v>
      </c>
      <c r="AY42" s="2066" t="s">
        <v>301</v>
      </c>
      <c r="AZ42" s="2067" t="s">
        <v>844</v>
      </c>
      <c r="BA42" s="2071"/>
      <c r="BB42" s="2071"/>
      <c r="BC42" s="2071"/>
      <c r="BD42" s="2071"/>
      <c r="BE42" s="2071"/>
      <c r="BF42" s="2071"/>
      <c r="BG42" s="2071"/>
      <c r="BH42" s="2072"/>
      <c r="BI42" s="2071"/>
      <c r="BJ42" s="2071"/>
      <c r="BK42" s="2073"/>
      <c r="BL42" s="2071"/>
      <c r="BM42" s="2071"/>
      <c r="BO42" s="2064" t="s">
        <v>1579</v>
      </c>
      <c r="BP42" s="2066" t="s">
        <v>301</v>
      </c>
      <c r="BQ42" s="2067" t="s">
        <v>844</v>
      </c>
      <c r="BR42" s="2071"/>
      <c r="BS42" s="2071"/>
      <c r="BT42" s="2071"/>
      <c r="BU42" s="2071"/>
      <c r="BV42" s="2071"/>
      <c r="BW42" s="2071"/>
      <c r="BX42" s="2071"/>
      <c r="BY42" s="2072"/>
      <c r="BZ42" s="2071"/>
      <c r="CA42" s="2071"/>
      <c r="CB42" s="2073"/>
      <c r="CC42" s="2071"/>
      <c r="CD42" s="2071"/>
    </row>
    <row r="43" spans="1:83">
      <c r="B43" s="1595">
        <f t="shared" ref="B43:B74" si="47">P43</f>
        <v>3.3</v>
      </c>
      <c r="C43" s="1628" t="str">
        <f t="shared" si="26"/>
        <v>照度</v>
      </c>
      <c r="D43" s="1714" t="e">
        <f>IF(I$34=0,0,G43/I$34)</f>
        <v>#DIV/0!</v>
      </c>
      <c r="E43" s="1689" t="e">
        <f>IF(J$34=0,0,H43/J$34)</f>
        <v>#DIV/0!</v>
      </c>
      <c r="G43" s="1689" t="e">
        <f t="shared" si="27"/>
        <v>#DIV/0!</v>
      </c>
      <c r="H43" s="1689" t="e">
        <f t="shared" si="28"/>
        <v>#DIV/0!</v>
      </c>
      <c r="I43" s="1689" t="e">
        <f>SUM(G44:G45)</f>
        <v>#DIV/0!</v>
      </c>
      <c r="J43" s="1689" t="e">
        <f>SUM(H44:H45)</f>
        <v>#DIV/0!</v>
      </c>
      <c r="K43" s="1689">
        <f>IF(スコア表示!W43=0,0,1)</f>
        <v>1</v>
      </c>
      <c r="L43" s="1689">
        <f>IF(スコア表示!AA43=0,0,1)</f>
        <v>1</v>
      </c>
      <c r="M43" s="1689" t="e">
        <f t="shared" si="29"/>
        <v>#DIV/0!</v>
      </c>
      <c r="N43" s="1689" t="e">
        <f t="shared" si="30"/>
        <v>#DIV/0!</v>
      </c>
      <c r="P43" s="1645">
        <f t="shared" si="31"/>
        <v>3.3</v>
      </c>
      <c r="Q43" s="1645" t="str">
        <f t="shared" si="32"/>
        <v xml:space="preserve"> Q1 3</v>
      </c>
      <c r="R43" s="1735" t="str">
        <f t="shared" si="33"/>
        <v>照度</v>
      </c>
      <c r="S43" s="1616">
        <f t="shared" si="34"/>
        <v>0.15</v>
      </c>
      <c r="T43" s="1616">
        <f t="shared" si="35"/>
        <v>0.15</v>
      </c>
      <c r="U43" s="1616">
        <f t="shared" si="36"/>
        <v>0</v>
      </c>
      <c r="V43" s="1616">
        <f t="shared" si="37"/>
        <v>0</v>
      </c>
      <c r="W43" s="1616">
        <f t="shared" si="38"/>
        <v>0.15</v>
      </c>
      <c r="X43" s="1616">
        <f t="shared" si="39"/>
        <v>0.15</v>
      </c>
      <c r="Y43" s="1616">
        <f t="shared" si="40"/>
        <v>0.15</v>
      </c>
      <c r="Z43" s="1629">
        <f t="shared" si="41"/>
        <v>0</v>
      </c>
      <c r="AA43" s="1616">
        <f t="shared" si="42"/>
        <v>0.15</v>
      </c>
      <c r="AB43" s="1616">
        <f t="shared" si="43"/>
        <v>0.15</v>
      </c>
      <c r="AC43" s="1617">
        <f t="shared" si="44"/>
        <v>0.15</v>
      </c>
      <c r="AD43" s="1616">
        <f t="shared" si="45"/>
        <v>0.15</v>
      </c>
      <c r="AE43" s="1616">
        <f t="shared" si="46"/>
        <v>0.15</v>
      </c>
      <c r="AG43" s="1645">
        <v>3.3</v>
      </c>
      <c r="AH43" s="1691" t="s">
        <v>293</v>
      </c>
      <c r="AI43" s="1735" t="s">
        <v>646</v>
      </c>
      <c r="AJ43" s="1616">
        <v>0.15</v>
      </c>
      <c r="AK43" s="1616">
        <v>0.15</v>
      </c>
      <c r="AL43" s="1616"/>
      <c r="AM43" s="1616"/>
      <c r="AN43" s="1616">
        <v>0.15</v>
      </c>
      <c r="AO43" s="1616">
        <v>0.15</v>
      </c>
      <c r="AP43" s="1616">
        <v>0.15</v>
      </c>
      <c r="AQ43" s="1629"/>
      <c r="AR43" s="1616">
        <v>0.15</v>
      </c>
      <c r="AS43" s="1621">
        <v>0.15</v>
      </c>
      <c r="AT43" s="1623">
        <v>0.15</v>
      </c>
      <c r="AU43" s="1621">
        <v>0.15</v>
      </c>
      <c r="AV43" s="1621">
        <v>0.15</v>
      </c>
      <c r="AX43" s="1645">
        <v>3.3</v>
      </c>
      <c r="AY43" s="1691" t="s">
        <v>293</v>
      </c>
      <c r="AZ43" s="1735" t="s">
        <v>646</v>
      </c>
      <c r="BA43" s="1621">
        <v>0.15</v>
      </c>
      <c r="BB43" s="1621">
        <v>0.15</v>
      </c>
      <c r="BC43" s="1621"/>
      <c r="BD43" s="1621"/>
      <c r="BE43" s="1621">
        <v>0.15</v>
      </c>
      <c r="BF43" s="1621">
        <v>0.15</v>
      </c>
      <c r="BG43" s="1621">
        <v>0.15</v>
      </c>
      <c r="BH43" s="1712"/>
      <c r="BI43" s="1621">
        <v>0.15</v>
      </c>
      <c r="BJ43" s="1621">
        <v>0.15</v>
      </c>
      <c r="BK43" s="1623">
        <v>0.15</v>
      </c>
      <c r="BL43" s="1621">
        <v>0.15</v>
      </c>
      <c r="BM43" s="1621">
        <v>0.15</v>
      </c>
      <c r="BO43" s="1645">
        <v>3.3</v>
      </c>
      <c r="BP43" s="1691" t="s">
        <v>293</v>
      </c>
      <c r="BQ43" s="1735" t="s">
        <v>646</v>
      </c>
      <c r="BR43" s="1621">
        <v>0.15</v>
      </c>
      <c r="BS43" s="1621">
        <v>0.15</v>
      </c>
      <c r="BT43" s="1621"/>
      <c r="BU43" s="1621"/>
      <c r="BV43" s="1621">
        <v>0.15</v>
      </c>
      <c r="BW43" s="1621">
        <v>0.15</v>
      </c>
      <c r="BX43" s="1621">
        <v>0.15</v>
      </c>
      <c r="BY43" s="1712"/>
      <c r="BZ43" s="1621">
        <v>0.15</v>
      </c>
      <c r="CA43" s="1621">
        <v>0.15</v>
      </c>
      <c r="CB43" s="1623">
        <v>0.15</v>
      </c>
      <c r="CC43" s="1621">
        <v>0.15</v>
      </c>
      <c r="CD43" s="1621">
        <v>0.15</v>
      </c>
    </row>
    <row r="44" spans="1:83" hidden="1">
      <c r="B44" s="1595" t="str">
        <f t="shared" si="47"/>
        <v>3.3.1</v>
      </c>
      <c r="C44" s="1648" t="str">
        <f t="shared" si="26"/>
        <v>照度</v>
      </c>
      <c r="D44" s="2062" t="e">
        <f>IF(I$43&gt;0,G44/I$43,0)</f>
        <v>#DIV/0!</v>
      </c>
      <c r="E44" s="2063" t="e">
        <f>IF(J$43&gt;0,H44/J$43,0)</f>
        <v>#DIV/0!</v>
      </c>
      <c r="G44" s="2063" t="e">
        <f t="shared" si="27"/>
        <v>#DIV/0!</v>
      </c>
      <c r="H44" s="2063" t="e">
        <f t="shared" si="28"/>
        <v>#DIV/0!</v>
      </c>
      <c r="I44" s="2063"/>
      <c r="J44" s="2063"/>
      <c r="K44" s="2063">
        <f>IF(スコア表示!W44=0,0,1)</f>
        <v>0</v>
      </c>
      <c r="L44" s="2063">
        <f>IF(スコア表示!AA44=0,0,1)</f>
        <v>0</v>
      </c>
      <c r="M44" s="2063" t="e">
        <f t="shared" si="29"/>
        <v>#DIV/0!</v>
      </c>
      <c r="N44" s="2063" t="e">
        <f t="shared" si="30"/>
        <v>#DIV/0!</v>
      </c>
      <c r="P44" s="2064" t="str">
        <f t="shared" si="31"/>
        <v>3.3.1</v>
      </c>
      <c r="Q44" s="2064" t="str">
        <f t="shared" si="32"/>
        <v xml:space="preserve"> Q1 3.3</v>
      </c>
      <c r="R44" s="2065" t="str">
        <f t="shared" si="33"/>
        <v>照度</v>
      </c>
      <c r="S44" s="1652">
        <f t="shared" si="34"/>
        <v>0</v>
      </c>
      <c r="T44" s="1652">
        <f t="shared" si="35"/>
        <v>0</v>
      </c>
      <c r="U44" s="1652">
        <f t="shared" si="36"/>
        <v>0</v>
      </c>
      <c r="V44" s="1652">
        <f t="shared" si="37"/>
        <v>0</v>
      </c>
      <c r="W44" s="1652">
        <f t="shared" si="38"/>
        <v>0</v>
      </c>
      <c r="X44" s="1652">
        <f t="shared" si="39"/>
        <v>0</v>
      </c>
      <c r="Y44" s="1652">
        <f t="shared" si="40"/>
        <v>0</v>
      </c>
      <c r="Z44" s="1653">
        <f t="shared" si="41"/>
        <v>0</v>
      </c>
      <c r="AA44" s="1652">
        <f t="shared" si="42"/>
        <v>0</v>
      </c>
      <c r="AB44" s="1652">
        <f t="shared" si="43"/>
        <v>0</v>
      </c>
      <c r="AC44" s="1654">
        <f t="shared" si="44"/>
        <v>0</v>
      </c>
      <c r="AD44" s="1652">
        <f t="shared" si="45"/>
        <v>0</v>
      </c>
      <c r="AE44" s="1652">
        <f t="shared" si="46"/>
        <v>0</v>
      </c>
      <c r="AG44" s="2064" t="s">
        <v>1631</v>
      </c>
      <c r="AH44" s="2066" t="s">
        <v>301</v>
      </c>
      <c r="AI44" s="2067" t="s">
        <v>1632</v>
      </c>
      <c r="AJ44" s="1616"/>
      <c r="AK44" s="1616"/>
      <c r="AL44" s="1616"/>
      <c r="AM44" s="1616"/>
      <c r="AN44" s="1616"/>
      <c r="AO44" s="1616"/>
      <c r="AP44" s="1616"/>
      <c r="AQ44" s="1629"/>
      <c r="AR44" s="1616"/>
      <c r="AS44" s="2069"/>
      <c r="AT44" s="2070"/>
      <c r="AU44" s="2069"/>
      <c r="AV44" s="2069"/>
      <c r="AX44" s="2064" t="s">
        <v>1431</v>
      </c>
      <c r="AY44" s="2066" t="s">
        <v>301</v>
      </c>
      <c r="AZ44" s="2067" t="s">
        <v>1433</v>
      </c>
      <c r="BA44" s="2071"/>
      <c r="BB44" s="2071"/>
      <c r="BC44" s="2071"/>
      <c r="BD44" s="2071"/>
      <c r="BE44" s="2071"/>
      <c r="BF44" s="2071"/>
      <c r="BG44" s="2071"/>
      <c r="BH44" s="2072"/>
      <c r="BI44" s="2071"/>
      <c r="BJ44" s="2071"/>
      <c r="BK44" s="2073"/>
      <c r="BL44" s="2071"/>
      <c r="BM44" s="2071"/>
      <c r="BO44" s="2064" t="s">
        <v>1580</v>
      </c>
      <c r="BP44" s="2066" t="s">
        <v>301</v>
      </c>
      <c r="BQ44" s="2067" t="s">
        <v>1581</v>
      </c>
      <c r="BR44" s="2071"/>
      <c r="BS44" s="2071"/>
      <c r="BT44" s="2071"/>
      <c r="BU44" s="2071"/>
      <c r="BV44" s="2071"/>
      <c r="BW44" s="2071"/>
      <c r="BX44" s="2071"/>
      <c r="BY44" s="2072"/>
      <c r="BZ44" s="2071"/>
      <c r="CA44" s="2071"/>
      <c r="CB44" s="2073"/>
      <c r="CC44" s="2071"/>
      <c r="CD44" s="2071"/>
    </row>
    <row r="45" spans="1:83" hidden="1">
      <c r="B45" s="1595" t="str">
        <f t="shared" si="47"/>
        <v>3.3.2</v>
      </c>
      <c r="C45" s="1648" t="str">
        <f t="shared" si="26"/>
        <v>照度均斉度</v>
      </c>
      <c r="D45" s="2062" t="e">
        <f>IF(I$43&gt;0,G45/I$43,0)</f>
        <v>#DIV/0!</v>
      </c>
      <c r="E45" s="2063" t="e">
        <f>IF(J$43&gt;0,H45/J$43,0)</f>
        <v>#DIV/0!</v>
      </c>
      <c r="G45" s="2063" t="e">
        <f t="shared" si="27"/>
        <v>#DIV/0!</v>
      </c>
      <c r="H45" s="2063" t="e">
        <f t="shared" si="28"/>
        <v>#DIV/0!</v>
      </c>
      <c r="I45" s="2063"/>
      <c r="J45" s="2063"/>
      <c r="K45" s="2063">
        <f>IF(スコア表示!W45=0,0,1)</f>
        <v>0</v>
      </c>
      <c r="L45" s="2063">
        <f>IF(スコア表示!AA45=0,0,1)</f>
        <v>0</v>
      </c>
      <c r="M45" s="2063" t="e">
        <f t="shared" si="29"/>
        <v>#DIV/0!</v>
      </c>
      <c r="N45" s="2063" t="e">
        <f t="shared" si="30"/>
        <v>#DIV/0!</v>
      </c>
      <c r="P45" s="2064" t="str">
        <f t="shared" si="31"/>
        <v>3.3.2</v>
      </c>
      <c r="Q45" s="2064" t="str">
        <f t="shared" si="32"/>
        <v xml:space="preserve"> Q1 3.3</v>
      </c>
      <c r="R45" s="2065" t="str">
        <f t="shared" si="33"/>
        <v>照度均斉度</v>
      </c>
      <c r="S45" s="1652">
        <f t="shared" si="34"/>
        <v>0</v>
      </c>
      <c r="T45" s="1652">
        <f t="shared" si="35"/>
        <v>0</v>
      </c>
      <c r="U45" s="1652">
        <f t="shared" si="36"/>
        <v>0</v>
      </c>
      <c r="V45" s="1652">
        <f t="shared" si="37"/>
        <v>0</v>
      </c>
      <c r="W45" s="1652">
        <f t="shared" si="38"/>
        <v>0</v>
      </c>
      <c r="X45" s="1652">
        <f t="shared" si="39"/>
        <v>0</v>
      </c>
      <c r="Y45" s="1652">
        <f t="shared" si="40"/>
        <v>0</v>
      </c>
      <c r="Z45" s="1653">
        <f t="shared" si="41"/>
        <v>0</v>
      </c>
      <c r="AA45" s="1652">
        <f t="shared" si="42"/>
        <v>0</v>
      </c>
      <c r="AB45" s="1652">
        <f t="shared" si="43"/>
        <v>0</v>
      </c>
      <c r="AC45" s="1654">
        <f t="shared" si="44"/>
        <v>0</v>
      </c>
      <c r="AD45" s="1652">
        <f t="shared" si="45"/>
        <v>0</v>
      </c>
      <c r="AE45" s="1652">
        <f t="shared" si="46"/>
        <v>0</v>
      </c>
      <c r="AG45" s="2064" t="s">
        <v>1633</v>
      </c>
      <c r="AH45" s="2066" t="s">
        <v>301</v>
      </c>
      <c r="AI45" s="2067" t="s">
        <v>1634</v>
      </c>
      <c r="AJ45" s="1652"/>
      <c r="AK45" s="1652"/>
      <c r="AL45" s="1652"/>
      <c r="AM45" s="1652"/>
      <c r="AN45" s="1652"/>
      <c r="AO45" s="1652"/>
      <c r="AP45" s="1652"/>
      <c r="AQ45" s="2068"/>
      <c r="AR45" s="1652"/>
      <c r="AS45" s="2069"/>
      <c r="AT45" s="2070"/>
      <c r="AU45" s="2069"/>
      <c r="AV45" s="2069"/>
      <c r="AX45" s="2064" t="s">
        <v>1434</v>
      </c>
      <c r="AY45" s="2066" t="s">
        <v>301</v>
      </c>
      <c r="AZ45" s="2067" t="s">
        <v>1435</v>
      </c>
      <c r="BA45" s="2071"/>
      <c r="BB45" s="2071"/>
      <c r="BC45" s="2071"/>
      <c r="BD45" s="2071"/>
      <c r="BE45" s="2071"/>
      <c r="BF45" s="2071"/>
      <c r="BG45" s="2071"/>
      <c r="BH45" s="2072"/>
      <c r="BI45" s="2071"/>
      <c r="BJ45" s="2071"/>
      <c r="BK45" s="2073"/>
      <c r="BL45" s="2071"/>
      <c r="BM45" s="2071"/>
      <c r="BO45" s="2064" t="s">
        <v>1582</v>
      </c>
      <c r="BP45" s="2066" t="s">
        <v>301</v>
      </c>
      <c r="BQ45" s="2067" t="s">
        <v>1583</v>
      </c>
      <c r="BR45" s="2071"/>
      <c r="BS45" s="2071"/>
      <c r="BT45" s="2071"/>
      <c r="BU45" s="2071"/>
      <c r="BV45" s="2071"/>
      <c r="BW45" s="2071"/>
      <c r="BX45" s="2071"/>
      <c r="BY45" s="2072"/>
      <c r="BZ45" s="2071"/>
      <c r="CA45" s="2071"/>
      <c r="CB45" s="2073"/>
      <c r="CC45" s="2071"/>
      <c r="CD45" s="2071"/>
    </row>
    <row r="46" spans="1:83">
      <c r="B46" s="1595">
        <f t="shared" si="47"/>
        <v>3.4</v>
      </c>
      <c r="C46" s="1628" t="str">
        <f t="shared" si="26"/>
        <v>照明制御</v>
      </c>
      <c r="D46" s="1714" t="e">
        <f>IF(I$34=0,0,G46/I$34)</f>
        <v>#DIV/0!</v>
      </c>
      <c r="E46" s="1689" t="e">
        <f>IF(J$34=0,0,H46/J$34)</f>
        <v>#DIV/0!</v>
      </c>
      <c r="G46" s="1689" t="e">
        <f t="shared" si="27"/>
        <v>#DIV/0!</v>
      </c>
      <c r="H46" s="1689" t="e">
        <f t="shared" si="28"/>
        <v>#DIV/0!</v>
      </c>
      <c r="I46" s="1689"/>
      <c r="J46" s="1689"/>
      <c r="K46" s="1689">
        <f>IF(スコア表示!W46=0,0,1)</f>
        <v>1</v>
      </c>
      <c r="L46" s="1689">
        <f>IF(スコア表示!AA46=0,0,1)</f>
        <v>1</v>
      </c>
      <c r="M46" s="1689" t="e">
        <f t="shared" si="29"/>
        <v>#DIV/0!</v>
      </c>
      <c r="N46" s="1689" t="e">
        <f t="shared" si="30"/>
        <v>#DIV/0!</v>
      </c>
      <c r="P46" s="1645">
        <f t="shared" si="31"/>
        <v>3.4</v>
      </c>
      <c r="Q46" s="1645" t="str">
        <f t="shared" si="32"/>
        <v xml:space="preserve"> Q1 3</v>
      </c>
      <c r="R46" s="1735" t="str">
        <f t="shared" si="33"/>
        <v>照明制御</v>
      </c>
      <c r="S46" s="1616">
        <f t="shared" si="34"/>
        <v>0.25</v>
      </c>
      <c r="T46" s="1616">
        <f t="shared" si="35"/>
        <v>0.25</v>
      </c>
      <c r="U46" s="1616">
        <f t="shared" si="36"/>
        <v>0.5</v>
      </c>
      <c r="V46" s="1616">
        <f t="shared" si="37"/>
        <v>0</v>
      </c>
      <c r="W46" s="1616">
        <f t="shared" si="38"/>
        <v>0.25</v>
      </c>
      <c r="X46" s="1616">
        <f t="shared" si="39"/>
        <v>0.25</v>
      </c>
      <c r="Y46" s="1616">
        <f t="shared" si="40"/>
        <v>0.25</v>
      </c>
      <c r="Z46" s="1629">
        <f t="shared" si="41"/>
        <v>0</v>
      </c>
      <c r="AA46" s="1616">
        <f t="shared" si="42"/>
        <v>0.25</v>
      </c>
      <c r="AB46" s="1616">
        <f t="shared" si="43"/>
        <v>0.25</v>
      </c>
      <c r="AC46" s="1617">
        <f t="shared" si="44"/>
        <v>0.25</v>
      </c>
      <c r="AD46" s="1616">
        <f t="shared" si="45"/>
        <v>0.25</v>
      </c>
      <c r="AE46" s="1616">
        <f t="shared" si="46"/>
        <v>0.25</v>
      </c>
      <c r="AG46" s="1645">
        <v>3.4</v>
      </c>
      <c r="AH46" s="1691" t="s">
        <v>293</v>
      </c>
      <c r="AI46" s="1735" t="s">
        <v>647</v>
      </c>
      <c r="AJ46" s="1616">
        <v>0.25</v>
      </c>
      <c r="AK46" s="1616">
        <v>0.25</v>
      </c>
      <c r="AL46" s="1616">
        <v>0.5</v>
      </c>
      <c r="AM46" s="1616"/>
      <c r="AN46" s="1616">
        <v>0.25</v>
      </c>
      <c r="AO46" s="1616">
        <v>0.25</v>
      </c>
      <c r="AP46" s="1616">
        <v>0.25</v>
      </c>
      <c r="AQ46" s="1629"/>
      <c r="AR46" s="1616">
        <v>0.25</v>
      </c>
      <c r="AS46" s="1621">
        <v>0.25</v>
      </c>
      <c r="AT46" s="1623">
        <v>0.25</v>
      </c>
      <c r="AU46" s="1621">
        <v>0.25</v>
      </c>
      <c r="AV46" s="1621">
        <v>0.25</v>
      </c>
      <c r="AX46" s="1645">
        <v>3.4</v>
      </c>
      <c r="AY46" s="1691" t="s">
        <v>293</v>
      </c>
      <c r="AZ46" s="1735" t="s">
        <v>647</v>
      </c>
      <c r="BA46" s="1621">
        <v>0.25</v>
      </c>
      <c r="BB46" s="1621">
        <v>0.25</v>
      </c>
      <c r="BC46" s="1621">
        <v>0.5</v>
      </c>
      <c r="BD46" s="1621"/>
      <c r="BE46" s="1621">
        <v>0.25</v>
      </c>
      <c r="BF46" s="1621">
        <v>0.25</v>
      </c>
      <c r="BG46" s="1621">
        <v>0.25</v>
      </c>
      <c r="BH46" s="1712"/>
      <c r="BI46" s="1621">
        <v>0.25</v>
      </c>
      <c r="BJ46" s="1621">
        <v>0.25</v>
      </c>
      <c r="BK46" s="1623">
        <v>0.25</v>
      </c>
      <c r="BL46" s="1621">
        <v>0.25</v>
      </c>
      <c r="BM46" s="1621">
        <v>0.25</v>
      </c>
      <c r="BO46" s="1645">
        <v>3.4</v>
      </c>
      <c r="BP46" s="1691" t="s">
        <v>293</v>
      </c>
      <c r="BQ46" s="1735" t="s">
        <v>647</v>
      </c>
      <c r="BR46" s="1621">
        <v>0.25</v>
      </c>
      <c r="BS46" s="1621">
        <v>0.25</v>
      </c>
      <c r="BT46" s="1621">
        <v>0.5</v>
      </c>
      <c r="BU46" s="1621"/>
      <c r="BV46" s="1621">
        <v>0.25</v>
      </c>
      <c r="BW46" s="1621">
        <v>0.25</v>
      </c>
      <c r="BX46" s="1621">
        <v>0.25</v>
      </c>
      <c r="BY46" s="1712"/>
      <c r="BZ46" s="1621">
        <v>0.25</v>
      </c>
      <c r="CA46" s="1621">
        <v>0.25</v>
      </c>
      <c r="CB46" s="1623">
        <v>0.25</v>
      </c>
      <c r="CC46" s="1621">
        <v>0.25</v>
      </c>
      <c r="CD46" s="1621">
        <v>0.25</v>
      </c>
    </row>
    <row r="47" spans="1:83" s="1603" customFormat="1">
      <c r="A47"/>
      <c r="B47" s="1595">
        <f t="shared" si="47"/>
        <v>4</v>
      </c>
      <c r="C47" s="1626" t="str">
        <f t="shared" si="26"/>
        <v>空気質環境</v>
      </c>
      <c r="D47" s="2059" t="e">
        <f>IF(I$9=0,0,G47/I$9)</f>
        <v>#DIV/0!</v>
      </c>
      <c r="E47" s="1741" t="e">
        <f>IF(J$9=0,0,H47/J$9)</f>
        <v>#DIV/0!</v>
      </c>
      <c r="F47"/>
      <c r="G47" s="1741" t="e">
        <f t="shared" si="27"/>
        <v>#DIV/0!</v>
      </c>
      <c r="H47" s="1741" t="e">
        <f t="shared" si="28"/>
        <v>#DIV/0!</v>
      </c>
      <c r="I47" s="1741" t="e">
        <f>G48+G53+G58</f>
        <v>#DIV/0!</v>
      </c>
      <c r="J47" s="1741" t="e">
        <f>H48+H53+H58</f>
        <v>#DIV/0!</v>
      </c>
      <c r="K47" s="1741" t="e">
        <f>IF(スコア表示!W47=0,0,1)</f>
        <v>#DIV/0!</v>
      </c>
      <c r="L47" s="1741" t="e">
        <f>IF(スコア表示!AA47=0,0,1)</f>
        <v>#DIV/0!</v>
      </c>
      <c r="M47" s="1741" t="e">
        <f t="shared" si="29"/>
        <v>#DIV/0!</v>
      </c>
      <c r="N47" s="1741">
        <v>1</v>
      </c>
      <c r="O47"/>
      <c r="P47" s="1639">
        <f t="shared" si="31"/>
        <v>4</v>
      </c>
      <c r="Q47" s="1639" t="str">
        <f t="shared" si="32"/>
        <v xml:space="preserve"> Q1</v>
      </c>
      <c r="R47" s="1778" t="str">
        <f t="shared" si="33"/>
        <v>空気質環境</v>
      </c>
      <c r="S47" s="1608">
        <f t="shared" si="34"/>
        <v>0.25</v>
      </c>
      <c r="T47" s="1608">
        <f t="shared" si="35"/>
        <v>0.25</v>
      </c>
      <c r="U47" s="1608">
        <f t="shared" si="36"/>
        <v>0.25</v>
      </c>
      <c r="V47" s="1608">
        <f t="shared" si="37"/>
        <v>0.25</v>
      </c>
      <c r="W47" s="1608">
        <f t="shared" si="38"/>
        <v>0.25</v>
      </c>
      <c r="X47" s="1608">
        <f t="shared" si="39"/>
        <v>0.25</v>
      </c>
      <c r="Y47" s="1608">
        <f t="shared" si="40"/>
        <v>0.25</v>
      </c>
      <c r="Z47" s="1627">
        <f t="shared" si="41"/>
        <v>0.33</v>
      </c>
      <c r="AA47" s="1608">
        <f t="shared" si="42"/>
        <v>0.25</v>
      </c>
      <c r="AB47" s="1608">
        <f t="shared" si="43"/>
        <v>0.25</v>
      </c>
      <c r="AC47" s="1657">
        <f t="shared" si="44"/>
        <v>0</v>
      </c>
      <c r="AD47" s="1608">
        <f t="shared" si="45"/>
        <v>0</v>
      </c>
      <c r="AE47" s="1608">
        <f t="shared" si="46"/>
        <v>0</v>
      </c>
      <c r="AF47"/>
      <c r="AG47" s="1639">
        <v>4</v>
      </c>
      <c r="AH47" s="1742" t="s">
        <v>271</v>
      </c>
      <c r="AI47" s="1785" t="s">
        <v>1142</v>
      </c>
      <c r="AJ47" s="1632">
        <v>0.25</v>
      </c>
      <c r="AK47" s="1632">
        <v>0.25</v>
      </c>
      <c r="AL47" s="1632">
        <v>0.25</v>
      </c>
      <c r="AM47" s="1632">
        <v>0.25</v>
      </c>
      <c r="AN47" s="1632">
        <v>0.25</v>
      </c>
      <c r="AO47" s="1632">
        <v>0.25</v>
      </c>
      <c r="AP47" s="1632">
        <v>0.25</v>
      </c>
      <c r="AQ47" s="1633">
        <v>0.33</v>
      </c>
      <c r="AR47" s="1632">
        <v>0.25</v>
      </c>
      <c r="AS47" s="1709">
        <v>0.25</v>
      </c>
      <c r="AT47" s="2060"/>
      <c r="AU47" s="1709"/>
      <c r="AV47" s="1709"/>
      <c r="AW47"/>
      <c r="AX47" s="1639">
        <v>4</v>
      </c>
      <c r="AY47" s="1742" t="s">
        <v>271</v>
      </c>
      <c r="AZ47" s="1785" t="s">
        <v>1142</v>
      </c>
      <c r="BA47" s="1632">
        <v>0.25</v>
      </c>
      <c r="BB47" s="1632">
        <v>0.25</v>
      </c>
      <c r="BC47" s="1632">
        <v>0.25</v>
      </c>
      <c r="BD47" s="1632">
        <v>0.25</v>
      </c>
      <c r="BE47" s="1632">
        <v>0.25</v>
      </c>
      <c r="BF47" s="1632">
        <v>0.25</v>
      </c>
      <c r="BG47" s="1632">
        <v>0.25</v>
      </c>
      <c r="BH47" s="1633">
        <v>0.33</v>
      </c>
      <c r="BI47" s="1632">
        <v>0.25</v>
      </c>
      <c r="BJ47" s="1632">
        <v>0.25</v>
      </c>
      <c r="BK47" s="2074"/>
      <c r="BL47" s="1632"/>
      <c r="BM47" s="1632"/>
      <c r="BN47"/>
      <c r="BO47" s="1639">
        <v>4</v>
      </c>
      <c r="BP47" s="1742" t="s">
        <v>271</v>
      </c>
      <c r="BQ47" s="1785" t="s">
        <v>1142</v>
      </c>
      <c r="BR47" s="1632">
        <v>0.25</v>
      </c>
      <c r="BS47" s="1632">
        <v>0.25</v>
      </c>
      <c r="BT47" s="1632">
        <v>0.25</v>
      </c>
      <c r="BU47" s="1632">
        <v>0.25</v>
      </c>
      <c r="BV47" s="1632">
        <v>0.25</v>
      </c>
      <c r="BW47" s="1632">
        <v>0.25</v>
      </c>
      <c r="BX47" s="1632">
        <v>0.25</v>
      </c>
      <c r="BY47" s="1633">
        <v>0.33</v>
      </c>
      <c r="BZ47" s="1632">
        <v>0.25</v>
      </c>
      <c r="CA47" s="1632">
        <v>0.25</v>
      </c>
      <c r="CB47" s="2074"/>
      <c r="CC47" s="1632"/>
      <c r="CD47" s="1632"/>
      <c r="CE47"/>
    </row>
    <row r="48" spans="1:83">
      <c r="B48" s="1595">
        <f t="shared" si="47"/>
        <v>4.0999999999999996</v>
      </c>
      <c r="C48" s="1628" t="str">
        <f t="shared" si="26"/>
        <v>発生源対策</v>
      </c>
      <c r="D48" s="1714" t="e">
        <f>IF(I$47=0,0,G48/I$47)</f>
        <v>#DIV/0!</v>
      </c>
      <c r="E48" s="1689" t="e">
        <f>IF(J$47=0,0,H48/J$47)</f>
        <v>#DIV/0!</v>
      </c>
      <c r="G48" s="1689" t="e">
        <f t="shared" si="27"/>
        <v>#DIV/0!</v>
      </c>
      <c r="H48" s="1689" t="e">
        <f t="shared" si="28"/>
        <v>#DIV/0!</v>
      </c>
      <c r="I48" s="1689" t="e">
        <f>SUM(G49:G52)</f>
        <v>#DIV/0!</v>
      </c>
      <c r="J48" s="1689" t="e">
        <f>SUM(H49:H52)</f>
        <v>#DIV/0!</v>
      </c>
      <c r="K48" s="1689" t="e">
        <f>IF(スコア表示!W48=0,0,1)</f>
        <v>#DIV/0!</v>
      </c>
      <c r="L48" s="1689" t="e">
        <f>IF(スコア表示!AA48=0,0,1)</f>
        <v>#DIV/0!</v>
      </c>
      <c r="M48" s="1689" t="e">
        <f t="shared" si="29"/>
        <v>#DIV/0!</v>
      </c>
      <c r="N48" s="1689" t="e">
        <f t="shared" si="30"/>
        <v>#DIV/0!</v>
      </c>
      <c r="P48" s="1645">
        <f t="shared" si="31"/>
        <v>4.0999999999999996</v>
      </c>
      <c r="Q48" s="1645" t="str">
        <f t="shared" si="32"/>
        <v xml:space="preserve"> Q1 4</v>
      </c>
      <c r="R48" s="1735" t="str">
        <f t="shared" si="33"/>
        <v>発生源対策</v>
      </c>
      <c r="S48" s="1616">
        <f t="shared" si="34"/>
        <v>0.5</v>
      </c>
      <c r="T48" s="1616">
        <f t="shared" si="35"/>
        <v>0.5</v>
      </c>
      <c r="U48" s="1616">
        <f t="shared" si="36"/>
        <v>0.5</v>
      </c>
      <c r="V48" s="1616">
        <f t="shared" si="37"/>
        <v>0.5</v>
      </c>
      <c r="W48" s="1616">
        <f t="shared" si="38"/>
        <v>0.5</v>
      </c>
      <c r="X48" s="1616">
        <f t="shared" si="39"/>
        <v>0.5</v>
      </c>
      <c r="Y48" s="1616">
        <f t="shared" si="40"/>
        <v>0.6</v>
      </c>
      <c r="Z48" s="1624">
        <f t="shared" si="41"/>
        <v>0.5</v>
      </c>
      <c r="AA48" s="1616">
        <f t="shared" si="42"/>
        <v>0.5</v>
      </c>
      <c r="AB48" s="1616">
        <f t="shared" si="43"/>
        <v>0.5</v>
      </c>
      <c r="AC48" s="1617">
        <f t="shared" si="44"/>
        <v>0.625</v>
      </c>
      <c r="AD48" s="1616">
        <f t="shared" si="45"/>
        <v>0.625</v>
      </c>
      <c r="AE48" s="1616">
        <f t="shared" si="46"/>
        <v>0.625</v>
      </c>
      <c r="AG48" s="1645">
        <v>4.0999999999999996</v>
      </c>
      <c r="AH48" s="1691" t="s">
        <v>302</v>
      </c>
      <c r="AI48" s="1735" t="s">
        <v>649</v>
      </c>
      <c r="AJ48" s="1634">
        <v>0.5</v>
      </c>
      <c r="AK48" s="1634">
        <v>0.5</v>
      </c>
      <c r="AL48" s="1634">
        <v>0.5</v>
      </c>
      <c r="AM48" s="1634">
        <v>0.5</v>
      </c>
      <c r="AN48" s="1634">
        <v>0.5</v>
      </c>
      <c r="AO48" s="1634">
        <v>0.5</v>
      </c>
      <c r="AP48" s="1634">
        <v>0.6</v>
      </c>
      <c r="AQ48" s="1635">
        <v>0.5</v>
      </c>
      <c r="AR48" s="1634">
        <v>0.5</v>
      </c>
      <c r="AS48" s="1621">
        <v>0.5</v>
      </c>
      <c r="AT48" s="1623">
        <v>0.625</v>
      </c>
      <c r="AU48" s="1621">
        <v>0.625</v>
      </c>
      <c r="AV48" s="1621">
        <v>0.625</v>
      </c>
      <c r="AX48" s="1645">
        <v>4.0999999999999996</v>
      </c>
      <c r="AY48" s="1691" t="s">
        <v>302</v>
      </c>
      <c r="AZ48" s="1735" t="s">
        <v>649</v>
      </c>
      <c r="BA48" s="1634">
        <v>0.5</v>
      </c>
      <c r="BB48" s="1634">
        <v>0.5</v>
      </c>
      <c r="BC48" s="1634">
        <v>0.5</v>
      </c>
      <c r="BD48" s="1634">
        <v>0.5</v>
      </c>
      <c r="BE48" s="1634">
        <v>0.5</v>
      </c>
      <c r="BF48" s="1634">
        <v>0.5</v>
      </c>
      <c r="BG48" s="1634">
        <v>0.6</v>
      </c>
      <c r="BH48" s="1635">
        <v>0.5</v>
      </c>
      <c r="BI48" s="1634">
        <v>0.5</v>
      </c>
      <c r="BJ48" s="1634">
        <v>0.5</v>
      </c>
      <c r="BK48" s="1636">
        <v>0.625</v>
      </c>
      <c r="BL48" s="1634">
        <v>0.625</v>
      </c>
      <c r="BM48" s="1634">
        <v>0.625</v>
      </c>
      <c r="BO48" s="1645">
        <v>4.0999999999999996</v>
      </c>
      <c r="BP48" s="1691" t="s">
        <v>302</v>
      </c>
      <c r="BQ48" s="1735" t="s">
        <v>649</v>
      </c>
      <c r="BR48" s="1634">
        <v>0.5</v>
      </c>
      <c r="BS48" s="1634">
        <v>0.5</v>
      </c>
      <c r="BT48" s="1634">
        <v>0.5</v>
      </c>
      <c r="BU48" s="1634">
        <v>0.5</v>
      </c>
      <c r="BV48" s="1634">
        <v>0.5</v>
      </c>
      <c r="BW48" s="1634">
        <v>0.5</v>
      </c>
      <c r="BX48" s="1634">
        <v>0.6</v>
      </c>
      <c r="BY48" s="1635">
        <v>0.5</v>
      </c>
      <c r="BZ48" s="1634">
        <v>0.5</v>
      </c>
      <c r="CA48" s="1634">
        <v>0.5</v>
      </c>
      <c r="CB48" s="1636">
        <v>0.625</v>
      </c>
      <c r="CC48" s="1634">
        <v>0.625</v>
      </c>
      <c r="CD48" s="1634">
        <v>0.625</v>
      </c>
    </row>
    <row r="49" spans="1:83">
      <c r="B49" s="1595" t="str">
        <f t="shared" si="47"/>
        <v>4.1.1</v>
      </c>
      <c r="C49" s="1612" t="str">
        <f t="shared" si="26"/>
        <v xml:space="preserve"> 化学汚染物質</v>
      </c>
      <c r="D49" s="1719" t="e">
        <f t="shared" ref="D49:E52" si="48">IF(I$48&gt;0,G49/I$48,0)</f>
        <v>#DIV/0!</v>
      </c>
      <c r="E49" s="1689" t="e">
        <f t="shared" si="48"/>
        <v>#DIV/0!</v>
      </c>
      <c r="G49" s="1689" t="e">
        <f t="shared" si="27"/>
        <v>#DIV/0!</v>
      </c>
      <c r="H49" s="1689" t="e">
        <f t="shared" si="28"/>
        <v>#DIV/0!</v>
      </c>
      <c r="I49" s="1689"/>
      <c r="J49" s="1689"/>
      <c r="K49" s="1689">
        <f>IF(スコア表示!W49=0,0,1)</f>
        <v>1</v>
      </c>
      <c r="L49" s="1689">
        <f>IF(スコア表示!AA49=0,0,1)</f>
        <v>1</v>
      </c>
      <c r="M49" s="1689" t="e">
        <f t="shared" si="29"/>
        <v>#DIV/0!</v>
      </c>
      <c r="N49" s="1689" t="e">
        <f t="shared" si="30"/>
        <v>#DIV/0!</v>
      </c>
      <c r="P49" s="1645" t="str">
        <f t="shared" si="31"/>
        <v>4.1.1</v>
      </c>
      <c r="Q49" s="1645" t="str">
        <f t="shared" si="32"/>
        <v xml:space="preserve"> Q1 4.1</v>
      </c>
      <c r="R49" s="1735" t="str">
        <f t="shared" si="33"/>
        <v xml:space="preserve"> 化学汚染物質</v>
      </c>
      <c r="S49" s="1616">
        <f t="shared" si="34"/>
        <v>0.25</v>
      </c>
      <c r="T49" s="1616">
        <f t="shared" si="35"/>
        <v>0.25</v>
      </c>
      <c r="U49" s="1616">
        <f t="shared" si="36"/>
        <v>0.25</v>
      </c>
      <c r="V49" s="1616">
        <f t="shared" si="37"/>
        <v>0.25</v>
      </c>
      <c r="W49" s="1616">
        <f t="shared" si="38"/>
        <v>0.25</v>
      </c>
      <c r="X49" s="1616">
        <f t="shared" si="39"/>
        <v>0.33</v>
      </c>
      <c r="Y49" s="1616">
        <f t="shared" si="40"/>
        <v>0.33</v>
      </c>
      <c r="Z49" s="1624">
        <f t="shared" si="41"/>
        <v>0.25</v>
      </c>
      <c r="AA49" s="1616">
        <f t="shared" si="42"/>
        <v>0.25</v>
      </c>
      <c r="AB49" s="1616">
        <f t="shared" si="43"/>
        <v>0.25</v>
      </c>
      <c r="AC49" s="1617">
        <f t="shared" si="44"/>
        <v>0.25</v>
      </c>
      <c r="AD49" s="1616">
        <f t="shared" si="45"/>
        <v>0.25</v>
      </c>
      <c r="AE49" s="1616">
        <f t="shared" si="46"/>
        <v>0.25</v>
      </c>
      <c r="AG49" s="1645" t="s">
        <v>1635</v>
      </c>
      <c r="AH49" s="1691" t="s">
        <v>303</v>
      </c>
      <c r="AI49" s="2061" t="s">
        <v>304</v>
      </c>
      <c r="AJ49" s="1634">
        <v>0.25</v>
      </c>
      <c r="AK49" s="1634">
        <v>0.25</v>
      </c>
      <c r="AL49" s="1634">
        <v>0.25</v>
      </c>
      <c r="AM49" s="1634">
        <v>0.25</v>
      </c>
      <c r="AN49" s="1637">
        <v>0.25</v>
      </c>
      <c r="AO49" s="1637">
        <v>0.33</v>
      </c>
      <c r="AP49" s="1637">
        <v>0.33</v>
      </c>
      <c r="AQ49" s="1635">
        <v>0.25</v>
      </c>
      <c r="AR49" s="1634">
        <v>0.25</v>
      </c>
      <c r="AS49" s="1621">
        <v>0.25</v>
      </c>
      <c r="AT49" s="1623">
        <v>0.25</v>
      </c>
      <c r="AU49" s="1621">
        <v>0.25</v>
      </c>
      <c r="AV49" s="1621">
        <v>0.25</v>
      </c>
      <c r="AX49" s="1645" t="s">
        <v>1436</v>
      </c>
      <c r="AY49" s="1691" t="s">
        <v>303</v>
      </c>
      <c r="AZ49" s="2061" t="s">
        <v>304</v>
      </c>
      <c r="BA49" s="1634">
        <v>0.33333333333333331</v>
      </c>
      <c r="BB49" s="1634">
        <v>0.33333333333333331</v>
      </c>
      <c r="BC49" s="1634">
        <v>0.33333333333333331</v>
      </c>
      <c r="BD49" s="1634">
        <v>0.33333333333333331</v>
      </c>
      <c r="BE49" s="1634">
        <v>0.33333333333333331</v>
      </c>
      <c r="BF49" s="1634">
        <v>0.5</v>
      </c>
      <c r="BG49" s="1634">
        <v>0.5</v>
      </c>
      <c r="BH49" s="1634">
        <v>0.33333333333333331</v>
      </c>
      <c r="BI49" s="1634">
        <v>0.33333333333333331</v>
      </c>
      <c r="BJ49" s="1634">
        <v>0.33333333333333331</v>
      </c>
      <c r="BK49" s="1634">
        <v>0.33333333333333331</v>
      </c>
      <c r="BL49" s="1634">
        <v>0.33333333333333331</v>
      </c>
      <c r="BM49" s="1634">
        <v>0.33333333333333331</v>
      </c>
      <c r="BO49" s="1645" t="s">
        <v>1584</v>
      </c>
      <c r="BP49" s="1691" t="s">
        <v>303</v>
      </c>
      <c r="BQ49" s="2061" t="s">
        <v>304</v>
      </c>
      <c r="BR49" s="1634">
        <v>0.33333333333333331</v>
      </c>
      <c r="BS49" s="1634">
        <v>0.33333333333333331</v>
      </c>
      <c r="BT49" s="1634">
        <v>0.33333333333333331</v>
      </c>
      <c r="BU49" s="1634">
        <v>0.33333333333333331</v>
      </c>
      <c r="BV49" s="1634">
        <v>0.33333333333333331</v>
      </c>
      <c r="BW49" s="1634">
        <v>0.5</v>
      </c>
      <c r="BX49" s="1634">
        <v>0.5</v>
      </c>
      <c r="BY49" s="1634">
        <v>0.33333333333333331</v>
      </c>
      <c r="BZ49" s="1634">
        <v>0.33333333333333331</v>
      </c>
      <c r="CA49" s="1634">
        <v>0.33333333333333331</v>
      </c>
      <c r="CB49" s="1634">
        <v>0.33333333333333331</v>
      </c>
      <c r="CC49" s="1634">
        <v>0.33333333333333331</v>
      </c>
      <c r="CD49" s="1634">
        <v>0.33333333333333331</v>
      </c>
    </row>
    <row r="50" spans="1:83">
      <c r="B50" s="1595" t="str">
        <f t="shared" si="47"/>
        <v>4.1.2</v>
      </c>
      <c r="C50" s="1612" t="str">
        <f t="shared" si="26"/>
        <v xml:space="preserve"> アスベスト対策</v>
      </c>
      <c r="D50" s="1719" t="e">
        <f t="shared" si="48"/>
        <v>#DIV/0!</v>
      </c>
      <c r="E50" s="1689" t="e">
        <f t="shared" si="48"/>
        <v>#DIV/0!</v>
      </c>
      <c r="G50" s="1689" t="e">
        <f t="shared" si="27"/>
        <v>#DIV/0!</v>
      </c>
      <c r="H50" s="1689" t="e">
        <f t="shared" si="28"/>
        <v>#DIV/0!</v>
      </c>
      <c r="I50" s="1689"/>
      <c r="J50" s="1689"/>
      <c r="K50" s="1689">
        <f>IF(スコア表示!W50=0,0,1)</f>
        <v>1</v>
      </c>
      <c r="L50" s="1689">
        <f>IF(スコア表示!AA50=0,0,1)</f>
        <v>1</v>
      </c>
      <c r="M50" s="1689" t="e">
        <f t="shared" si="29"/>
        <v>#DIV/0!</v>
      </c>
      <c r="N50" s="1689" t="e">
        <f t="shared" si="30"/>
        <v>#DIV/0!</v>
      </c>
      <c r="P50" s="1645" t="str">
        <f t="shared" si="31"/>
        <v>4.1.2</v>
      </c>
      <c r="Q50" s="1645" t="str">
        <f t="shared" si="32"/>
        <v xml:space="preserve"> Q1 4.1</v>
      </c>
      <c r="R50" s="1735" t="str">
        <f t="shared" si="33"/>
        <v xml:space="preserve"> アスベスト対策</v>
      </c>
      <c r="S50" s="1616">
        <f t="shared" si="34"/>
        <v>0.25</v>
      </c>
      <c r="T50" s="1616">
        <f t="shared" si="35"/>
        <v>0.25</v>
      </c>
      <c r="U50" s="1616">
        <f t="shared" si="36"/>
        <v>0.25</v>
      </c>
      <c r="V50" s="1616">
        <f t="shared" si="37"/>
        <v>0.25</v>
      </c>
      <c r="W50" s="1616">
        <f t="shared" si="38"/>
        <v>0.25</v>
      </c>
      <c r="X50" s="1616">
        <f t="shared" si="39"/>
        <v>0.33</v>
      </c>
      <c r="Y50" s="1616">
        <f t="shared" si="40"/>
        <v>0.33</v>
      </c>
      <c r="Z50" s="1629">
        <f t="shared" si="41"/>
        <v>0.25</v>
      </c>
      <c r="AA50" s="1616">
        <f t="shared" si="42"/>
        <v>0.25</v>
      </c>
      <c r="AB50" s="1616">
        <f t="shared" si="43"/>
        <v>0.25</v>
      </c>
      <c r="AC50" s="1617">
        <f t="shared" si="44"/>
        <v>0.25</v>
      </c>
      <c r="AD50" s="1616">
        <f t="shared" si="45"/>
        <v>0.25</v>
      </c>
      <c r="AE50" s="1616">
        <f t="shared" si="46"/>
        <v>0.25</v>
      </c>
      <c r="AG50" s="1645" t="s">
        <v>1636</v>
      </c>
      <c r="AH50" s="1691" t="s">
        <v>303</v>
      </c>
      <c r="AI50" s="2061" t="s">
        <v>1637</v>
      </c>
      <c r="AJ50" s="1634">
        <v>0.25</v>
      </c>
      <c r="AK50" s="1634">
        <v>0.25</v>
      </c>
      <c r="AL50" s="1634">
        <v>0.25</v>
      </c>
      <c r="AM50" s="1634">
        <v>0.25</v>
      </c>
      <c r="AN50" s="1637">
        <v>0.25</v>
      </c>
      <c r="AO50" s="1637">
        <v>0.33</v>
      </c>
      <c r="AP50" s="1637">
        <v>0.33</v>
      </c>
      <c r="AQ50" s="1635">
        <v>0.25</v>
      </c>
      <c r="AR50" s="1634">
        <v>0.25</v>
      </c>
      <c r="AS50" s="1621">
        <v>0.25</v>
      </c>
      <c r="AT50" s="1623">
        <v>0.25</v>
      </c>
      <c r="AU50" s="1621">
        <v>0.25</v>
      </c>
      <c r="AV50" s="1621">
        <v>0.25</v>
      </c>
      <c r="AX50" s="2064" t="s">
        <v>1437</v>
      </c>
      <c r="AY50" s="2066" t="s">
        <v>303</v>
      </c>
      <c r="AZ50" s="2067" t="s">
        <v>1438</v>
      </c>
      <c r="BA50" s="2071"/>
      <c r="BB50" s="2071"/>
      <c r="BC50" s="2071"/>
      <c r="BD50" s="2071"/>
      <c r="BE50" s="2071"/>
      <c r="BF50" s="2071"/>
      <c r="BG50" s="2071"/>
      <c r="BH50" s="2072"/>
      <c r="BI50" s="2071"/>
      <c r="BJ50" s="2071"/>
      <c r="BK50" s="2073"/>
      <c r="BL50" s="2071"/>
      <c r="BM50" s="2071"/>
      <c r="BO50" s="2064" t="s">
        <v>1585</v>
      </c>
      <c r="BP50" s="2066" t="s">
        <v>303</v>
      </c>
      <c r="BQ50" s="2067" t="s">
        <v>1586</v>
      </c>
      <c r="BR50" s="2071"/>
      <c r="BS50" s="2071"/>
      <c r="BT50" s="2071"/>
      <c r="BU50" s="2071"/>
      <c r="BV50" s="2071"/>
      <c r="BW50" s="2071"/>
      <c r="BX50" s="2071"/>
      <c r="BY50" s="2072"/>
      <c r="BZ50" s="2071"/>
      <c r="CA50" s="2071"/>
      <c r="CB50" s="2073"/>
      <c r="CC50" s="2071"/>
      <c r="CD50" s="2071"/>
    </row>
    <row r="51" spans="1:83" hidden="1">
      <c r="B51" s="1595" t="str">
        <f t="shared" si="47"/>
        <v>4.1.3</v>
      </c>
      <c r="C51" s="1648" t="str">
        <f t="shared" si="26"/>
        <v xml:space="preserve"> ダニ・カビ等</v>
      </c>
      <c r="D51" s="1719" t="e">
        <f t="shared" si="48"/>
        <v>#DIV/0!</v>
      </c>
      <c r="E51" s="1689" t="e">
        <f t="shared" si="48"/>
        <v>#DIV/0!</v>
      </c>
      <c r="G51" s="1689" t="e">
        <f t="shared" si="27"/>
        <v>#DIV/0!</v>
      </c>
      <c r="H51" s="1689" t="e">
        <f t="shared" si="28"/>
        <v>#DIV/0!</v>
      </c>
      <c r="I51" s="1689"/>
      <c r="J51" s="1689"/>
      <c r="K51" s="1689">
        <f>IF(スコア表示!W51=0,0,1)</f>
        <v>0</v>
      </c>
      <c r="L51" s="1689">
        <f>IF(スコア表示!AA51=0,0,1)</f>
        <v>0</v>
      </c>
      <c r="M51" s="1689" t="e">
        <f t="shared" si="29"/>
        <v>#DIV/0!</v>
      </c>
      <c r="N51" s="1689" t="e">
        <f t="shared" si="30"/>
        <v>#DIV/0!</v>
      </c>
      <c r="P51" s="1645" t="str">
        <f t="shared" si="31"/>
        <v>4.1.3</v>
      </c>
      <c r="Q51" s="1645" t="str">
        <f t="shared" si="32"/>
        <v xml:space="preserve"> Q1 4.1</v>
      </c>
      <c r="R51" s="1735" t="str">
        <f t="shared" si="33"/>
        <v xml:space="preserve"> ダニ・カビ等</v>
      </c>
      <c r="S51" s="1616">
        <f t="shared" si="34"/>
        <v>0.25</v>
      </c>
      <c r="T51" s="1616">
        <f t="shared" si="35"/>
        <v>0.25</v>
      </c>
      <c r="U51" s="1616">
        <f t="shared" si="36"/>
        <v>0.25</v>
      </c>
      <c r="V51" s="1616">
        <f t="shared" si="37"/>
        <v>0.25</v>
      </c>
      <c r="W51" s="1616">
        <f t="shared" si="38"/>
        <v>0.25</v>
      </c>
      <c r="X51" s="1616">
        <f t="shared" si="39"/>
        <v>0.33</v>
      </c>
      <c r="Y51" s="1616">
        <f t="shared" si="40"/>
        <v>0.33</v>
      </c>
      <c r="Z51" s="1624">
        <f t="shared" si="41"/>
        <v>0.25</v>
      </c>
      <c r="AA51" s="1616">
        <f t="shared" si="42"/>
        <v>0.25</v>
      </c>
      <c r="AB51" s="1616">
        <f t="shared" si="43"/>
        <v>0.25</v>
      </c>
      <c r="AC51" s="1617">
        <f t="shared" si="44"/>
        <v>0.25</v>
      </c>
      <c r="AD51" s="1616">
        <f t="shared" si="45"/>
        <v>0.25</v>
      </c>
      <c r="AE51" s="1616">
        <f t="shared" si="46"/>
        <v>0.25</v>
      </c>
      <c r="AG51" s="1645" t="s">
        <v>1638</v>
      </c>
      <c r="AH51" s="1691" t="s">
        <v>303</v>
      </c>
      <c r="AI51" s="2061" t="s">
        <v>899</v>
      </c>
      <c r="AJ51" s="2071">
        <v>0.25</v>
      </c>
      <c r="AK51" s="2071">
        <v>0.25</v>
      </c>
      <c r="AL51" s="2071">
        <v>0.25</v>
      </c>
      <c r="AM51" s="2071">
        <v>0.25</v>
      </c>
      <c r="AN51" s="2075">
        <v>0.25</v>
      </c>
      <c r="AO51" s="2075">
        <v>0.33</v>
      </c>
      <c r="AP51" s="2075">
        <v>0.33</v>
      </c>
      <c r="AQ51" s="2072">
        <v>0.25</v>
      </c>
      <c r="AR51" s="2071">
        <v>0.25</v>
      </c>
      <c r="AS51" s="1621">
        <v>0.25</v>
      </c>
      <c r="AT51" s="1623">
        <v>0.25</v>
      </c>
      <c r="AU51" s="1621">
        <v>0.25</v>
      </c>
      <c r="AV51" s="1621">
        <v>0.25</v>
      </c>
      <c r="AX51" s="1645" t="s">
        <v>1439</v>
      </c>
      <c r="AY51" s="1691" t="s">
        <v>303</v>
      </c>
      <c r="AZ51" s="2061" t="s">
        <v>899</v>
      </c>
      <c r="BA51" s="1634">
        <v>0.33333333333333331</v>
      </c>
      <c r="BB51" s="1634">
        <v>0.33333333333333331</v>
      </c>
      <c r="BC51" s="1634">
        <v>0.33333333333333331</v>
      </c>
      <c r="BD51" s="1634">
        <v>0.33333333333333331</v>
      </c>
      <c r="BE51" s="1634">
        <v>0.33333333333333331</v>
      </c>
      <c r="BF51" s="1634">
        <v>0.5</v>
      </c>
      <c r="BG51" s="1634">
        <v>0.5</v>
      </c>
      <c r="BH51" s="1634">
        <v>0.33333333333333331</v>
      </c>
      <c r="BI51" s="1634">
        <v>0.33333333333333331</v>
      </c>
      <c r="BJ51" s="1634">
        <v>0.33333333333333331</v>
      </c>
      <c r="BK51" s="1634">
        <v>0.33333333333333331</v>
      </c>
      <c r="BL51" s="1634">
        <v>0.33333333333333331</v>
      </c>
      <c r="BM51" s="1634">
        <v>0.33333333333333331</v>
      </c>
      <c r="BO51" s="1645" t="s">
        <v>1587</v>
      </c>
      <c r="BP51" s="1691" t="s">
        <v>303</v>
      </c>
      <c r="BQ51" s="2061" t="s">
        <v>899</v>
      </c>
      <c r="BR51" s="1634">
        <v>0.33333333333333331</v>
      </c>
      <c r="BS51" s="1634">
        <v>0.33333333333333331</v>
      </c>
      <c r="BT51" s="1634">
        <v>0.33333333333333331</v>
      </c>
      <c r="BU51" s="1634">
        <v>0.33333333333333331</v>
      </c>
      <c r="BV51" s="1634">
        <v>0.33333333333333331</v>
      </c>
      <c r="BW51" s="1634">
        <v>0.5</v>
      </c>
      <c r="BX51" s="1634">
        <v>0.5</v>
      </c>
      <c r="BY51" s="1634">
        <v>0.33333333333333331</v>
      </c>
      <c r="BZ51" s="1634">
        <v>0.33333333333333331</v>
      </c>
      <c r="CA51" s="1634">
        <v>0.33333333333333331</v>
      </c>
      <c r="CB51" s="1634">
        <v>0.33333333333333331</v>
      </c>
      <c r="CC51" s="1634">
        <v>0.33333333333333331</v>
      </c>
      <c r="CD51" s="1634">
        <v>0.33333333333333331</v>
      </c>
    </row>
    <row r="52" spans="1:83" hidden="1">
      <c r="B52" s="1595" t="str">
        <f t="shared" si="47"/>
        <v>4.1.4</v>
      </c>
      <c r="C52" s="1648" t="str">
        <f t="shared" si="26"/>
        <v xml:space="preserve"> レジオネラ対策</v>
      </c>
      <c r="D52" s="1719" t="e">
        <f t="shared" si="48"/>
        <v>#DIV/0!</v>
      </c>
      <c r="E52" s="1689" t="e">
        <f t="shared" si="48"/>
        <v>#DIV/0!</v>
      </c>
      <c r="G52" s="1689" t="e">
        <f t="shared" si="27"/>
        <v>#DIV/0!</v>
      </c>
      <c r="H52" s="1689" t="e">
        <f t="shared" si="28"/>
        <v>#DIV/0!</v>
      </c>
      <c r="I52" s="1689"/>
      <c r="J52" s="1689"/>
      <c r="K52" s="1689">
        <f>IF(スコア表示!W52=0,0,1)</f>
        <v>0</v>
      </c>
      <c r="L52" s="1689">
        <f>IF(スコア表示!AA52=0,0,1)</f>
        <v>1</v>
      </c>
      <c r="M52" s="1689" t="e">
        <f t="shared" si="29"/>
        <v>#DIV/0!</v>
      </c>
      <c r="N52" s="1689" t="e">
        <f t="shared" si="30"/>
        <v>#DIV/0!</v>
      </c>
      <c r="P52" s="1645" t="str">
        <f t="shared" si="31"/>
        <v>4.1.4</v>
      </c>
      <c r="Q52" s="1645" t="str">
        <f t="shared" si="32"/>
        <v xml:space="preserve"> Q1 4.1</v>
      </c>
      <c r="R52" s="1735" t="str">
        <f t="shared" si="33"/>
        <v xml:space="preserve"> レジオネラ対策</v>
      </c>
      <c r="S52" s="1616">
        <f t="shared" si="34"/>
        <v>0.25</v>
      </c>
      <c r="T52" s="1616">
        <f t="shared" si="35"/>
        <v>0.25</v>
      </c>
      <c r="U52" s="1616">
        <f t="shared" si="36"/>
        <v>0.25</v>
      </c>
      <c r="V52" s="1616">
        <f t="shared" si="37"/>
        <v>0.25</v>
      </c>
      <c r="W52" s="1616">
        <f t="shared" si="38"/>
        <v>0.25</v>
      </c>
      <c r="X52" s="1616">
        <f t="shared" si="39"/>
        <v>0</v>
      </c>
      <c r="Y52" s="1616">
        <f t="shared" si="40"/>
        <v>0</v>
      </c>
      <c r="Z52" s="1624">
        <f t="shared" si="41"/>
        <v>0.25</v>
      </c>
      <c r="AA52" s="1616">
        <f t="shared" si="42"/>
        <v>0.25</v>
      </c>
      <c r="AB52" s="1616">
        <f t="shared" si="43"/>
        <v>0.25</v>
      </c>
      <c r="AC52" s="1617">
        <f t="shared" si="44"/>
        <v>0.25</v>
      </c>
      <c r="AD52" s="1616">
        <f t="shared" si="45"/>
        <v>0.25</v>
      </c>
      <c r="AE52" s="1616">
        <f t="shared" si="46"/>
        <v>0.25</v>
      </c>
      <c r="AG52" s="1645" t="s">
        <v>1639</v>
      </c>
      <c r="AH52" s="1691" t="s">
        <v>303</v>
      </c>
      <c r="AI52" s="2061" t="s">
        <v>306</v>
      </c>
      <c r="AJ52" s="1634">
        <v>0.25</v>
      </c>
      <c r="AK52" s="1634">
        <v>0.25</v>
      </c>
      <c r="AL52" s="1634">
        <v>0.25</v>
      </c>
      <c r="AM52" s="1634">
        <v>0.25</v>
      </c>
      <c r="AN52" s="1634">
        <v>0.25</v>
      </c>
      <c r="AO52" s="1634"/>
      <c r="AP52" s="1634"/>
      <c r="AQ52" s="1635">
        <v>0.25</v>
      </c>
      <c r="AR52" s="1634">
        <v>0.25</v>
      </c>
      <c r="AS52" s="1621">
        <v>0.25</v>
      </c>
      <c r="AT52" s="1623">
        <v>0.25</v>
      </c>
      <c r="AU52" s="1621">
        <v>0.25</v>
      </c>
      <c r="AV52" s="1621">
        <v>0.25</v>
      </c>
      <c r="AX52" s="1645" t="s">
        <v>1440</v>
      </c>
      <c r="AY52" s="1691" t="s">
        <v>303</v>
      </c>
      <c r="AZ52" s="2061" t="s">
        <v>306</v>
      </c>
      <c r="BA52" s="1634">
        <v>0.33333333333333331</v>
      </c>
      <c r="BB52" s="1634">
        <v>0.33333333333333331</v>
      </c>
      <c r="BC52" s="1634">
        <v>0.33333333333333331</v>
      </c>
      <c r="BD52" s="1634">
        <v>0.33333333333333331</v>
      </c>
      <c r="BE52" s="1634">
        <v>0.33333333333333331</v>
      </c>
      <c r="BF52" s="1634"/>
      <c r="BG52" s="1634"/>
      <c r="BH52" s="1634">
        <v>0.33333333333333331</v>
      </c>
      <c r="BI52" s="1634">
        <v>0.33333333333333331</v>
      </c>
      <c r="BJ52" s="1634">
        <v>0.33333333333333331</v>
      </c>
      <c r="BK52" s="1634">
        <v>0.33333333333333331</v>
      </c>
      <c r="BL52" s="1634">
        <v>0.33333333333333331</v>
      </c>
      <c r="BM52" s="1634">
        <v>0.33333333333333331</v>
      </c>
      <c r="BO52" s="1645" t="s">
        <v>1588</v>
      </c>
      <c r="BP52" s="1691" t="s">
        <v>303</v>
      </c>
      <c r="BQ52" s="2061" t="s">
        <v>306</v>
      </c>
      <c r="BR52" s="1634">
        <v>0.33333333333333331</v>
      </c>
      <c r="BS52" s="1634">
        <v>0.33333333333333331</v>
      </c>
      <c r="BT52" s="1634">
        <v>0.33333333333333331</v>
      </c>
      <c r="BU52" s="1634">
        <v>0.33333333333333331</v>
      </c>
      <c r="BV52" s="1634">
        <v>0.33333333333333331</v>
      </c>
      <c r="BW52" s="1634"/>
      <c r="BX52" s="1634"/>
      <c r="BY52" s="1634">
        <v>0.33333333333333331</v>
      </c>
      <c r="BZ52" s="1634">
        <v>0.33333333333333331</v>
      </c>
      <c r="CA52" s="1634">
        <v>0.33333333333333331</v>
      </c>
      <c r="CB52" s="1634">
        <v>0.33333333333333331</v>
      </c>
      <c r="CC52" s="1634">
        <v>0.33333333333333331</v>
      </c>
      <c r="CD52" s="1634">
        <v>0.33333333333333331</v>
      </c>
    </row>
    <row r="53" spans="1:83">
      <c r="B53" s="1595">
        <f t="shared" si="47"/>
        <v>4.2</v>
      </c>
      <c r="C53" s="1628" t="str">
        <f t="shared" si="26"/>
        <v>換気</v>
      </c>
      <c r="D53" s="1714" t="e">
        <f>IF(I$47=0,0,G53/I$47)</f>
        <v>#DIV/0!</v>
      </c>
      <c r="E53" s="1689" t="e">
        <f>IF(J$47=0,0,H53/J$47)</f>
        <v>#DIV/0!</v>
      </c>
      <c r="G53" s="1689" t="e">
        <f t="shared" si="27"/>
        <v>#DIV/0!</v>
      </c>
      <c r="H53" s="1689" t="e">
        <f t="shared" si="28"/>
        <v>#DIV/0!</v>
      </c>
      <c r="I53" s="1689" t="e">
        <f>SUM(G54:G57)</f>
        <v>#DIV/0!</v>
      </c>
      <c r="J53" s="1689" t="e">
        <f>SUM(H54:H57)</f>
        <v>#DIV/0!</v>
      </c>
      <c r="K53" s="1689" t="e">
        <f>IF(スコア表示!W53=0,0,1)</f>
        <v>#DIV/0!</v>
      </c>
      <c r="L53" s="1689" t="e">
        <f>IF(スコア表示!AA53=0,0,1)</f>
        <v>#DIV/0!</v>
      </c>
      <c r="M53" s="1689" t="e">
        <f t="shared" si="29"/>
        <v>#DIV/0!</v>
      </c>
      <c r="N53" s="1689" t="e">
        <f t="shared" si="30"/>
        <v>#DIV/0!</v>
      </c>
      <c r="P53" s="1645">
        <f t="shared" si="31"/>
        <v>4.2</v>
      </c>
      <c r="Q53" s="1645" t="str">
        <f t="shared" si="32"/>
        <v xml:space="preserve"> Q1 4</v>
      </c>
      <c r="R53" s="1735" t="str">
        <f t="shared" si="33"/>
        <v>換気</v>
      </c>
      <c r="S53" s="1616">
        <f t="shared" si="34"/>
        <v>0.3</v>
      </c>
      <c r="T53" s="1616">
        <f t="shared" si="35"/>
        <v>0.3</v>
      </c>
      <c r="U53" s="1616">
        <f t="shared" si="36"/>
        <v>0.3</v>
      </c>
      <c r="V53" s="1616">
        <f t="shared" si="37"/>
        <v>0.3</v>
      </c>
      <c r="W53" s="1616">
        <f t="shared" si="38"/>
        <v>0.3</v>
      </c>
      <c r="X53" s="1616">
        <f t="shared" si="39"/>
        <v>0.3</v>
      </c>
      <c r="Y53" s="1616">
        <f t="shared" si="40"/>
        <v>0.4</v>
      </c>
      <c r="Z53" s="1624">
        <f t="shared" si="41"/>
        <v>0.3</v>
      </c>
      <c r="AA53" s="1616">
        <f t="shared" si="42"/>
        <v>0.3</v>
      </c>
      <c r="AB53" s="1616">
        <f t="shared" si="43"/>
        <v>0.3</v>
      </c>
      <c r="AC53" s="1617">
        <f t="shared" si="44"/>
        <v>0.375</v>
      </c>
      <c r="AD53" s="1616">
        <f t="shared" si="45"/>
        <v>0.375</v>
      </c>
      <c r="AE53" s="1616">
        <f t="shared" si="46"/>
        <v>0.375</v>
      </c>
      <c r="AG53" s="1645">
        <v>4.2</v>
      </c>
      <c r="AH53" s="1691" t="s">
        <v>302</v>
      </c>
      <c r="AI53" s="1735" t="s">
        <v>656</v>
      </c>
      <c r="AJ53" s="1634">
        <v>0.3</v>
      </c>
      <c r="AK53" s="1634">
        <v>0.3</v>
      </c>
      <c r="AL53" s="1634">
        <v>0.3</v>
      </c>
      <c r="AM53" s="1634">
        <v>0.3</v>
      </c>
      <c r="AN53" s="1634">
        <v>0.3</v>
      </c>
      <c r="AO53" s="1634">
        <v>0.3</v>
      </c>
      <c r="AP53" s="1634">
        <v>0.4</v>
      </c>
      <c r="AQ53" s="1635">
        <v>0.3</v>
      </c>
      <c r="AR53" s="1634">
        <v>0.3</v>
      </c>
      <c r="AS53" s="1621">
        <v>0.3</v>
      </c>
      <c r="AT53" s="1623">
        <v>0.375</v>
      </c>
      <c r="AU53" s="1621">
        <v>0.375</v>
      </c>
      <c r="AV53" s="1621">
        <v>0.375</v>
      </c>
      <c r="AX53" s="1645">
        <v>4.2</v>
      </c>
      <c r="AY53" s="1691" t="s">
        <v>302</v>
      </c>
      <c r="AZ53" s="1735" t="s">
        <v>656</v>
      </c>
      <c r="BA53" s="1634">
        <v>0.3</v>
      </c>
      <c r="BB53" s="1634">
        <v>0.3</v>
      </c>
      <c r="BC53" s="1634">
        <v>0.3</v>
      </c>
      <c r="BD53" s="1634">
        <v>0.3</v>
      </c>
      <c r="BE53" s="1634">
        <v>0.3</v>
      </c>
      <c r="BF53" s="1634">
        <v>0.3</v>
      </c>
      <c r="BG53" s="1634">
        <v>0.4</v>
      </c>
      <c r="BH53" s="1635">
        <v>0.3</v>
      </c>
      <c r="BI53" s="1634">
        <v>0.3</v>
      </c>
      <c r="BJ53" s="1634">
        <v>0.3</v>
      </c>
      <c r="BK53" s="1636">
        <v>0.375</v>
      </c>
      <c r="BL53" s="1634">
        <v>0.375</v>
      </c>
      <c r="BM53" s="1634">
        <v>0.375</v>
      </c>
      <c r="BO53" s="1645">
        <v>4.2</v>
      </c>
      <c r="BP53" s="1691" t="s">
        <v>302</v>
      </c>
      <c r="BQ53" s="1735" t="s">
        <v>656</v>
      </c>
      <c r="BR53" s="1634">
        <v>0.3</v>
      </c>
      <c r="BS53" s="1634">
        <v>0.3</v>
      </c>
      <c r="BT53" s="1634">
        <v>0.3</v>
      </c>
      <c r="BU53" s="1634">
        <v>0.3</v>
      </c>
      <c r="BV53" s="1634">
        <v>0.3</v>
      </c>
      <c r="BW53" s="1634">
        <v>0.3</v>
      </c>
      <c r="BX53" s="1634">
        <v>0.4</v>
      </c>
      <c r="BY53" s="1635">
        <v>0.3</v>
      </c>
      <c r="BZ53" s="1634">
        <v>0.3</v>
      </c>
      <c r="CA53" s="1634">
        <v>0.3</v>
      </c>
      <c r="CB53" s="1636">
        <v>0.375</v>
      </c>
      <c r="CC53" s="1634">
        <v>0.375</v>
      </c>
      <c r="CD53" s="1634">
        <v>0.375</v>
      </c>
    </row>
    <row r="54" spans="1:83">
      <c r="B54" s="1595" t="str">
        <f t="shared" si="47"/>
        <v>4.2.1</v>
      </c>
      <c r="C54" s="1612" t="str">
        <f t="shared" si="26"/>
        <v>換気量</v>
      </c>
      <c r="D54" s="1719" t="e">
        <f t="shared" ref="D54:E57" si="49">IF(I$53&gt;0,G54/I$53,0)</f>
        <v>#DIV/0!</v>
      </c>
      <c r="E54" s="1689" t="e">
        <f t="shared" si="49"/>
        <v>#DIV/0!</v>
      </c>
      <c r="G54" s="1689" t="e">
        <f t="shared" si="27"/>
        <v>#DIV/0!</v>
      </c>
      <c r="H54" s="1689" t="e">
        <f t="shared" si="28"/>
        <v>#DIV/0!</v>
      </c>
      <c r="I54" s="1689"/>
      <c r="J54" s="1689"/>
      <c r="K54" s="1689">
        <f>IF(スコア表示!W54=0,0,1)</f>
        <v>1</v>
      </c>
      <c r="L54" s="1689">
        <f>IF(スコア表示!AA54=0,0,1)</f>
        <v>1</v>
      </c>
      <c r="M54" s="1689" t="e">
        <f t="shared" si="29"/>
        <v>#DIV/0!</v>
      </c>
      <c r="N54" s="1689" t="e">
        <f t="shared" si="30"/>
        <v>#DIV/0!</v>
      </c>
      <c r="P54" s="1645" t="str">
        <f t="shared" si="31"/>
        <v>4.2.1</v>
      </c>
      <c r="Q54" s="1645" t="str">
        <f t="shared" si="32"/>
        <v xml:space="preserve"> Q1 4.2</v>
      </c>
      <c r="R54" s="1735" t="str">
        <f t="shared" si="33"/>
        <v>換気量</v>
      </c>
      <c r="S54" s="1616">
        <f t="shared" si="34"/>
        <v>0.25</v>
      </c>
      <c r="T54" s="1616">
        <f t="shared" si="35"/>
        <v>0.25</v>
      </c>
      <c r="U54" s="1616">
        <f t="shared" si="36"/>
        <v>0.33333333333333331</v>
      </c>
      <c r="V54" s="1616">
        <f t="shared" si="37"/>
        <v>0.33333333333333331</v>
      </c>
      <c r="W54" s="1616">
        <f t="shared" si="38"/>
        <v>0.33333333333333331</v>
      </c>
      <c r="X54" s="1616">
        <f t="shared" si="39"/>
        <v>0.33333333333333331</v>
      </c>
      <c r="Y54" s="1616">
        <f t="shared" si="40"/>
        <v>0</v>
      </c>
      <c r="Z54" s="1624">
        <f t="shared" si="41"/>
        <v>0.33333333333333331</v>
      </c>
      <c r="AA54" s="1616">
        <f t="shared" si="42"/>
        <v>0.25</v>
      </c>
      <c r="AB54" s="1616">
        <f t="shared" si="43"/>
        <v>0.25</v>
      </c>
      <c r="AC54" s="1617">
        <f t="shared" si="44"/>
        <v>0.25</v>
      </c>
      <c r="AD54" s="1616">
        <f t="shared" si="45"/>
        <v>0.25</v>
      </c>
      <c r="AE54" s="1616">
        <f t="shared" si="46"/>
        <v>0</v>
      </c>
      <c r="AG54" s="1645" t="s">
        <v>1441</v>
      </c>
      <c r="AH54" s="1691" t="s">
        <v>307</v>
      </c>
      <c r="AI54" s="2061" t="s">
        <v>308</v>
      </c>
      <c r="AJ54" s="1634">
        <v>0.25</v>
      </c>
      <c r="AK54" s="1634">
        <v>0.25</v>
      </c>
      <c r="AL54" s="1637">
        <v>0.33333333333333331</v>
      </c>
      <c r="AM54" s="1637">
        <v>0.33333333333333331</v>
      </c>
      <c r="AN54" s="1637">
        <v>0.33333333333333331</v>
      </c>
      <c r="AO54" s="1637">
        <v>0.33333333333333331</v>
      </c>
      <c r="AP54" s="1634"/>
      <c r="AQ54" s="1637">
        <v>0.33333333333333331</v>
      </c>
      <c r="AR54" s="1634">
        <v>0.25</v>
      </c>
      <c r="AS54" s="1621">
        <v>0.25</v>
      </c>
      <c r="AT54" s="1623">
        <v>0.25</v>
      </c>
      <c r="AU54" s="1621">
        <v>0.25</v>
      </c>
      <c r="AV54" s="1621"/>
      <c r="AX54" s="1645" t="s">
        <v>1441</v>
      </c>
      <c r="AY54" s="1691" t="s">
        <v>307</v>
      </c>
      <c r="AZ54" s="2061" t="s">
        <v>308</v>
      </c>
      <c r="BA54" s="1634">
        <v>0.25</v>
      </c>
      <c r="BB54" s="1634">
        <v>0.25</v>
      </c>
      <c r="BC54" s="1634">
        <v>0.33333333333333331</v>
      </c>
      <c r="BD54" s="1634">
        <v>0.33333333333333331</v>
      </c>
      <c r="BE54" s="1634">
        <v>0.33333333333333331</v>
      </c>
      <c r="BF54" s="1634">
        <v>0.33333333333333331</v>
      </c>
      <c r="BG54" s="1634">
        <v>0.5</v>
      </c>
      <c r="BH54" s="1634">
        <v>0.33333333333333331</v>
      </c>
      <c r="BI54" s="1634">
        <v>0.25</v>
      </c>
      <c r="BJ54" s="1634">
        <v>0.25</v>
      </c>
      <c r="BK54" s="1636">
        <v>0.25</v>
      </c>
      <c r="BL54" s="1634">
        <v>0.25</v>
      </c>
      <c r="BM54" s="1634">
        <v>0.25</v>
      </c>
      <c r="BO54" s="1645" t="s">
        <v>1441</v>
      </c>
      <c r="BP54" s="1691" t="s">
        <v>307</v>
      </c>
      <c r="BQ54" s="2061" t="s">
        <v>308</v>
      </c>
      <c r="BR54" s="1634">
        <v>0.25</v>
      </c>
      <c r="BS54" s="1634">
        <v>0.25</v>
      </c>
      <c r="BT54" s="1634">
        <v>0.33333333333333331</v>
      </c>
      <c r="BU54" s="1634">
        <v>0.33333333333333331</v>
      </c>
      <c r="BV54" s="1634">
        <v>0.33333333333333331</v>
      </c>
      <c r="BW54" s="1634">
        <v>0.33333333333333331</v>
      </c>
      <c r="BX54" s="1634">
        <v>0.5</v>
      </c>
      <c r="BY54" s="1634">
        <v>0.33333333333333331</v>
      </c>
      <c r="BZ54" s="1634">
        <v>0.25</v>
      </c>
      <c r="CA54" s="1634">
        <v>0.25</v>
      </c>
      <c r="CB54" s="1636">
        <v>0.25</v>
      </c>
      <c r="CC54" s="1634">
        <v>0.25</v>
      </c>
      <c r="CD54" s="1634">
        <v>0.25</v>
      </c>
    </row>
    <row r="55" spans="1:83">
      <c r="B55" s="1595" t="str">
        <f t="shared" si="47"/>
        <v>4.2.2</v>
      </c>
      <c r="C55" s="1612" t="str">
        <f t="shared" si="26"/>
        <v>自然換気性能</v>
      </c>
      <c r="D55" s="1719" t="e">
        <f t="shared" si="49"/>
        <v>#DIV/0!</v>
      </c>
      <c r="E55" s="1689" t="e">
        <f t="shared" si="49"/>
        <v>#DIV/0!</v>
      </c>
      <c r="G55" s="1689" t="e">
        <f t="shared" si="27"/>
        <v>#DIV/0!</v>
      </c>
      <c r="H55" s="1689" t="e">
        <f t="shared" si="28"/>
        <v>#DIV/0!</v>
      </c>
      <c r="I55" s="1689"/>
      <c r="J55" s="1689"/>
      <c r="K55" s="1689">
        <f>IF(スコア表示!W55=0,0,1)</f>
        <v>1</v>
      </c>
      <c r="L55" s="1689">
        <f>IF(スコア表示!AA55=0,0,1)</f>
        <v>1</v>
      </c>
      <c r="M55" s="1689" t="e">
        <f t="shared" si="29"/>
        <v>#DIV/0!</v>
      </c>
      <c r="N55" s="1689" t="e">
        <f t="shared" si="30"/>
        <v>#DIV/0!</v>
      </c>
      <c r="P55" s="1645" t="str">
        <f t="shared" si="31"/>
        <v>4.2.2</v>
      </c>
      <c r="Q55" s="1645" t="str">
        <f t="shared" si="32"/>
        <v xml:space="preserve"> Q1 4.2</v>
      </c>
      <c r="R55" s="1735" t="str">
        <f t="shared" si="33"/>
        <v>自然換気性能</v>
      </c>
      <c r="S55" s="1616">
        <f t="shared" si="34"/>
        <v>0.25</v>
      </c>
      <c r="T55" s="1616">
        <f t="shared" si="35"/>
        <v>0.25</v>
      </c>
      <c r="U55" s="1616">
        <f t="shared" si="36"/>
        <v>0</v>
      </c>
      <c r="V55" s="1616">
        <f t="shared" si="37"/>
        <v>0</v>
      </c>
      <c r="W55" s="1616">
        <f t="shared" si="38"/>
        <v>0</v>
      </c>
      <c r="X55" s="1616">
        <f t="shared" si="39"/>
        <v>0</v>
      </c>
      <c r="Y55" s="1616">
        <f t="shared" si="40"/>
        <v>0</v>
      </c>
      <c r="Z55" s="1624">
        <f t="shared" si="41"/>
        <v>0</v>
      </c>
      <c r="AA55" s="1616">
        <f t="shared" si="42"/>
        <v>0.25</v>
      </c>
      <c r="AB55" s="1616">
        <f t="shared" si="43"/>
        <v>0.25</v>
      </c>
      <c r="AC55" s="1617">
        <f t="shared" si="44"/>
        <v>0.25</v>
      </c>
      <c r="AD55" s="1616">
        <f t="shared" si="45"/>
        <v>0.25</v>
      </c>
      <c r="AE55" s="1616">
        <f t="shared" si="46"/>
        <v>0.33</v>
      </c>
      <c r="AG55" s="1645" t="s">
        <v>1443</v>
      </c>
      <c r="AH55" s="1691" t="s">
        <v>307</v>
      </c>
      <c r="AI55" s="2061" t="s">
        <v>309</v>
      </c>
      <c r="AJ55" s="1634">
        <v>0.25</v>
      </c>
      <c r="AK55" s="1634">
        <v>0.25</v>
      </c>
      <c r="AL55" s="1634"/>
      <c r="AM55" s="1634"/>
      <c r="AN55" s="1634"/>
      <c r="AO55" s="1634"/>
      <c r="AP55" s="1634"/>
      <c r="AQ55" s="1635"/>
      <c r="AR55" s="1634">
        <v>0.25</v>
      </c>
      <c r="AS55" s="1621">
        <v>0.25</v>
      </c>
      <c r="AT55" s="1623">
        <v>0.25</v>
      </c>
      <c r="AU55" s="1621">
        <v>0.25</v>
      </c>
      <c r="AV55" s="1621">
        <v>0.33</v>
      </c>
      <c r="AX55" s="1645" t="s">
        <v>1443</v>
      </c>
      <c r="AY55" s="1691" t="s">
        <v>307</v>
      </c>
      <c r="AZ55" s="2061" t="s">
        <v>309</v>
      </c>
      <c r="BA55" s="1634">
        <v>0.25</v>
      </c>
      <c r="BB55" s="1634">
        <v>0.25</v>
      </c>
      <c r="BC55" s="1634"/>
      <c r="BD55" s="1634"/>
      <c r="BE55" s="1634"/>
      <c r="BF55" s="1634"/>
      <c r="BG55" s="1634"/>
      <c r="BH55" s="1635"/>
      <c r="BI55" s="1634">
        <v>0.25</v>
      </c>
      <c r="BJ55" s="1634">
        <v>0.25</v>
      </c>
      <c r="BK55" s="1636">
        <v>0.25</v>
      </c>
      <c r="BL55" s="1634">
        <v>0.25</v>
      </c>
      <c r="BM55" s="1634">
        <v>0.25</v>
      </c>
      <c r="BO55" s="1645" t="s">
        <v>1443</v>
      </c>
      <c r="BP55" s="1691" t="s">
        <v>307</v>
      </c>
      <c r="BQ55" s="2061" t="s">
        <v>309</v>
      </c>
      <c r="BR55" s="1634">
        <v>0.25</v>
      </c>
      <c r="BS55" s="1634">
        <v>0.25</v>
      </c>
      <c r="BT55" s="1634"/>
      <c r="BU55" s="1634"/>
      <c r="BV55" s="1634"/>
      <c r="BW55" s="1634"/>
      <c r="BX55" s="1634"/>
      <c r="BY55" s="1635"/>
      <c r="BZ55" s="1634">
        <v>0.25</v>
      </c>
      <c r="CA55" s="1634">
        <v>0.25</v>
      </c>
      <c r="CB55" s="1636">
        <v>0.25</v>
      </c>
      <c r="CC55" s="1634">
        <v>0.25</v>
      </c>
      <c r="CD55" s="1634">
        <v>0.25</v>
      </c>
    </row>
    <row r="56" spans="1:83">
      <c r="B56" s="1595" t="str">
        <f t="shared" si="47"/>
        <v>4.2.3</v>
      </c>
      <c r="C56" s="1612" t="str">
        <f t="shared" si="26"/>
        <v>取り入れ外気への配慮</v>
      </c>
      <c r="D56" s="1719" t="e">
        <f t="shared" si="49"/>
        <v>#DIV/0!</v>
      </c>
      <c r="E56" s="1689" t="e">
        <f t="shared" si="49"/>
        <v>#DIV/0!</v>
      </c>
      <c r="G56" s="1689" t="e">
        <f t="shared" si="27"/>
        <v>#DIV/0!</v>
      </c>
      <c r="H56" s="1689" t="e">
        <f t="shared" si="28"/>
        <v>#DIV/0!</v>
      </c>
      <c r="I56" s="1689"/>
      <c r="J56" s="1689"/>
      <c r="K56" s="1689">
        <f>IF(スコア表示!W56=0,0,1)</f>
        <v>1</v>
      </c>
      <c r="L56" s="1689">
        <f>IF(スコア表示!AA56=0,0,1)</f>
        <v>1</v>
      </c>
      <c r="M56" s="1689" t="e">
        <f t="shared" si="29"/>
        <v>#DIV/0!</v>
      </c>
      <c r="N56" s="1689" t="e">
        <f t="shared" si="30"/>
        <v>#DIV/0!</v>
      </c>
      <c r="P56" s="1645" t="str">
        <f t="shared" si="31"/>
        <v>4.2.3</v>
      </c>
      <c r="Q56" s="1645" t="str">
        <f t="shared" si="32"/>
        <v xml:space="preserve"> Q1 4.2</v>
      </c>
      <c r="R56" s="1735" t="str">
        <f t="shared" si="33"/>
        <v>取り入れ外気への配慮</v>
      </c>
      <c r="S56" s="1616">
        <f t="shared" si="34"/>
        <v>0.25</v>
      </c>
      <c r="T56" s="1616">
        <f t="shared" si="35"/>
        <v>0.25</v>
      </c>
      <c r="U56" s="1616">
        <f t="shared" si="36"/>
        <v>0.33333333333333331</v>
      </c>
      <c r="V56" s="1616">
        <f t="shared" si="37"/>
        <v>0.33333333333333331</v>
      </c>
      <c r="W56" s="1616">
        <f t="shared" si="38"/>
        <v>0.33333333333333331</v>
      </c>
      <c r="X56" s="1616">
        <f t="shared" si="39"/>
        <v>0.33333333333333331</v>
      </c>
      <c r="Y56" s="1616">
        <f t="shared" si="40"/>
        <v>1</v>
      </c>
      <c r="Z56" s="1624">
        <f t="shared" si="41"/>
        <v>0.33333333333333331</v>
      </c>
      <c r="AA56" s="1616">
        <f t="shared" si="42"/>
        <v>0.25</v>
      </c>
      <c r="AB56" s="1616">
        <f t="shared" si="43"/>
        <v>0.25</v>
      </c>
      <c r="AC56" s="1617">
        <f t="shared" si="44"/>
        <v>0.25</v>
      </c>
      <c r="AD56" s="1616">
        <f t="shared" si="45"/>
        <v>0.25</v>
      </c>
      <c r="AE56" s="1616">
        <f t="shared" si="46"/>
        <v>0.33</v>
      </c>
      <c r="AG56" s="1645" t="s">
        <v>1444</v>
      </c>
      <c r="AH56" s="1691" t="s">
        <v>307</v>
      </c>
      <c r="AI56" s="2061" t="s">
        <v>310</v>
      </c>
      <c r="AJ56" s="1634">
        <v>0.25</v>
      </c>
      <c r="AK56" s="1634">
        <v>0.25</v>
      </c>
      <c r="AL56" s="1637">
        <v>0.33333333333333331</v>
      </c>
      <c r="AM56" s="1637">
        <v>0.33333333333333331</v>
      </c>
      <c r="AN56" s="1637">
        <v>0.33333333333333331</v>
      </c>
      <c r="AO56" s="1637">
        <v>0.33333333333333331</v>
      </c>
      <c r="AP56" s="1634">
        <v>1</v>
      </c>
      <c r="AQ56" s="1637">
        <v>0.33333333333333331</v>
      </c>
      <c r="AR56" s="1634">
        <v>0.25</v>
      </c>
      <c r="AS56" s="1621">
        <v>0.25</v>
      </c>
      <c r="AT56" s="1623">
        <v>0.25</v>
      </c>
      <c r="AU56" s="1621">
        <v>0.25</v>
      </c>
      <c r="AV56" s="1621">
        <v>0.33</v>
      </c>
      <c r="AX56" s="1645" t="s">
        <v>1444</v>
      </c>
      <c r="AY56" s="1691" t="s">
        <v>307</v>
      </c>
      <c r="AZ56" s="2061" t="s">
        <v>310</v>
      </c>
      <c r="BA56" s="1634">
        <v>0.25</v>
      </c>
      <c r="BB56" s="1634">
        <v>0.25</v>
      </c>
      <c r="BC56" s="1634">
        <v>0.33333333333333331</v>
      </c>
      <c r="BD56" s="1634">
        <v>0.33333333333333331</v>
      </c>
      <c r="BE56" s="1634">
        <v>0.33333333333333331</v>
      </c>
      <c r="BF56" s="1634">
        <v>0.33333333333333331</v>
      </c>
      <c r="BG56" s="1634">
        <v>0.5</v>
      </c>
      <c r="BH56" s="1634">
        <v>0.33333333333333331</v>
      </c>
      <c r="BI56" s="1634">
        <v>0.25</v>
      </c>
      <c r="BJ56" s="1634">
        <v>0.25</v>
      </c>
      <c r="BK56" s="1636">
        <v>0.25</v>
      </c>
      <c r="BL56" s="1634">
        <v>0.25</v>
      </c>
      <c r="BM56" s="1634">
        <v>0.25</v>
      </c>
      <c r="BO56" s="1645" t="s">
        <v>1444</v>
      </c>
      <c r="BP56" s="1691" t="s">
        <v>307</v>
      </c>
      <c r="BQ56" s="2061" t="s">
        <v>310</v>
      </c>
      <c r="BR56" s="1634">
        <v>0.25</v>
      </c>
      <c r="BS56" s="1634">
        <v>0.25</v>
      </c>
      <c r="BT56" s="1634">
        <v>0.33333333333333331</v>
      </c>
      <c r="BU56" s="1634">
        <v>0.33333333333333331</v>
      </c>
      <c r="BV56" s="1634">
        <v>0.33333333333333331</v>
      </c>
      <c r="BW56" s="1634">
        <v>0.33333333333333331</v>
      </c>
      <c r="BX56" s="1634">
        <v>0.5</v>
      </c>
      <c r="BY56" s="1634">
        <v>0.33333333333333331</v>
      </c>
      <c r="BZ56" s="1634">
        <v>0.25</v>
      </c>
      <c r="CA56" s="1634">
        <v>0.25</v>
      </c>
      <c r="CB56" s="1636">
        <v>0.25</v>
      </c>
      <c r="CC56" s="1634">
        <v>0.25</v>
      </c>
      <c r="CD56" s="1634">
        <v>0.25</v>
      </c>
    </row>
    <row r="57" spans="1:83" hidden="1">
      <c r="B57" s="1595" t="str">
        <f t="shared" si="47"/>
        <v>4.2.4</v>
      </c>
      <c r="C57" s="1648" t="str">
        <f t="shared" si="26"/>
        <v>給気計画</v>
      </c>
      <c r="D57" s="1719" t="e">
        <f t="shared" si="49"/>
        <v>#DIV/0!</v>
      </c>
      <c r="E57" s="1689" t="e">
        <f t="shared" si="49"/>
        <v>#DIV/0!</v>
      </c>
      <c r="G57" s="1689" t="e">
        <f t="shared" si="27"/>
        <v>#DIV/0!</v>
      </c>
      <c r="H57" s="1689" t="e">
        <f t="shared" si="28"/>
        <v>#DIV/0!</v>
      </c>
      <c r="I57" s="1689"/>
      <c r="J57" s="1689"/>
      <c r="K57" s="1689">
        <f>IF(スコア表示!W57=0,0,1)</f>
        <v>0</v>
      </c>
      <c r="L57" s="1689">
        <f>IF(スコア表示!AA57=0,0,1)</f>
        <v>0</v>
      </c>
      <c r="M57" s="1689" t="e">
        <f t="shared" si="29"/>
        <v>#DIV/0!</v>
      </c>
      <c r="N57" s="1689" t="e">
        <f t="shared" si="30"/>
        <v>#DIV/0!</v>
      </c>
      <c r="P57" s="1645" t="str">
        <f t="shared" si="31"/>
        <v>4.2.4</v>
      </c>
      <c r="Q57" s="1645" t="str">
        <f t="shared" si="32"/>
        <v xml:space="preserve"> Q1 4.2</v>
      </c>
      <c r="R57" s="1735" t="str">
        <f t="shared" si="33"/>
        <v>給気計画</v>
      </c>
      <c r="S57" s="1616">
        <f t="shared" si="34"/>
        <v>0.25</v>
      </c>
      <c r="T57" s="1616">
        <f t="shared" si="35"/>
        <v>0.25</v>
      </c>
      <c r="U57" s="1616">
        <f t="shared" si="36"/>
        <v>0.33333333333333331</v>
      </c>
      <c r="V57" s="1616">
        <f t="shared" si="37"/>
        <v>0.33333333333333331</v>
      </c>
      <c r="W57" s="1616">
        <f t="shared" si="38"/>
        <v>0.33333333333333331</v>
      </c>
      <c r="X57" s="1616">
        <f t="shared" si="39"/>
        <v>0.33333333333333331</v>
      </c>
      <c r="Y57" s="1616">
        <f t="shared" si="40"/>
        <v>0</v>
      </c>
      <c r="Z57" s="1624">
        <f t="shared" si="41"/>
        <v>0.33333333333333331</v>
      </c>
      <c r="AA57" s="1616">
        <f t="shared" si="42"/>
        <v>0.25</v>
      </c>
      <c r="AB57" s="1616">
        <f t="shared" si="43"/>
        <v>0.25</v>
      </c>
      <c r="AC57" s="1617">
        <f t="shared" si="44"/>
        <v>0.25</v>
      </c>
      <c r="AD57" s="1616">
        <f t="shared" si="45"/>
        <v>0.25</v>
      </c>
      <c r="AE57" s="1616">
        <f t="shared" si="46"/>
        <v>0.33</v>
      </c>
      <c r="AG57" s="1645" t="s">
        <v>1445</v>
      </c>
      <c r="AH57" s="1691" t="s">
        <v>307</v>
      </c>
      <c r="AI57" s="2061" t="s">
        <v>1446</v>
      </c>
      <c r="AJ57" s="2071">
        <v>0.25</v>
      </c>
      <c r="AK57" s="2071">
        <v>0.25</v>
      </c>
      <c r="AL57" s="2075">
        <v>0.33333333333333331</v>
      </c>
      <c r="AM57" s="2075">
        <v>0.33333333333333331</v>
      </c>
      <c r="AN57" s="2075">
        <v>0.33333333333333331</v>
      </c>
      <c r="AO57" s="2075">
        <v>0.33333333333333331</v>
      </c>
      <c r="AP57" s="2071"/>
      <c r="AQ57" s="2075">
        <v>0.33333333333333331</v>
      </c>
      <c r="AR57" s="2071">
        <v>0.25</v>
      </c>
      <c r="AS57" s="1621">
        <v>0.25</v>
      </c>
      <c r="AT57" s="1623">
        <v>0.25</v>
      </c>
      <c r="AU57" s="1621">
        <v>0.25</v>
      </c>
      <c r="AV57" s="1621">
        <v>0.33</v>
      </c>
      <c r="AX57" s="1645" t="s">
        <v>1445</v>
      </c>
      <c r="AY57" s="1691" t="s">
        <v>307</v>
      </c>
      <c r="AZ57" s="2061" t="s">
        <v>1446</v>
      </c>
      <c r="BA57" s="1634">
        <v>0.25</v>
      </c>
      <c r="BB57" s="1634">
        <v>0.25</v>
      </c>
      <c r="BC57" s="1634">
        <v>0.33333333333333331</v>
      </c>
      <c r="BD57" s="1634">
        <v>0.33333333333333331</v>
      </c>
      <c r="BE57" s="1634">
        <v>0.33333333333333331</v>
      </c>
      <c r="BF57" s="1634">
        <v>0.33333333333333331</v>
      </c>
      <c r="BG57" s="1634"/>
      <c r="BH57" s="1634">
        <v>0.33333333333333331</v>
      </c>
      <c r="BI57" s="1634">
        <v>0.25</v>
      </c>
      <c r="BJ57" s="1634">
        <v>0.25</v>
      </c>
      <c r="BK57" s="1636">
        <v>0.25</v>
      </c>
      <c r="BL57" s="1634">
        <v>0.25</v>
      </c>
      <c r="BM57" s="1634">
        <v>0.25</v>
      </c>
      <c r="BO57" s="1645" t="s">
        <v>1445</v>
      </c>
      <c r="BP57" s="1691" t="s">
        <v>307</v>
      </c>
      <c r="BQ57" s="2061" t="s">
        <v>1446</v>
      </c>
      <c r="BR57" s="1634">
        <v>0.25</v>
      </c>
      <c r="BS57" s="1634">
        <v>0.25</v>
      </c>
      <c r="BT57" s="1634">
        <v>0.33333333333333331</v>
      </c>
      <c r="BU57" s="1634">
        <v>0.33333333333333331</v>
      </c>
      <c r="BV57" s="1634">
        <v>0.33333333333333331</v>
      </c>
      <c r="BW57" s="1634">
        <v>0.33333333333333331</v>
      </c>
      <c r="BX57" s="1634"/>
      <c r="BY57" s="1634">
        <v>0.33333333333333331</v>
      </c>
      <c r="BZ57" s="1634">
        <v>0.25</v>
      </c>
      <c r="CA57" s="1634">
        <v>0.25</v>
      </c>
      <c r="CB57" s="1636">
        <v>0.25</v>
      </c>
      <c r="CC57" s="1634">
        <v>0.25</v>
      </c>
      <c r="CD57" s="1634">
        <v>0.25</v>
      </c>
    </row>
    <row r="58" spans="1:83">
      <c r="B58" s="1595">
        <f t="shared" si="47"/>
        <v>4.3</v>
      </c>
      <c r="C58" s="1628" t="str">
        <f t="shared" si="26"/>
        <v>運用管理</v>
      </c>
      <c r="D58" s="1714" t="e">
        <f>IF(I$47=0,0,G58/I$47)</f>
        <v>#DIV/0!</v>
      </c>
      <c r="E58" s="1689" t="e">
        <f>IF(J$47=0,0,H58/J$47)</f>
        <v>#DIV/0!</v>
      </c>
      <c r="G58" s="1689" t="e">
        <f t="shared" si="27"/>
        <v>#DIV/0!</v>
      </c>
      <c r="H58" s="1689" t="e">
        <f t="shared" si="28"/>
        <v>#DIV/0!</v>
      </c>
      <c r="I58" s="1689" t="e">
        <f>G59+G60</f>
        <v>#DIV/0!</v>
      </c>
      <c r="J58" s="1689" t="e">
        <f>H59+H60</f>
        <v>#DIV/0!</v>
      </c>
      <c r="K58" s="1689" t="e">
        <f>IF(スコア表示!W58=0,0,1)</f>
        <v>#DIV/0!</v>
      </c>
      <c r="L58" s="1689" t="e">
        <f>IF(スコア表示!AA58=0,0,1)</f>
        <v>#DIV/0!</v>
      </c>
      <c r="M58" s="1689" t="e">
        <f t="shared" si="29"/>
        <v>#DIV/0!</v>
      </c>
      <c r="N58" s="1689" t="e">
        <f t="shared" si="30"/>
        <v>#DIV/0!</v>
      </c>
      <c r="P58" s="1645">
        <f t="shared" si="31"/>
        <v>4.3</v>
      </c>
      <c r="Q58" s="1645" t="str">
        <f t="shared" si="32"/>
        <v xml:space="preserve"> Q1 4</v>
      </c>
      <c r="R58" s="1735" t="str">
        <f t="shared" si="33"/>
        <v>運用管理</v>
      </c>
      <c r="S58" s="1616">
        <f t="shared" si="34"/>
        <v>0.2</v>
      </c>
      <c r="T58" s="1616">
        <f t="shared" si="35"/>
        <v>0.2</v>
      </c>
      <c r="U58" s="1616">
        <f t="shared" si="36"/>
        <v>0.2</v>
      </c>
      <c r="V58" s="1616">
        <f t="shared" si="37"/>
        <v>0.2</v>
      </c>
      <c r="W58" s="1616">
        <f t="shared" si="38"/>
        <v>0.2</v>
      </c>
      <c r="X58" s="1616">
        <f t="shared" si="39"/>
        <v>0.2</v>
      </c>
      <c r="Y58" s="1616">
        <f t="shared" si="40"/>
        <v>0</v>
      </c>
      <c r="Z58" s="1624">
        <f t="shared" si="41"/>
        <v>0.2</v>
      </c>
      <c r="AA58" s="1616">
        <f t="shared" si="42"/>
        <v>0.2</v>
      </c>
      <c r="AB58" s="1616">
        <f t="shared" si="43"/>
        <v>0.2</v>
      </c>
      <c r="AC58" s="1617">
        <f t="shared" si="44"/>
        <v>0</v>
      </c>
      <c r="AD58" s="1616">
        <f t="shared" si="45"/>
        <v>0</v>
      </c>
      <c r="AE58" s="1616">
        <f t="shared" si="46"/>
        <v>0</v>
      </c>
      <c r="AG58" s="1645">
        <v>4.3</v>
      </c>
      <c r="AH58" s="1691" t="s">
        <v>302</v>
      </c>
      <c r="AI58" s="1735" t="s">
        <v>664</v>
      </c>
      <c r="AJ58" s="1634">
        <v>0.2</v>
      </c>
      <c r="AK58" s="1634">
        <v>0.2</v>
      </c>
      <c r="AL58" s="1634">
        <v>0.2</v>
      </c>
      <c r="AM58" s="1634">
        <v>0.2</v>
      </c>
      <c r="AN58" s="1634">
        <v>0.2</v>
      </c>
      <c r="AO58" s="1634">
        <v>0.2</v>
      </c>
      <c r="AP58" s="1634"/>
      <c r="AQ58" s="1635">
        <v>0.2</v>
      </c>
      <c r="AR58" s="1634">
        <v>0.2</v>
      </c>
      <c r="AS58" s="1621">
        <v>0.2</v>
      </c>
      <c r="AT58" s="1623"/>
      <c r="AU58" s="1621"/>
      <c r="AV58" s="1621"/>
      <c r="AX58" s="1645">
        <v>4.3</v>
      </c>
      <c r="AY58" s="1691" t="s">
        <v>302</v>
      </c>
      <c r="AZ58" s="1735" t="s">
        <v>664</v>
      </c>
      <c r="BA58" s="1634">
        <v>0.2</v>
      </c>
      <c r="BB58" s="1634">
        <v>0.2</v>
      </c>
      <c r="BC58" s="1634">
        <v>0.2</v>
      </c>
      <c r="BD58" s="1634">
        <v>0.2</v>
      </c>
      <c r="BE58" s="1634">
        <v>0.2</v>
      </c>
      <c r="BF58" s="1634">
        <v>0.2</v>
      </c>
      <c r="BG58" s="1634"/>
      <c r="BH58" s="1635">
        <v>0.2</v>
      </c>
      <c r="BI58" s="1634">
        <v>0.2</v>
      </c>
      <c r="BJ58" s="1634">
        <v>0.2</v>
      </c>
      <c r="BK58" s="1636"/>
      <c r="BL58" s="1634"/>
      <c r="BM58" s="1634"/>
      <c r="BO58" s="1645">
        <v>4.3</v>
      </c>
      <c r="BP58" s="1691" t="s">
        <v>302</v>
      </c>
      <c r="BQ58" s="1735" t="s">
        <v>664</v>
      </c>
      <c r="BR58" s="1634">
        <v>0.2</v>
      </c>
      <c r="BS58" s="1634">
        <v>0.2</v>
      </c>
      <c r="BT58" s="1634">
        <v>0.2</v>
      </c>
      <c r="BU58" s="1634">
        <v>0.2</v>
      </c>
      <c r="BV58" s="1634">
        <v>0.2</v>
      </c>
      <c r="BW58" s="1634">
        <v>0.2</v>
      </c>
      <c r="BX58" s="1634"/>
      <c r="BY58" s="1635">
        <v>0.2</v>
      </c>
      <c r="BZ58" s="1634">
        <v>0.2</v>
      </c>
      <c r="CA58" s="1634">
        <v>0.2</v>
      </c>
      <c r="CB58" s="1636"/>
      <c r="CC58" s="1634"/>
      <c r="CD58" s="1634"/>
    </row>
    <row r="59" spans="1:83">
      <c r="B59" s="1595" t="str">
        <f t="shared" si="47"/>
        <v>4.3.1</v>
      </c>
      <c r="C59" s="1612" t="str">
        <f t="shared" si="26"/>
        <v>CO2の監視</v>
      </c>
      <c r="D59" s="1719" t="e">
        <f>IF(I$58&gt;0,G59/I$58,0)</f>
        <v>#DIV/0!</v>
      </c>
      <c r="E59" s="1689" t="e">
        <f>IF(J$58&gt;0,H59/J$58,0)</f>
        <v>#DIV/0!</v>
      </c>
      <c r="G59" s="1689" t="e">
        <f t="shared" si="27"/>
        <v>#DIV/0!</v>
      </c>
      <c r="H59" s="1689" t="e">
        <f t="shared" si="28"/>
        <v>#DIV/0!</v>
      </c>
      <c r="I59" s="1689"/>
      <c r="J59" s="1689"/>
      <c r="K59" s="1689">
        <f>IF(スコア表示!W59=0,0,1)</f>
        <v>1</v>
      </c>
      <c r="L59" s="1689">
        <f>IF(スコア表示!AA59=0,0,1)</f>
        <v>1</v>
      </c>
      <c r="M59" s="1689" t="e">
        <f t="shared" si="29"/>
        <v>#DIV/0!</v>
      </c>
      <c r="N59" s="1689" t="e">
        <f t="shared" si="30"/>
        <v>#DIV/0!</v>
      </c>
      <c r="P59" s="1645" t="str">
        <f t="shared" si="31"/>
        <v>4.3.1</v>
      </c>
      <c r="Q59" s="1645" t="str">
        <f t="shared" si="32"/>
        <v xml:space="preserve"> Q1 4.3</v>
      </c>
      <c r="R59" s="1735" t="str">
        <f t="shared" si="33"/>
        <v>CO2の監視</v>
      </c>
      <c r="S59" s="1616">
        <f t="shared" si="34"/>
        <v>0.5</v>
      </c>
      <c r="T59" s="1616">
        <f t="shared" si="35"/>
        <v>0.5</v>
      </c>
      <c r="U59" s="1616">
        <f t="shared" si="36"/>
        <v>0.5</v>
      </c>
      <c r="V59" s="1616">
        <f t="shared" si="37"/>
        <v>0.5</v>
      </c>
      <c r="W59" s="1616">
        <f t="shared" si="38"/>
        <v>0</v>
      </c>
      <c r="X59" s="1616">
        <f t="shared" si="39"/>
        <v>0</v>
      </c>
      <c r="Y59" s="1616">
        <f t="shared" si="40"/>
        <v>0</v>
      </c>
      <c r="Z59" s="1624">
        <f t="shared" si="41"/>
        <v>0.5</v>
      </c>
      <c r="AA59" s="1616">
        <f t="shared" si="42"/>
        <v>0.5</v>
      </c>
      <c r="AB59" s="1616">
        <f t="shared" si="43"/>
        <v>0.5</v>
      </c>
      <c r="AC59" s="1617">
        <f t="shared" si="44"/>
        <v>0</v>
      </c>
      <c r="AD59" s="1616">
        <f t="shared" si="45"/>
        <v>0</v>
      </c>
      <c r="AE59" s="1616">
        <f t="shared" si="46"/>
        <v>0</v>
      </c>
      <c r="AG59" s="1645" t="s">
        <v>1447</v>
      </c>
      <c r="AH59" s="1691" t="s">
        <v>311</v>
      </c>
      <c r="AI59" s="2061" t="s">
        <v>1448</v>
      </c>
      <c r="AJ59" s="1634">
        <v>0.5</v>
      </c>
      <c r="AK59" s="1634">
        <v>0.5</v>
      </c>
      <c r="AL59" s="1634">
        <v>0.5</v>
      </c>
      <c r="AM59" s="1634">
        <v>0.5</v>
      </c>
      <c r="AN59" s="1634"/>
      <c r="AO59" s="1634"/>
      <c r="AP59" s="1634"/>
      <c r="AQ59" s="1635">
        <v>0.5</v>
      </c>
      <c r="AR59" s="1634">
        <v>0.5</v>
      </c>
      <c r="AS59" s="1621">
        <v>0.5</v>
      </c>
      <c r="AT59" s="1623"/>
      <c r="AU59" s="1621"/>
      <c r="AV59" s="1621"/>
      <c r="AX59" s="1645" t="s">
        <v>1447</v>
      </c>
      <c r="AY59" s="1691" t="s">
        <v>311</v>
      </c>
      <c r="AZ59" s="2061" t="s">
        <v>1448</v>
      </c>
      <c r="BA59" s="1634">
        <v>0.5</v>
      </c>
      <c r="BB59" s="1634">
        <v>0.5</v>
      </c>
      <c r="BC59" s="1634">
        <v>0.5</v>
      </c>
      <c r="BD59" s="1634">
        <v>0.5</v>
      </c>
      <c r="BE59" s="1634"/>
      <c r="BF59" s="1634"/>
      <c r="BG59" s="1634"/>
      <c r="BH59" s="1635">
        <v>0.5</v>
      </c>
      <c r="BI59" s="1634">
        <v>0.5</v>
      </c>
      <c r="BJ59" s="1634">
        <v>0.5</v>
      </c>
      <c r="BK59" s="1636"/>
      <c r="BL59" s="1634"/>
      <c r="BM59" s="1634"/>
      <c r="BO59" s="1645" t="s">
        <v>1447</v>
      </c>
      <c r="BP59" s="1691" t="s">
        <v>311</v>
      </c>
      <c r="BQ59" s="2061" t="s">
        <v>1448</v>
      </c>
      <c r="BR59" s="1634">
        <v>0.5</v>
      </c>
      <c r="BS59" s="1634">
        <v>0.5</v>
      </c>
      <c r="BT59" s="1634">
        <v>0.5</v>
      </c>
      <c r="BU59" s="1634">
        <v>0.5</v>
      </c>
      <c r="BV59" s="1634"/>
      <c r="BW59" s="1634"/>
      <c r="BX59" s="1634"/>
      <c r="BY59" s="1635">
        <v>0.5</v>
      </c>
      <c r="BZ59" s="1634">
        <v>0.5</v>
      </c>
      <c r="CA59" s="1634">
        <v>0.5</v>
      </c>
      <c r="CB59" s="1636"/>
      <c r="CC59" s="1634"/>
      <c r="CD59" s="1634"/>
    </row>
    <row r="60" spans="1:83">
      <c r="B60" s="1595" t="str">
        <f t="shared" si="47"/>
        <v>4.3.2</v>
      </c>
      <c r="C60" s="1612" t="str">
        <f t="shared" si="26"/>
        <v>喫煙の制御</v>
      </c>
      <c r="D60" s="1719" t="e">
        <f>IF(I$58&gt;0,G60/I$58,0)</f>
        <v>#DIV/0!</v>
      </c>
      <c r="E60" s="1689" t="e">
        <f>IF(J$58&gt;0,H60/J$58,0)</f>
        <v>#DIV/0!</v>
      </c>
      <c r="G60" s="1689" t="e">
        <f t="shared" si="27"/>
        <v>#DIV/0!</v>
      </c>
      <c r="H60" s="1689" t="e">
        <f t="shared" si="28"/>
        <v>#DIV/0!</v>
      </c>
      <c r="I60" s="1689"/>
      <c r="J60" s="1689"/>
      <c r="K60" s="1689">
        <f>IF(スコア表示!W60=0,0,1)</f>
        <v>1</v>
      </c>
      <c r="L60" s="1689">
        <f>IF(スコア表示!AA60=0,0,1)</f>
        <v>1</v>
      </c>
      <c r="M60" s="1689" t="e">
        <f t="shared" si="29"/>
        <v>#DIV/0!</v>
      </c>
      <c r="N60" s="1689" t="e">
        <f t="shared" si="30"/>
        <v>#DIV/0!</v>
      </c>
      <c r="P60" s="1645" t="str">
        <f t="shared" si="31"/>
        <v>4.3.2</v>
      </c>
      <c r="Q60" s="1645" t="str">
        <f t="shared" si="32"/>
        <v xml:space="preserve"> Q1 4.3</v>
      </c>
      <c r="R60" s="1735" t="str">
        <f t="shared" si="33"/>
        <v>喫煙の制御</v>
      </c>
      <c r="S60" s="1616">
        <f t="shared" si="34"/>
        <v>0.5</v>
      </c>
      <c r="T60" s="1616">
        <f t="shared" si="35"/>
        <v>0.5</v>
      </c>
      <c r="U60" s="1616">
        <f t="shared" si="36"/>
        <v>0.5</v>
      </c>
      <c r="V60" s="1616">
        <f t="shared" si="37"/>
        <v>0.5</v>
      </c>
      <c r="W60" s="1616">
        <f t="shared" si="38"/>
        <v>1</v>
      </c>
      <c r="X60" s="1616">
        <f t="shared" si="39"/>
        <v>1</v>
      </c>
      <c r="Y60" s="1616">
        <f t="shared" si="40"/>
        <v>0</v>
      </c>
      <c r="Z60" s="1624">
        <f t="shared" si="41"/>
        <v>0.5</v>
      </c>
      <c r="AA60" s="1616">
        <f t="shared" si="42"/>
        <v>0.5</v>
      </c>
      <c r="AB60" s="1616">
        <f t="shared" si="43"/>
        <v>0.5</v>
      </c>
      <c r="AC60" s="1617">
        <f t="shared" si="44"/>
        <v>0</v>
      </c>
      <c r="AD60" s="1616">
        <f t="shared" si="45"/>
        <v>0</v>
      </c>
      <c r="AE60" s="1616">
        <f t="shared" si="46"/>
        <v>0</v>
      </c>
      <c r="AG60" s="1645" t="s">
        <v>1449</v>
      </c>
      <c r="AH60" s="1691" t="s">
        <v>311</v>
      </c>
      <c r="AI60" s="2061" t="s">
        <v>1450</v>
      </c>
      <c r="AJ60" s="1634">
        <v>0.5</v>
      </c>
      <c r="AK60" s="1634">
        <v>0.5</v>
      </c>
      <c r="AL60" s="1634">
        <v>0.5</v>
      </c>
      <c r="AM60" s="1634">
        <v>0.5</v>
      </c>
      <c r="AN60" s="1634">
        <v>1</v>
      </c>
      <c r="AO60" s="1634">
        <v>1</v>
      </c>
      <c r="AP60" s="1634"/>
      <c r="AQ60" s="1635">
        <v>0.5</v>
      </c>
      <c r="AR60" s="1634">
        <v>0.5</v>
      </c>
      <c r="AS60" s="1621">
        <v>0.5</v>
      </c>
      <c r="AT60" s="1623"/>
      <c r="AU60" s="1621"/>
      <c r="AV60" s="1621"/>
      <c r="AX60" s="1645" t="s">
        <v>1449</v>
      </c>
      <c r="AY60" s="1691" t="s">
        <v>311</v>
      </c>
      <c r="AZ60" s="2061" t="s">
        <v>1450</v>
      </c>
      <c r="BA60" s="1634">
        <v>0.5</v>
      </c>
      <c r="BB60" s="1634">
        <v>0.5</v>
      </c>
      <c r="BC60" s="1634">
        <v>0.5</v>
      </c>
      <c r="BD60" s="1634">
        <v>0.5</v>
      </c>
      <c r="BE60" s="1634">
        <v>1</v>
      </c>
      <c r="BF60" s="1634">
        <v>1</v>
      </c>
      <c r="BG60" s="1634"/>
      <c r="BH60" s="1635">
        <v>0.5</v>
      </c>
      <c r="BI60" s="1634">
        <v>0.5</v>
      </c>
      <c r="BJ60" s="1634">
        <v>0.5</v>
      </c>
      <c r="BK60" s="1636"/>
      <c r="BL60" s="1634"/>
      <c r="BM60" s="1634"/>
      <c r="BO60" s="1645" t="s">
        <v>1449</v>
      </c>
      <c r="BP60" s="1691" t="s">
        <v>311</v>
      </c>
      <c r="BQ60" s="2061" t="s">
        <v>1450</v>
      </c>
      <c r="BR60" s="1634">
        <v>0.5</v>
      </c>
      <c r="BS60" s="1634">
        <v>0.5</v>
      </c>
      <c r="BT60" s="1634">
        <v>0.5</v>
      </c>
      <c r="BU60" s="1634">
        <v>0.5</v>
      </c>
      <c r="BV60" s="1634">
        <v>1</v>
      </c>
      <c r="BW60" s="1634">
        <v>1</v>
      </c>
      <c r="BX60" s="1634"/>
      <c r="BY60" s="1635">
        <v>0.5</v>
      </c>
      <c r="BZ60" s="1634">
        <v>0.5</v>
      </c>
      <c r="CA60" s="1634">
        <v>0.5</v>
      </c>
      <c r="CB60" s="1636"/>
      <c r="CC60" s="1634"/>
      <c r="CD60" s="1634"/>
    </row>
    <row r="61" spans="1:83" s="1603" customFormat="1">
      <c r="A61"/>
      <c r="B61" s="1595" t="str">
        <f t="shared" si="47"/>
        <v>Q2</v>
      </c>
      <c r="C61" s="1595" t="str">
        <f t="shared" si="26"/>
        <v>サービス性能</v>
      </c>
      <c r="D61" s="2053" t="e">
        <f>IF(I$8=0,0,G61/I$8)</f>
        <v>#DIV/0!</v>
      </c>
      <c r="E61" s="2054" t="e">
        <f>IF(J$8=0,0,H61/J$8)</f>
        <v>#DIV/0!</v>
      </c>
      <c r="F61"/>
      <c r="G61" s="2054" t="e">
        <f t="shared" si="27"/>
        <v>#DIV/0!</v>
      </c>
      <c r="H61" s="2054" t="e">
        <f t="shared" si="28"/>
        <v>#DIV/0!</v>
      </c>
      <c r="I61" s="2054" t="e">
        <f>G62+G75+G97</f>
        <v>#DIV/0!</v>
      </c>
      <c r="J61" s="2054" t="e">
        <f>H62+H75+H97</f>
        <v>#DIV/0!</v>
      </c>
      <c r="K61" s="2054" t="e">
        <f>IF(スコア表示!W61=0,0,1)</f>
        <v>#DIV/0!</v>
      </c>
      <c r="L61" s="2054">
        <f>IF(スコア表示!AA61=0,0,1)</f>
        <v>0</v>
      </c>
      <c r="M61" s="2054" t="e">
        <f t="shared" si="29"/>
        <v>#DIV/0!</v>
      </c>
      <c r="N61" s="2054" t="e">
        <f t="shared" si="30"/>
        <v>#DIV/0!</v>
      </c>
      <c r="O61"/>
      <c r="P61" s="1595" t="str">
        <f t="shared" si="31"/>
        <v>Q2</v>
      </c>
      <c r="Q61" s="1595" t="str">
        <f t="shared" si="32"/>
        <v xml:space="preserve"> Q</v>
      </c>
      <c r="R61" s="2055" t="str">
        <f t="shared" si="33"/>
        <v>サービス性能</v>
      </c>
      <c r="S61" s="1601">
        <f t="shared" si="34"/>
        <v>0.3</v>
      </c>
      <c r="T61" s="1601">
        <f t="shared" si="35"/>
        <v>0.3</v>
      </c>
      <c r="U61" s="1601">
        <f t="shared" si="36"/>
        <v>0.3</v>
      </c>
      <c r="V61" s="1601">
        <f t="shared" si="37"/>
        <v>0.3</v>
      </c>
      <c r="W61" s="1601">
        <f t="shared" si="38"/>
        <v>0.3</v>
      </c>
      <c r="X61" s="1601">
        <f t="shared" si="39"/>
        <v>0.3</v>
      </c>
      <c r="Y61" s="1601">
        <f t="shared" si="40"/>
        <v>0.3</v>
      </c>
      <c r="Z61" s="1601">
        <f t="shared" si="41"/>
        <v>0.3</v>
      </c>
      <c r="AA61" s="1601">
        <f t="shared" si="42"/>
        <v>0.3</v>
      </c>
      <c r="AB61" s="1601">
        <f t="shared" si="43"/>
        <v>0.3</v>
      </c>
      <c r="AC61" s="1656">
        <f t="shared" si="44"/>
        <v>0</v>
      </c>
      <c r="AD61" s="1601">
        <f t="shared" si="45"/>
        <v>0</v>
      </c>
      <c r="AE61" s="1601">
        <f t="shared" si="46"/>
        <v>0</v>
      </c>
      <c r="AF61"/>
      <c r="AG61" s="1595" t="s">
        <v>1451</v>
      </c>
      <c r="AH61" s="2056" t="s">
        <v>270</v>
      </c>
      <c r="AI61" s="2055" t="s">
        <v>1452</v>
      </c>
      <c r="AJ61" s="1601">
        <v>0.3</v>
      </c>
      <c r="AK61" s="1601">
        <v>0.3</v>
      </c>
      <c r="AL61" s="1601">
        <v>0.3</v>
      </c>
      <c r="AM61" s="1601">
        <v>0.3</v>
      </c>
      <c r="AN61" s="1601">
        <v>0.3</v>
      </c>
      <c r="AO61" s="1601">
        <v>0.3</v>
      </c>
      <c r="AP61" s="1601">
        <v>0.3</v>
      </c>
      <c r="AQ61" s="1601">
        <v>0.3</v>
      </c>
      <c r="AR61" s="1601">
        <v>0.3</v>
      </c>
      <c r="AS61" s="2057">
        <v>0.3</v>
      </c>
      <c r="AT61" s="2058">
        <v>0</v>
      </c>
      <c r="AU61" s="2057">
        <v>0</v>
      </c>
      <c r="AV61" s="2057">
        <v>0</v>
      </c>
      <c r="AW61"/>
      <c r="AX61" s="1595" t="s">
        <v>1451</v>
      </c>
      <c r="AY61" s="2056" t="s">
        <v>270</v>
      </c>
      <c r="AZ61" s="2055" t="s">
        <v>1452</v>
      </c>
      <c r="BA61" s="2057">
        <v>0.3</v>
      </c>
      <c r="BB61" s="2057">
        <v>0.3</v>
      </c>
      <c r="BC61" s="2057">
        <v>0.3</v>
      </c>
      <c r="BD61" s="2057">
        <v>0.3</v>
      </c>
      <c r="BE61" s="2057">
        <v>0.3</v>
      </c>
      <c r="BF61" s="2057">
        <v>0.3</v>
      </c>
      <c r="BG61" s="2057">
        <v>0.3</v>
      </c>
      <c r="BH61" s="2057">
        <v>0.3</v>
      </c>
      <c r="BI61" s="2057">
        <v>0.3</v>
      </c>
      <c r="BJ61" s="2057">
        <v>0.3</v>
      </c>
      <c r="BK61" s="2058"/>
      <c r="BL61" s="2057"/>
      <c r="BM61" s="2057"/>
      <c r="BN61"/>
      <c r="BO61" s="1595" t="s">
        <v>1451</v>
      </c>
      <c r="BP61" s="2056" t="s">
        <v>270</v>
      </c>
      <c r="BQ61" s="2055" t="s">
        <v>1452</v>
      </c>
      <c r="BR61" s="2057">
        <v>0.3</v>
      </c>
      <c r="BS61" s="2057">
        <v>0.3</v>
      </c>
      <c r="BT61" s="2057">
        <v>0.3</v>
      </c>
      <c r="BU61" s="2057">
        <v>0.3</v>
      </c>
      <c r="BV61" s="2057">
        <v>0.3</v>
      </c>
      <c r="BW61" s="2057">
        <v>0.3</v>
      </c>
      <c r="BX61" s="2057">
        <v>0.3</v>
      </c>
      <c r="BY61" s="2057">
        <v>0.3</v>
      </c>
      <c r="BZ61" s="2057">
        <v>0.3</v>
      </c>
      <c r="CA61" s="2057">
        <v>0.3</v>
      </c>
      <c r="CB61" s="2058"/>
      <c r="CC61" s="2057"/>
      <c r="CD61" s="2057"/>
      <c r="CE61"/>
    </row>
    <row r="62" spans="1:83" s="1603" customFormat="1">
      <c r="A62"/>
      <c r="B62" s="1595">
        <f t="shared" si="47"/>
        <v>1</v>
      </c>
      <c r="C62" s="1639" t="str">
        <f t="shared" si="26"/>
        <v>機能性</v>
      </c>
      <c r="D62" s="2059" t="e">
        <f>IF(I$61=0,0,G62/I$61)</f>
        <v>#DIV/0!</v>
      </c>
      <c r="E62" s="1741" t="e">
        <f>IF(J$61=0,0,H62/J$61)</f>
        <v>#DIV/0!</v>
      </c>
      <c r="F62"/>
      <c r="G62" s="1741" t="e">
        <f t="shared" si="27"/>
        <v>#DIV/0!</v>
      </c>
      <c r="H62" s="1741" t="e">
        <f t="shared" si="28"/>
        <v>#DIV/0!</v>
      </c>
      <c r="I62" s="1741" t="e">
        <f>G63+G67+G71</f>
        <v>#DIV/0!</v>
      </c>
      <c r="J62" s="1741" t="e">
        <f>H63+H67+H71</f>
        <v>#DIV/0!</v>
      </c>
      <c r="K62" s="1741" t="e">
        <f>IF(スコア表示!W62=0,0,1)</f>
        <v>#DIV/0!</v>
      </c>
      <c r="L62" s="1741" t="e">
        <f>IF(スコア表示!AA62=0,0,1)</f>
        <v>#DIV/0!</v>
      </c>
      <c r="M62" s="1741" t="e">
        <f t="shared" si="29"/>
        <v>#DIV/0!</v>
      </c>
      <c r="N62" s="1741">
        <v>1</v>
      </c>
      <c r="O62"/>
      <c r="P62" s="1639">
        <f t="shared" si="31"/>
        <v>1</v>
      </c>
      <c r="Q62" s="1639" t="str">
        <f t="shared" si="32"/>
        <v xml:space="preserve"> Q2</v>
      </c>
      <c r="R62" s="1778" t="str">
        <f t="shared" si="33"/>
        <v>機能性</v>
      </c>
      <c r="S62" s="1641">
        <f t="shared" si="34"/>
        <v>0.4</v>
      </c>
      <c r="T62" s="1641">
        <f t="shared" si="35"/>
        <v>0.4</v>
      </c>
      <c r="U62" s="1641">
        <f t="shared" si="36"/>
        <v>0.4</v>
      </c>
      <c r="V62" s="1641">
        <f t="shared" si="37"/>
        <v>0.4</v>
      </c>
      <c r="W62" s="1641">
        <f t="shared" si="38"/>
        <v>0.4</v>
      </c>
      <c r="X62" s="1641">
        <f t="shared" si="39"/>
        <v>0.4</v>
      </c>
      <c r="Y62" s="1641">
        <f t="shared" si="40"/>
        <v>0.4</v>
      </c>
      <c r="Z62" s="1627">
        <f t="shared" si="41"/>
        <v>0.4</v>
      </c>
      <c r="AA62" s="1641">
        <f t="shared" si="42"/>
        <v>0.4</v>
      </c>
      <c r="AB62" s="1641">
        <f t="shared" si="43"/>
        <v>0.4</v>
      </c>
      <c r="AC62" s="1688">
        <f t="shared" si="44"/>
        <v>0</v>
      </c>
      <c r="AD62" s="1641">
        <f t="shared" si="45"/>
        <v>0</v>
      </c>
      <c r="AE62" s="1641">
        <f t="shared" si="46"/>
        <v>0</v>
      </c>
      <c r="AF62"/>
      <c r="AG62" s="1639">
        <v>1</v>
      </c>
      <c r="AH62" s="1742" t="s">
        <v>312</v>
      </c>
      <c r="AI62" s="1778" t="s">
        <v>313</v>
      </c>
      <c r="AJ62" s="1641">
        <v>0.4</v>
      </c>
      <c r="AK62" s="1641">
        <v>0.4</v>
      </c>
      <c r="AL62" s="1641">
        <v>0.4</v>
      </c>
      <c r="AM62" s="1641">
        <v>0.4</v>
      </c>
      <c r="AN62" s="1641">
        <v>0.4</v>
      </c>
      <c r="AO62" s="1641">
        <v>0.4</v>
      </c>
      <c r="AP62" s="1641">
        <v>0.4</v>
      </c>
      <c r="AQ62" s="1627">
        <v>0.4</v>
      </c>
      <c r="AR62" s="1641">
        <v>0.4</v>
      </c>
      <c r="AS62" s="2076">
        <v>0.4</v>
      </c>
      <c r="AT62" s="2077"/>
      <c r="AU62" s="2076"/>
      <c r="AV62" s="2076"/>
      <c r="AW62"/>
      <c r="AX62" s="1639">
        <v>1</v>
      </c>
      <c r="AY62" s="1742" t="s">
        <v>312</v>
      </c>
      <c r="AZ62" s="1778" t="s">
        <v>313</v>
      </c>
      <c r="BA62" s="2076">
        <v>0.4</v>
      </c>
      <c r="BB62" s="2076">
        <v>0.4</v>
      </c>
      <c r="BC62" s="2076">
        <v>0.4</v>
      </c>
      <c r="BD62" s="2076">
        <v>0.4</v>
      </c>
      <c r="BE62" s="2076">
        <v>0.4</v>
      </c>
      <c r="BF62" s="2076">
        <v>0.4</v>
      </c>
      <c r="BG62" s="2076">
        <v>0.4</v>
      </c>
      <c r="BH62" s="2078">
        <v>0.4</v>
      </c>
      <c r="BI62" s="2076">
        <v>0.4</v>
      </c>
      <c r="BJ62" s="2076">
        <v>0.4</v>
      </c>
      <c r="BK62" s="2077"/>
      <c r="BL62" s="2076"/>
      <c r="BM62" s="2076"/>
      <c r="BN62"/>
      <c r="BO62" s="1639">
        <v>1</v>
      </c>
      <c r="BP62" s="1742" t="s">
        <v>312</v>
      </c>
      <c r="BQ62" s="1778" t="s">
        <v>313</v>
      </c>
      <c r="BR62" s="2076">
        <v>0.4</v>
      </c>
      <c r="BS62" s="2076">
        <v>0.4</v>
      </c>
      <c r="BT62" s="2076">
        <v>0.4</v>
      </c>
      <c r="BU62" s="2076">
        <v>0.4</v>
      </c>
      <c r="BV62" s="2076">
        <v>0.4</v>
      </c>
      <c r="BW62" s="2076">
        <v>0.4</v>
      </c>
      <c r="BX62" s="2076">
        <v>0.4</v>
      </c>
      <c r="BY62" s="2078">
        <v>0.4</v>
      </c>
      <c r="BZ62" s="2076">
        <v>0.4</v>
      </c>
      <c r="CA62" s="2076">
        <v>0.4</v>
      </c>
      <c r="CB62" s="2077"/>
      <c r="CC62" s="2076"/>
      <c r="CD62" s="2076"/>
      <c r="CE62"/>
    </row>
    <row r="63" spans="1:83">
      <c r="B63" s="1595">
        <f t="shared" si="47"/>
        <v>1.1000000000000001</v>
      </c>
      <c r="C63" s="1612" t="str">
        <f t="shared" si="26"/>
        <v>機能性・使いやすさ</v>
      </c>
      <c r="D63" s="1714" t="e">
        <f>IF(I$62=0,0,G63/I$62)</f>
        <v>#DIV/0!</v>
      </c>
      <c r="E63" s="1689" t="e">
        <f>IF(J$62=0,0,H63/J$62)</f>
        <v>#DIV/0!</v>
      </c>
      <c r="G63" s="1689" t="e">
        <f t="shared" si="27"/>
        <v>#DIV/0!</v>
      </c>
      <c r="H63" s="1689" t="e">
        <f t="shared" si="28"/>
        <v>#DIV/0!</v>
      </c>
      <c r="I63" s="1689" t="e">
        <f>SUM(G64:G66)</f>
        <v>#DIV/0!</v>
      </c>
      <c r="J63" s="1689" t="e">
        <f>SUM(H64:H66)</f>
        <v>#DIV/0!</v>
      </c>
      <c r="K63" s="1689" t="e">
        <f>IF(スコア表示!W63=0,0,1)</f>
        <v>#DIV/0!</v>
      </c>
      <c r="L63" s="1689" t="e">
        <f>IF(スコア表示!AA63=0,0,1)</f>
        <v>#DIV/0!</v>
      </c>
      <c r="M63" s="1689" t="e">
        <f t="shared" si="29"/>
        <v>#DIV/0!</v>
      </c>
      <c r="N63" s="1689" t="e">
        <f t="shared" si="30"/>
        <v>#DIV/0!</v>
      </c>
      <c r="P63" s="1645">
        <f t="shared" si="31"/>
        <v>1.1000000000000001</v>
      </c>
      <c r="Q63" s="1645" t="str">
        <f t="shared" si="32"/>
        <v xml:space="preserve"> Q2 1</v>
      </c>
      <c r="R63" s="1735" t="str">
        <f t="shared" si="33"/>
        <v>機能性・使いやすさ</v>
      </c>
      <c r="S63" s="1616">
        <f t="shared" si="34"/>
        <v>0.4</v>
      </c>
      <c r="T63" s="1616">
        <f t="shared" si="35"/>
        <v>0.4</v>
      </c>
      <c r="U63" s="1616">
        <f t="shared" si="36"/>
        <v>0.4</v>
      </c>
      <c r="V63" s="1616">
        <f t="shared" si="37"/>
        <v>0.4</v>
      </c>
      <c r="W63" s="1616">
        <f t="shared" si="38"/>
        <v>0.4</v>
      </c>
      <c r="X63" s="1616">
        <f t="shared" si="39"/>
        <v>0.4</v>
      </c>
      <c r="Y63" s="1616">
        <f t="shared" si="40"/>
        <v>0.4</v>
      </c>
      <c r="Z63" s="1629">
        <f t="shared" si="41"/>
        <v>0.4</v>
      </c>
      <c r="AA63" s="1616">
        <f t="shared" si="42"/>
        <v>0.4</v>
      </c>
      <c r="AB63" s="1616">
        <f t="shared" si="43"/>
        <v>0.4</v>
      </c>
      <c r="AC63" s="1617">
        <f t="shared" si="44"/>
        <v>0.6</v>
      </c>
      <c r="AD63" s="1616">
        <f t="shared" si="45"/>
        <v>0.6</v>
      </c>
      <c r="AE63" s="1616">
        <f t="shared" si="46"/>
        <v>0.6</v>
      </c>
      <c r="AG63" s="1645">
        <v>1.1000000000000001</v>
      </c>
      <c r="AH63" s="1691" t="s">
        <v>314</v>
      </c>
      <c r="AI63" s="2061" t="s">
        <v>411</v>
      </c>
      <c r="AJ63" s="1616">
        <v>0.4</v>
      </c>
      <c r="AK63" s="1616">
        <v>0.4</v>
      </c>
      <c r="AL63" s="1616">
        <v>0.4</v>
      </c>
      <c r="AM63" s="2344">
        <v>0.4</v>
      </c>
      <c r="AN63" s="2344">
        <v>0.4</v>
      </c>
      <c r="AO63" s="1616">
        <v>0.4</v>
      </c>
      <c r="AP63" s="2344">
        <v>0.4</v>
      </c>
      <c r="AQ63" s="1616">
        <v>0.4</v>
      </c>
      <c r="AR63" s="2344">
        <v>0.4</v>
      </c>
      <c r="AS63" s="1621">
        <v>0.4</v>
      </c>
      <c r="AT63" s="1621">
        <v>0.6</v>
      </c>
      <c r="AU63" s="1621">
        <v>0.6</v>
      </c>
      <c r="AV63" s="1621">
        <v>0.6</v>
      </c>
      <c r="AX63" s="1645">
        <v>1.1000000000000001</v>
      </c>
      <c r="AY63" s="1691" t="s">
        <v>314</v>
      </c>
      <c r="AZ63" s="2061" t="s">
        <v>411</v>
      </c>
      <c r="BA63" s="1621">
        <v>0.4</v>
      </c>
      <c r="BB63" s="1621">
        <v>0.4</v>
      </c>
      <c r="BC63" s="1621">
        <v>0.4</v>
      </c>
      <c r="BD63" s="1621">
        <v>0.4</v>
      </c>
      <c r="BE63" s="1621">
        <v>0.4</v>
      </c>
      <c r="BF63" s="1621">
        <v>0.4</v>
      </c>
      <c r="BG63" s="1621">
        <v>0.4</v>
      </c>
      <c r="BH63" s="1622">
        <v>0.4</v>
      </c>
      <c r="BI63" s="1621">
        <v>0.4</v>
      </c>
      <c r="BJ63" s="1621">
        <v>0.4</v>
      </c>
      <c r="BK63" s="1621">
        <v>0.6</v>
      </c>
      <c r="BL63" s="1621">
        <v>0.6</v>
      </c>
      <c r="BM63" s="1621">
        <v>0.6</v>
      </c>
      <c r="BO63" s="1645">
        <v>1.1000000000000001</v>
      </c>
      <c r="BP63" s="1691" t="s">
        <v>314</v>
      </c>
      <c r="BQ63" s="2061" t="s">
        <v>411</v>
      </c>
      <c r="BR63" s="1621">
        <v>0.4</v>
      </c>
      <c r="BS63" s="1621">
        <v>0.4</v>
      </c>
      <c r="BT63" s="1621">
        <v>0.4</v>
      </c>
      <c r="BU63" s="1621">
        <v>0.4</v>
      </c>
      <c r="BV63" s="1621">
        <v>0.4</v>
      </c>
      <c r="BW63" s="1621">
        <v>0.4</v>
      </c>
      <c r="BX63" s="1621">
        <v>0.4</v>
      </c>
      <c r="BY63" s="1622">
        <v>0.4</v>
      </c>
      <c r="BZ63" s="1621">
        <v>0.4</v>
      </c>
      <c r="CA63" s="1621">
        <v>0.4</v>
      </c>
      <c r="CB63" s="1621">
        <v>0.6</v>
      </c>
      <c r="CC63" s="1621">
        <v>0.6</v>
      </c>
      <c r="CD63" s="1621">
        <v>0.6</v>
      </c>
    </row>
    <row r="64" spans="1:83">
      <c r="B64" s="1595" t="str">
        <f t="shared" si="47"/>
        <v>1.1.1</v>
      </c>
      <c r="C64" s="1612" t="str">
        <f t="shared" si="26"/>
        <v>広さ・収納性</v>
      </c>
      <c r="D64" s="1719" t="e">
        <f t="shared" ref="D64:E66" si="50">IF(I$63&gt;0,G64/I$63,0)</f>
        <v>#DIV/0!</v>
      </c>
      <c r="E64" s="1689" t="e">
        <f t="shared" si="50"/>
        <v>#DIV/0!</v>
      </c>
      <c r="G64" s="1689" t="e">
        <f t="shared" si="27"/>
        <v>#DIV/0!</v>
      </c>
      <c r="H64" s="1689" t="e">
        <f t="shared" si="28"/>
        <v>#DIV/0!</v>
      </c>
      <c r="I64" s="1689"/>
      <c r="J64" s="1689"/>
      <c r="K64" s="1689">
        <f>IF(スコア表示!W64=0,0,1)</f>
        <v>1</v>
      </c>
      <c r="L64" s="1689">
        <f>IF(スコア表示!AA64=0,0,1)</f>
        <v>1</v>
      </c>
      <c r="M64" s="1689" t="e">
        <f t="shared" si="29"/>
        <v>#DIV/0!</v>
      </c>
      <c r="N64" s="1689" t="e">
        <f t="shared" si="30"/>
        <v>#DIV/0!</v>
      </c>
      <c r="P64" s="1645" t="str">
        <f t="shared" si="31"/>
        <v>1.1.1</v>
      </c>
      <c r="Q64" s="1645" t="str">
        <f t="shared" si="32"/>
        <v xml:space="preserve"> Q2 1.1</v>
      </c>
      <c r="R64" s="1735" t="str">
        <f t="shared" si="33"/>
        <v>広さ・収納性</v>
      </c>
      <c r="S64" s="1616">
        <f t="shared" si="34"/>
        <v>0.33333333333333331</v>
      </c>
      <c r="T64" s="1616">
        <f t="shared" si="35"/>
        <v>0</v>
      </c>
      <c r="U64" s="1616">
        <f t="shared" si="36"/>
        <v>0</v>
      </c>
      <c r="V64" s="1616">
        <f t="shared" si="37"/>
        <v>0</v>
      </c>
      <c r="W64" s="1616">
        <f t="shared" si="38"/>
        <v>0</v>
      </c>
      <c r="X64" s="1616">
        <f t="shared" si="39"/>
        <v>0</v>
      </c>
      <c r="Y64" s="1616">
        <f t="shared" si="40"/>
        <v>0</v>
      </c>
      <c r="Z64" s="1629">
        <f t="shared" si="41"/>
        <v>0</v>
      </c>
      <c r="AA64" s="1616">
        <f t="shared" si="42"/>
        <v>0.33333333333333331</v>
      </c>
      <c r="AB64" s="1616">
        <f t="shared" si="43"/>
        <v>0.5</v>
      </c>
      <c r="AC64" s="1617">
        <f t="shared" si="44"/>
        <v>1</v>
      </c>
      <c r="AD64" s="1616">
        <f t="shared" si="45"/>
        <v>0.5</v>
      </c>
      <c r="AE64" s="1616">
        <f t="shared" si="46"/>
        <v>0</v>
      </c>
      <c r="AG64" s="1645" t="s">
        <v>1453</v>
      </c>
      <c r="AH64" s="1691" t="s">
        <v>315</v>
      </c>
      <c r="AI64" s="2061" t="s">
        <v>316</v>
      </c>
      <c r="AJ64" s="1637">
        <v>0.33333333333333331</v>
      </c>
      <c r="AK64" s="1616"/>
      <c r="AL64" s="1616"/>
      <c r="AM64" s="1616"/>
      <c r="AN64" s="1616"/>
      <c r="AO64" s="1616"/>
      <c r="AP64" s="1616"/>
      <c r="AQ64" s="1629"/>
      <c r="AR64" s="1637">
        <v>0.33333333333333331</v>
      </c>
      <c r="AS64" s="2347">
        <v>0.5</v>
      </c>
      <c r="AT64" s="1623">
        <v>1</v>
      </c>
      <c r="AU64" s="1621">
        <v>0.5</v>
      </c>
      <c r="AV64" s="1621"/>
      <c r="AX64" s="1645" t="s">
        <v>1453</v>
      </c>
      <c r="AY64" s="1691" t="s">
        <v>315</v>
      </c>
      <c r="AZ64" s="2061" t="s">
        <v>316</v>
      </c>
      <c r="BA64" s="1621">
        <v>0.33333333333333331</v>
      </c>
      <c r="BB64" s="1621"/>
      <c r="BC64" s="1621"/>
      <c r="BD64" s="1621"/>
      <c r="BE64" s="1621"/>
      <c r="BF64" s="1621"/>
      <c r="BG64" s="1621"/>
      <c r="BH64" s="1622"/>
      <c r="BI64" s="1621">
        <v>0.33333333333333331</v>
      </c>
      <c r="BJ64" s="1621"/>
      <c r="BK64" s="1623">
        <v>1</v>
      </c>
      <c r="BL64" s="1621">
        <v>0.5</v>
      </c>
      <c r="BM64" s="1621"/>
      <c r="BO64" s="1645" t="s">
        <v>1453</v>
      </c>
      <c r="BP64" s="1691" t="s">
        <v>315</v>
      </c>
      <c r="BQ64" s="2061" t="s">
        <v>316</v>
      </c>
      <c r="BR64" s="1621">
        <v>0.33333333333333331</v>
      </c>
      <c r="BS64" s="1621"/>
      <c r="BT64" s="1621"/>
      <c r="BU64" s="1621"/>
      <c r="BV64" s="1621"/>
      <c r="BW64" s="1621"/>
      <c r="BX64" s="1621"/>
      <c r="BY64" s="1622"/>
      <c r="BZ64" s="1621">
        <v>0.33333333333333331</v>
      </c>
      <c r="CA64" s="1621"/>
      <c r="CB64" s="1623">
        <v>1</v>
      </c>
      <c r="CC64" s="1621">
        <v>0.5</v>
      </c>
      <c r="CD64" s="1621"/>
    </row>
    <row r="65" spans="1:94">
      <c r="B65" s="1595" t="str">
        <f t="shared" si="47"/>
        <v>1.1.2</v>
      </c>
      <c r="C65" s="1612" t="str">
        <f t="shared" si="26"/>
        <v>高度情報通信設備対応</v>
      </c>
      <c r="D65" s="1719" t="e">
        <f t="shared" si="50"/>
        <v>#DIV/0!</v>
      </c>
      <c r="E65" s="1689" t="e">
        <f t="shared" si="50"/>
        <v>#DIV/0!</v>
      </c>
      <c r="G65" s="1689" t="e">
        <f t="shared" si="27"/>
        <v>#DIV/0!</v>
      </c>
      <c r="H65" s="1689" t="e">
        <f t="shared" si="28"/>
        <v>#DIV/0!</v>
      </c>
      <c r="I65" s="1689"/>
      <c r="J65" s="1689"/>
      <c r="K65" s="1689">
        <f>IF(スコア表示!W65=0,0,1)</f>
        <v>1</v>
      </c>
      <c r="L65" s="1689">
        <f>IF(スコア表示!AA65=0,0,1)</f>
        <v>0</v>
      </c>
      <c r="M65" s="1689" t="e">
        <f t="shared" si="29"/>
        <v>#DIV/0!</v>
      </c>
      <c r="N65" s="1689" t="e">
        <f t="shared" si="30"/>
        <v>#DIV/0!</v>
      </c>
      <c r="P65" s="1645" t="str">
        <f t="shared" si="31"/>
        <v>1.1.2</v>
      </c>
      <c r="Q65" s="1645" t="str">
        <f t="shared" si="32"/>
        <v xml:space="preserve"> Q2 1.1</v>
      </c>
      <c r="R65" s="1735" t="str">
        <f t="shared" si="33"/>
        <v>高度情報通信設備対応</v>
      </c>
      <c r="S65" s="1616">
        <f t="shared" si="34"/>
        <v>0.33333333333333331</v>
      </c>
      <c r="T65" s="1616">
        <f t="shared" si="35"/>
        <v>0</v>
      </c>
      <c r="U65" s="1616">
        <f t="shared" si="36"/>
        <v>0</v>
      </c>
      <c r="V65" s="1616">
        <f t="shared" si="37"/>
        <v>0</v>
      </c>
      <c r="W65" s="1616">
        <f t="shared" si="38"/>
        <v>0</v>
      </c>
      <c r="X65" s="1616">
        <f t="shared" si="39"/>
        <v>0</v>
      </c>
      <c r="Y65" s="1616">
        <f t="shared" si="40"/>
        <v>0</v>
      </c>
      <c r="Z65" s="1629">
        <f t="shared" si="41"/>
        <v>0</v>
      </c>
      <c r="AA65" s="1616">
        <f t="shared" si="42"/>
        <v>0.33333333333333331</v>
      </c>
      <c r="AB65" s="1616">
        <f t="shared" si="43"/>
        <v>0</v>
      </c>
      <c r="AC65" s="1617">
        <f t="shared" si="44"/>
        <v>0</v>
      </c>
      <c r="AD65" s="1616">
        <f t="shared" si="45"/>
        <v>0.5</v>
      </c>
      <c r="AE65" s="1616">
        <f t="shared" si="46"/>
        <v>1</v>
      </c>
      <c r="AG65" s="1645" t="s">
        <v>1454</v>
      </c>
      <c r="AH65" s="1691" t="s">
        <v>315</v>
      </c>
      <c r="AI65" s="2061" t="s">
        <v>1455</v>
      </c>
      <c r="AJ65" s="1637">
        <v>0.33333333333333331</v>
      </c>
      <c r="AK65" s="1616"/>
      <c r="AL65" s="1616"/>
      <c r="AM65" s="1616"/>
      <c r="AN65" s="1616"/>
      <c r="AO65" s="1616"/>
      <c r="AP65" s="1616"/>
      <c r="AQ65" s="1629"/>
      <c r="AR65" s="1637">
        <v>0.33333333333333331</v>
      </c>
      <c r="AS65" s="2347"/>
      <c r="AT65" s="1623"/>
      <c r="AU65" s="1621">
        <v>0.5</v>
      </c>
      <c r="AV65" s="1621">
        <v>1</v>
      </c>
      <c r="AX65" s="1645" t="s">
        <v>1454</v>
      </c>
      <c r="AY65" s="1691" t="s">
        <v>315</v>
      </c>
      <c r="AZ65" s="2061" t="s">
        <v>1455</v>
      </c>
      <c r="BA65" s="1621">
        <v>0.33333333333333331</v>
      </c>
      <c r="BB65" s="1621"/>
      <c r="BC65" s="1621"/>
      <c r="BD65" s="1621"/>
      <c r="BE65" s="1621"/>
      <c r="BF65" s="1621"/>
      <c r="BG65" s="1621"/>
      <c r="BH65" s="1622"/>
      <c r="BI65" s="1621">
        <v>0.33333333333333331</v>
      </c>
      <c r="BJ65" s="1621"/>
      <c r="BK65" s="1623"/>
      <c r="BL65" s="1621">
        <v>0.5</v>
      </c>
      <c r="BM65" s="1621">
        <v>1</v>
      </c>
      <c r="BO65" s="1645" t="s">
        <v>1454</v>
      </c>
      <c r="BP65" s="1691" t="s">
        <v>315</v>
      </c>
      <c r="BQ65" s="2061" t="s">
        <v>1455</v>
      </c>
      <c r="BR65" s="1621">
        <v>0.33333333333333331</v>
      </c>
      <c r="BS65" s="1621"/>
      <c r="BT65" s="1621"/>
      <c r="BU65" s="1621"/>
      <c r="BV65" s="1621"/>
      <c r="BW65" s="1621"/>
      <c r="BX65" s="1621"/>
      <c r="BY65" s="1622"/>
      <c r="BZ65" s="1621">
        <v>0.33333333333333331</v>
      </c>
      <c r="CA65" s="1621"/>
      <c r="CB65" s="1623"/>
      <c r="CC65" s="1621">
        <v>0.5</v>
      </c>
      <c r="CD65" s="1621">
        <v>1</v>
      </c>
    </row>
    <row r="66" spans="1:94">
      <c r="B66" s="1595" t="str">
        <f t="shared" si="47"/>
        <v>1.1.3</v>
      </c>
      <c r="C66" s="1612" t="str">
        <f t="shared" si="26"/>
        <v>バリアフリー計画</v>
      </c>
      <c r="D66" s="1719" t="e">
        <f t="shared" si="50"/>
        <v>#DIV/0!</v>
      </c>
      <c r="E66" s="1689" t="e">
        <f t="shared" si="50"/>
        <v>#DIV/0!</v>
      </c>
      <c r="G66" s="1689" t="e">
        <f t="shared" si="27"/>
        <v>#DIV/0!</v>
      </c>
      <c r="H66" s="1689" t="e">
        <f t="shared" si="28"/>
        <v>#DIV/0!</v>
      </c>
      <c r="I66" s="1689"/>
      <c r="J66" s="1689"/>
      <c r="K66" s="1689">
        <f>IF(スコア表示!W66=0,0,1)</f>
        <v>1</v>
      </c>
      <c r="L66" s="1689">
        <f>IF(スコア表示!AA66=0,0,1)</f>
        <v>0</v>
      </c>
      <c r="M66" s="1689" t="e">
        <f t="shared" si="29"/>
        <v>#DIV/0!</v>
      </c>
      <c r="N66" s="1689" t="e">
        <f t="shared" si="30"/>
        <v>#DIV/0!</v>
      </c>
      <c r="P66" s="1645" t="str">
        <f t="shared" si="31"/>
        <v>1.1.3</v>
      </c>
      <c r="Q66" s="1645" t="str">
        <f t="shared" si="32"/>
        <v xml:space="preserve"> Q2 1.1</v>
      </c>
      <c r="R66" s="1735" t="str">
        <f t="shared" si="33"/>
        <v>バリアフリー計画</v>
      </c>
      <c r="S66" s="1616">
        <f t="shared" si="34"/>
        <v>0.33333333333333331</v>
      </c>
      <c r="T66" s="1616">
        <f t="shared" si="35"/>
        <v>1</v>
      </c>
      <c r="U66" s="1616">
        <f t="shared" si="36"/>
        <v>1</v>
      </c>
      <c r="V66" s="1616">
        <f t="shared" si="37"/>
        <v>1</v>
      </c>
      <c r="W66" s="1616">
        <f t="shared" si="38"/>
        <v>1</v>
      </c>
      <c r="X66" s="1616">
        <f t="shared" si="39"/>
        <v>1</v>
      </c>
      <c r="Y66" s="1616">
        <f t="shared" si="40"/>
        <v>1</v>
      </c>
      <c r="Z66" s="1629">
        <f t="shared" si="41"/>
        <v>1</v>
      </c>
      <c r="AA66" s="1616">
        <f t="shared" si="42"/>
        <v>0.33333333333333331</v>
      </c>
      <c r="AB66" s="1616">
        <f t="shared" si="43"/>
        <v>0.5</v>
      </c>
      <c r="AC66" s="1617">
        <f t="shared" si="44"/>
        <v>0</v>
      </c>
      <c r="AD66" s="1616">
        <f t="shared" si="45"/>
        <v>0</v>
      </c>
      <c r="AE66" s="1616">
        <f t="shared" si="46"/>
        <v>0</v>
      </c>
      <c r="AG66" s="1645" t="s">
        <v>1456</v>
      </c>
      <c r="AH66" s="1691" t="s">
        <v>315</v>
      </c>
      <c r="AI66" s="2061" t="s">
        <v>317</v>
      </c>
      <c r="AJ66" s="1637">
        <v>0.33333333333333331</v>
      </c>
      <c r="AK66" s="1616">
        <v>1</v>
      </c>
      <c r="AL66" s="1616">
        <v>1</v>
      </c>
      <c r="AM66" s="1616">
        <v>1</v>
      </c>
      <c r="AN66" s="1616">
        <v>1</v>
      </c>
      <c r="AO66" s="1616">
        <v>1</v>
      </c>
      <c r="AP66" s="1616">
        <v>1</v>
      </c>
      <c r="AQ66" s="1629">
        <v>1</v>
      </c>
      <c r="AR66" s="1637">
        <v>0.33333333333333331</v>
      </c>
      <c r="AS66" s="2347">
        <v>0.5</v>
      </c>
      <c r="AT66" s="1623"/>
      <c r="AU66" s="1621"/>
      <c r="AV66" s="1621"/>
      <c r="AX66" s="1645" t="s">
        <v>1456</v>
      </c>
      <c r="AY66" s="1691" t="s">
        <v>315</v>
      </c>
      <c r="AZ66" s="2061" t="s">
        <v>317</v>
      </c>
      <c r="BA66" s="1621">
        <v>0.33333333333333331</v>
      </c>
      <c r="BB66" s="1621">
        <v>1</v>
      </c>
      <c r="BC66" s="1621">
        <v>1</v>
      </c>
      <c r="BD66" s="1621">
        <v>1</v>
      </c>
      <c r="BE66" s="1621">
        <v>1</v>
      </c>
      <c r="BF66" s="1621">
        <v>1</v>
      </c>
      <c r="BG66" s="1621">
        <v>1</v>
      </c>
      <c r="BH66" s="1622">
        <v>1</v>
      </c>
      <c r="BI66" s="1621">
        <v>0.33333333333333331</v>
      </c>
      <c r="BJ66" s="1621">
        <v>1</v>
      </c>
      <c r="BK66" s="1623"/>
      <c r="BL66" s="1621"/>
      <c r="BM66" s="1621"/>
      <c r="BO66" s="1645" t="s">
        <v>1456</v>
      </c>
      <c r="BP66" s="1691" t="s">
        <v>315</v>
      </c>
      <c r="BQ66" s="2061" t="s">
        <v>317</v>
      </c>
      <c r="BR66" s="1621">
        <v>0.33333333333333331</v>
      </c>
      <c r="BS66" s="1621">
        <v>1</v>
      </c>
      <c r="BT66" s="1621">
        <v>1</v>
      </c>
      <c r="BU66" s="1621">
        <v>1</v>
      </c>
      <c r="BV66" s="1621">
        <v>1</v>
      </c>
      <c r="BW66" s="1621">
        <v>1</v>
      </c>
      <c r="BX66" s="1621">
        <v>1</v>
      </c>
      <c r="BY66" s="1622">
        <v>1</v>
      </c>
      <c r="BZ66" s="1621">
        <v>0.33333333333333331</v>
      </c>
      <c r="CA66" s="1621">
        <v>1</v>
      </c>
      <c r="CB66" s="1623"/>
      <c r="CC66" s="1621"/>
      <c r="CD66" s="1621"/>
    </row>
    <row r="67" spans="1:94">
      <c r="B67" s="1595">
        <f t="shared" si="47"/>
        <v>1.2</v>
      </c>
      <c r="C67" s="1612" t="str">
        <f t="shared" si="26"/>
        <v>心理性・快適性</v>
      </c>
      <c r="D67" s="1714" t="e">
        <f>IF(I$62=0,0,G67/I$62)</f>
        <v>#DIV/0!</v>
      </c>
      <c r="E67" s="1689" t="e">
        <f>IF(J$62=0,0,H67/J$62)</f>
        <v>#DIV/0!</v>
      </c>
      <c r="G67" s="1689" t="e">
        <f t="shared" si="27"/>
        <v>#DIV/0!</v>
      </c>
      <c r="H67" s="1689" t="e">
        <f t="shared" si="28"/>
        <v>#DIV/0!</v>
      </c>
      <c r="I67" s="1689" t="e">
        <f>G68+G69+G70</f>
        <v>#DIV/0!</v>
      </c>
      <c r="J67" s="1689" t="e">
        <f>H68+H69+H70</f>
        <v>#DIV/0!</v>
      </c>
      <c r="K67" s="1689" t="e">
        <f>IF(スコア表示!W67=0,0,1)</f>
        <v>#DIV/0!</v>
      </c>
      <c r="L67" s="1689" t="e">
        <f>IF(スコア表示!AA67=0,0,1)</f>
        <v>#DIV/0!</v>
      </c>
      <c r="M67" s="1689" t="e">
        <f t="shared" si="29"/>
        <v>#DIV/0!</v>
      </c>
      <c r="N67" s="1689" t="e">
        <f t="shared" si="30"/>
        <v>#DIV/0!</v>
      </c>
      <c r="P67" s="1645">
        <f t="shared" si="31"/>
        <v>1.2</v>
      </c>
      <c r="Q67" s="1645" t="str">
        <f t="shared" si="32"/>
        <v xml:space="preserve"> Q2 1</v>
      </c>
      <c r="R67" s="1735" t="str">
        <f t="shared" si="33"/>
        <v>心理性・快適性</v>
      </c>
      <c r="S67" s="1616">
        <f t="shared" si="34"/>
        <v>0.3</v>
      </c>
      <c r="T67" s="1616">
        <f t="shared" si="35"/>
        <v>0.3</v>
      </c>
      <c r="U67" s="1616">
        <f t="shared" si="36"/>
        <v>0.3</v>
      </c>
      <c r="V67" s="1616">
        <f t="shared" si="37"/>
        <v>0.3</v>
      </c>
      <c r="W67" s="1616">
        <f t="shared" si="38"/>
        <v>0.3</v>
      </c>
      <c r="X67" s="1616">
        <f t="shared" si="39"/>
        <v>0.3</v>
      </c>
      <c r="Y67" s="1616">
        <f t="shared" si="40"/>
        <v>0.3</v>
      </c>
      <c r="Z67" s="1629">
        <f t="shared" si="41"/>
        <v>0.3</v>
      </c>
      <c r="AA67" s="1616">
        <f t="shared" si="42"/>
        <v>0.3</v>
      </c>
      <c r="AB67" s="1616">
        <f t="shared" si="43"/>
        <v>0.3</v>
      </c>
      <c r="AC67" s="1617">
        <f t="shared" si="44"/>
        <v>0.4</v>
      </c>
      <c r="AD67" s="1616">
        <f t="shared" si="45"/>
        <v>0.4</v>
      </c>
      <c r="AE67" s="1616">
        <f t="shared" si="46"/>
        <v>0.4</v>
      </c>
      <c r="AG67" s="1645">
        <v>1.2</v>
      </c>
      <c r="AH67" s="1691" t="s">
        <v>314</v>
      </c>
      <c r="AI67" s="2061" t="s">
        <v>678</v>
      </c>
      <c r="AJ67" s="1616">
        <v>0.3</v>
      </c>
      <c r="AK67" s="1616">
        <v>0.3</v>
      </c>
      <c r="AL67" s="1616">
        <v>0.3</v>
      </c>
      <c r="AM67" s="2344">
        <v>0.3</v>
      </c>
      <c r="AN67" s="2344">
        <v>0.3</v>
      </c>
      <c r="AO67" s="1616">
        <v>0.3</v>
      </c>
      <c r="AP67" s="2344">
        <v>0.3</v>
      </c>
      <c r="AQ67" s="1616">
        <v>0.3</v>
      </c>
      <c r="AR67" s="2344">
        <v>0.3</v>
      </c>
      <c r="AS67" s="1621">
        <v>0.3</v>
      </c>
      <c r="AT67" s="1621">
        <v>0.4</v>
      </c>
      <c r="AU67" s="1621">
        <v>0.4</v>
      </c>
      <c r="AV67" s="1621">
        <v>0.4</v>
      </c>
      <c r="AX67" s="1645">
        <v>1.2</v>
      </c>
      <c r="AY67" s="1691" t="s">
        <v>314</v>
      </c>
      <c r="AZ67" s="2061" t="s">
        <v>678</v>
      </c>
      <c r="BA67" s="1621">
        <v>0.3</v>
      </c>
      <c r="BB67" s="1621">
        <v>0.3</v>
      </c>
      <c r="BC67" s="1621">
        <v>0.3</v>
      </c>
      <c r="BD67" s="1621">
        <v>0.3</v>
      </c>
      <c r="BE67" s="1621">
        <v>0.3</v>
      </c>
      <c r="BF67" s="1621">
        <v>0.3</v>
      </c>
      <c r="BG67" s="1621">
        <v>0.3</v>
      </c>
      <c r="BH67" s="1622">
        <v>0.3</v>
      </c>
      <c r="BI67" s="1621">
        <v>0.3</v>
      </c>
      <c r="BJ67" s="1621">
        <v>0.3</v>
      </c>
      <c r="BK67" s="1621">
        <v>0.4</v>
      </c>
      <c r="BL67" s="1621">
        <v>0.4</v>
      </c>
      <c r="BM67" s="1621">
        <v>0.4</v>
      </c>
      <c r="BO67" s="1645">
        <v>1.2</v>
      </c>
      <c r="BP67" s="1691" t="s">
        <v>314</v>
      </c>
      <c r="BQ67" s="2061" t="s">
        <v>678</v>
      </c>
      <c r="BR67" s="1621">
        <v>0.3</v>
      </c>
      <c r="BS67" s="1621">
        <v>0.3</v>
      </c>
      <c r="BT67" s="1621">
        <v>0.3</v>
      </c>
      <c r="BU67" s="1621">
        <v>0.3</v>
      </c>
      <c r="BV67" s="1621">
        <v>0.3</v>
      </c>
      <c r="BW67" s="1621">
        <v>0.3</v>
      </c>
      <c r="BX67" s="1621">
        <v>0.3</v>
      </c>
      <c r="BY67" s="1622">
        <v>0.3</v>
      </c>
      <c r="BZ67" s="1621">
        <v>0.3</v>
      </c>
      <c r="CA67" s="1621">
        <v>0.3</v>
      </c>
      <c r="CB67" s="1621">
        <v>0.4</v>
      </c>
      <c r="CC67" s="1621">
        <v>0.4</v>
      </c>
      <c r="CD67" s="1621">
        <v>0.4</v>
      </c>
    </row>
    <row r="68" spans="1:94">
      <c r="B68" s="1595" t="str">
        <f t="shared" si="47"/>
        <v>1.2.1</v>
      </c>
      <c r="C68" s="1612" t="str">
        <f t="shared" si="26"/>
        <v>広さ感・景観</v>
      </c>
      <c r="D68" s="1719" t="e">
        <f t="shared" ref="D68:E70" si="51">IF(I$67&gt;0,G68/I$67,0)</f>
        <v>#DIV/0!</v>
      </c>
      <c r="E68" s="1689" t="e">
        <f t="shared" si="51"/>
        <v>#DIV/0!</v>
      </c>
      <c r="G68" s="1689" t="e">
        <f t="shared" si="27"/>
        <v>#DIV/0!</v>
      </c>
      <c r="H68" s="1689" t="e">
        <f t="shared" si="28"/>
        <v>#DIV/0!</v>
      </c>
      <c r="I68" s="1689"/>
      <c r="J68" s="1689"/>
      <c r="K68" s="1689">
        <f>IF(スコア表示!W68=0,0,1)</f>
        <v>1</v>
      </c>
      <c r="L68" s="1689">
        <f>IF(スコア表示!AA68=0,0,1)</f>
        <v>1</v>
      </c>
      <c r="M68" s="1689" t="e">
        <f t="shared" si="29"/>
        <v>#DIV/0!</v>
      </c>
      <c r="N68" s="1689" t="e">
        <f t="shared" si="30"/>
        <v>#DIV/0!</v>
      </c>
      <c r="P68" s="1645" t="str">
        <f t="shared" si="31"/>
        <v>1.2.1</v>
      </c>
      <c r="Q68" s="1645" t="str">
        <f t="shared" si="32"/>
        <v xml:space="preserve"> Q2 1.2</v>
      </c>
      <c r="R68" s="1735" t="str">
        <f t="shared" si="33"/>
        <v>広さ感・景観</v>
      </c>
      <c r="S68" s="1616">
        <f t="shared" si="34"/>
        <v>0.33333333333333331</v>
      </c>
      <c r="T68" s="1616">
        <f t="shared" si="35"/>
        <v>0</v>
      </c>
      <c r="U68" s="1616">
        <f t="shared" si="36"/>
        <v>0</v>
      </c>
      <c r="V68" s="1616">
        <f t="shared" si="37"/>
        <v>0</v>
      </c>
      <c r="W68" s="1616">
        <f t="shared" si="38"/>
        <v>0</v>
      </c>
      <c r="X68" s="1616">
        <f t="shared" si="39"/>
        <v>0</v>
      </c>
      <c r="Y68" s="1616">
        <f t="shared" si="40"/>
        <v>0</v>
      </c>
      <c r="Z68" s="1629">
        <f t="shared" si="41"/>
        <v>0</v>
      </c>
      <c r="AA68" s="1616">
        <f t="shared" si="42"/>
        <v>0</v>
      </c>
      <c r="AB68" s="1616">
        <f t="shared" si="43"/>
        <v>0</v>
      </c>
      <c r="AC68" s="1617">
        <f t="shared" si="44"/>
        <v>0</v>
      </c>
      <c r="AD68" s="1617">
        <f t="shared" si="45"/>
        <v>0</v>
      </c>
      <c r="AE68" s="1617">
        <f t="shared" si="46"/>
        <v>0</v>
      </c>
      <c r="AG68" s="1645" t="s">
        <v>1457</v>
      </c>
      <c r="AH68" s="1691" t="s">
        <v>318</v>
      </c>
      <c r="AI68" s="2061" t="s">
        <v>319</v>
      </c>
      <c r="AJ68" s="1637">
        <v>0.33333333333333331</v>
      </c>
      <c r="AK68" s="1616"/>
      <c r="AL68" s="1616"/>
      <c r="AM68" s="1616"/>
      <c r="AN68" s="1616"/>
      <c r="AO68" s="1616"/>
      <c r="AP68" s="1616"/>
      <c r="AQ68" s="1629"/>
      <c r="AR68" s="1616"/>
      <c r="AS68" s="1621"/>
      <c r="AT68" s="1623"/>
      <c r="AU68" s="1623"/>
      <c r="AV68" s="1623"/>
      <c r="AX68" s="1645" t="s">
        <v>1457</v>
      </c>
      <c r="AY68" s="1691" t="s">
        <v>318</v>
      </c>
      <c r="AZ68" s="2061" t="s">
        <v>319</v>
      </c>
      <c r="BA68" s="1621">
        <v>0.33333333333333331</v>
      </c>
      <c r="BB68" s="1621">
        <v>0.5</v>
      </c>
      <c r="BC68" s="1621">
        <v>0.33333333333333331</v>
      </c>
      <c r="BD68" s="1621">
        <v>0.5</v>
      </c>
      <c r="BE68" s="1621"/>
      <c r="BF68" s="1621"/>
      <c r="BG68" s="1621"/>
      <c r="BH68" s="1622"/>
      <c r="BI68" s="1621">
        <v>0.33333333333333331</v>
      </c>
      <c r="BJ68" s="1621">
        <v>0.5</v>
      </c>
      <c r="BK68" s="1623">
        <v>0.5</v>
      </c>
      <c r="BL68" s="1623">
        <v>0.5</v>
      </c>
      <c r="BM68" s="1623">
        <v>0.5</v>
      </c>
      <c r="BO68" s="1645" t="s">
        <v>1457</v>
      </c>
      <c r="BP68" s="1691" t="s">
        <v>318</v>
      </c>
      <c r="BQ68" s="2061" t="s">
        <v>319</v>
      </c>
      <c r="BR68" s="1621">
        <v>0.33333333333333331</v>
      </c>
      <c r="BS68" s="1621">
        <v>0.5</v>
      </c>
      <c r="BT68" s="1621">
        <v>0.33333333333333331</v>
      </c>
      <c r="BU68" s="1621">
        <v>0.5</v>
      </c>
      <c r="BV68" s="1621"/>
      <c r="BW68" s="1621"/>
      <c r="BX68" s="1621"/>
      <c r="BY68" s="1622"/>
      <c r="BZ68" s="1621">
        <v>0.33333333333333331</v>
      </c>
      <c r="CA68" s="1621">
        <v>0.5</v>
      </c>
      <c r="CB68" s="1623">
        <v>0.5</v>
      </c>
      <c r="CC68" s="1623">
        <v>0.5</v>
      </c>
      <c r="CD68" s="1623">
        <v>0.5</v>
      </c>
    </row>
    <row r="69" spans="1:94">
      <c r="B69" s="1595" t="str">
        <f t="shared" si="47"/>
        <v>1.2.2</v>
      </c>
      <c r="C69" s="1612" t="str">
        <f t="shared" si="26"/>
        <v>リフレッシュスペース</v>
      </c>
      <c r="D69" s="1719" t="e">
        <f t="shared" si="51"/>
        <v>#DIV/0!</v>
      </c>
      <c r="E69" s="1689" t="e">
        <f t="shared" si="51"/>
        <v>#DIV/0!</v>
      </c>
      <c r="G69" s="1689" t="e">
        <f t="shared" si="27"/>
        <v>#DIV/0!</v>
      </c>
      <c r="H69" s="1689" t="e">
        <f t="shared" si="28"/>
        <v>#DIV/0!</v>
      </c>
      <c r="I69" s="1689"/>
      <c r="J69" s="1689"/>
      <c r="K69" s="1689">
        <f>IF(スコア表示!W69=0,0,1)</f>
        <v>1</v>
      </c>
      <c r="L69" s="1689">
        <f>IF(スコア表示!AA69=0,0,1)</f>
        <v>1</v>
      </c>
      <c r="M69" s="1689" t="e">
        <f t="shared" si="29"/>
        <v>#DIV/0!</v>
      </c>
      <c r="N69" s="1689" t="e">
        <f t="shared" si="30"/>
        <v>#DIV/0!</v>
      </c>
      <c r="P69" s="1645" t="str">
        <f t="shared" si="31"/>
        <v>1.2.2</v>
      </c>
      <c r="Q69" s="1645" t="str">
        <f t="shared" si="32"/>
        <v xml:space="preserve"> Q2 1.2</v>
      </c>
      <c r="R69" s="1735" t="str">
        <f t="shared" si="33"/>
        <v>リフレッシュスペース</v>
      </c>
      <c r="S69" s="1616">
        <f t="shared" si="34"/>
        <v>0.33333333333333331</v>
      </c>
      <c r="T69" s="1616">
        <f t="shared" si="35"/>
        <v>0</v>
      </c>
      <c r="U69" s="1616">
        <f t="shared" si="36"/>
        <v>0.5</v>
      </c>
      <c r="V69" s="1616">
        <f t="shared" si="37"/>
        <v>0</v>
      </c>
      <c r="W69" s="1616">
        <f t="shared" si="38"/>
        <v>0</v>
      </c>
      <c r="X69" s="1616">
        <f t="shared" si="39"/>
        <v>0</v>
      </c>
      <c r="Y69" s="1616">
        <f t="shared" si="40"/>
        <v>0</v>
      </c>
      <c r="Z69" s="1629">
        <f t="shared" si="41"/>
        <v>0</v>
      </c>
      <c r="AA69" s="1616">
        <f t="shared" si="42"/>
        <v>0</v>
      </c>
      <c r="AB69" s="1616">
        <f t="shared" si="43"/>
        <v>0</v>
      </c>
      <c r="AC69" s="1617">
        <f t="shared" si="44"/>
        <v>0</v>
      </c>
      <c r="AD69" s="1617">
        <f t="shared" si="45"/>
        <v>0</v>
      </c>
      <c r="AE69" s="1617">
        <f t="shared" si="46"/>
        <v>0</v>
      </c>
      <c r="AG69" s="1645" t="s">
        <v>1458</v>
      </c>
      <c r="AH69" s="1691" t="s">
        <v>318</v>
      </c>
      <c r="AI69" s="2061" t="s">
        <v>320</v>
      </c>
      <c r="AJ69" s="1637">
        <v>0.33333333333333331</v>
      </c>
      <c r="AK69" s="1616"/>
      <c r="AL69" s="1616">
        <v>0.5</v>
      </c>
      <c r="AM69" s="1616"/>
      <c r="AN69" s="1616"/>
      <c r="AO69" s="1616"/>
      <c r="AP69" s="1616"/>
      <c r="AQ69" s="1629"/>
      <c r="AR69" s="1616"/>
      <c r="AS69" s="1621"/>
      <c r="AT69" s="1623"/>
      <c r="AU69" s="1623"/>
      <c r="AV69" s="1623"/>
      <c r="AX69" s="1645" t="s">
        <v>1458</v>
      </c>
      <c r="AY69" s="1691" t="s">
        <v>318</v>
      </c>
      <c r="AZ69" s="2061" t="s">
        <v>320</v>
      </c>
      <c r="BA69" s="1621">
        <v>0.33333333333333331</v>
      </c>
      <c r="BB69" s="1621"/>
      <c r="BC69" s="1621">
        <v>0.33333333333333331</v>
      </c>
      <c r="BD69" s="1621"/>
      <c r="BE69" s="1621"/>
      <c r="BF69" s="1621"/>
      <c r="BG69" s="1621"/>
      <c r="BH69" s="1622"/>
      <c r="BI69" s="1621">
        <v>0.33333333333333331</v>
      </c>
      <c r="BJ69" s="1621"/>
      <c r="BK69" s="1623"/>
      <c r="BL69" s="1623"/>
      <c r="BM69" s="1623"/>
      <c r="BO69" s="1645" t="s">
        <v>1458</v>
      </c>
      <c r="BP69" s="1691" t="s">
        <v>318</v>
      </c>
      <c r="BQ69" s="2061" t="s">
        <v>320</v>
      </c>
      <c r="BR69" s="1621">
        <v>0.33333333333333331</v>
      </c>
      <c r="BS69" s="1621"/>
      <c r="BT69" s="1621">
        <v>0.33333333333333331</v>
      </c>
      <c r="BU69" s="1621"/>
      <c r="BV69" s="1621"/>
      <c r="BW69" s="1621"/>
      <c r="BX69" s="1621"/>
      <c r="BY69" s="1622"/>
      <c r="BZ69" s="1621">
        <v>0.33333333333333331</v>
      </c>
      <c r="CA69" s="1621"/>
      <c r="CB69" s="1623"/>
      <c r="CC69" s="1623"/>
      <c r="CD69" s="1623"/>
    </row>
    <row r="70" spans="1:94">
      <c r="B70" s="1595" t="str">
        <f t="shared" si="47"/>
        <v>1.2.3</v>
      </c>
      <c r="C70" s="1612" t="str">
        <f t="shared" si="26"/>
        <v>内装計画</v>
      </c>
      <c r="D70" s="1719" t="e">
        <f t="shared" si="51"/>
        <v>#DIV/0!</v>
      </c>
      <c r="E70" s="1689" t="e">
        <f t="shared" si="51"/>
        <v>#DIV/0!</v>
      </c>
      <c r="G70" s="1689" t="e">
        <f t="shared" si="27"/>
        <v>#DIV/0!</v>
      </c>
      <c r="H70" s="1689" t="e">
        <f t="shared" si="28"/>
        <v>#DIV/0!</v>
      </c>
      <c r="I70" s="1689"/>
      <c r="J70" s="1689"/>
      <c r="K70" s="1689">
        <f>IF(スコア表示!W70=0,0,1)</f>
        <v>1</v>
      </c>
      <c r="L70" s="1689">
        <f>IF(スコア表示!AA70=0,0,1)</f>
        <v>1</v>
      </c>
      <c r="M70" s="1689" t="e">
        <f t="shared" si="29"/>
        <v>#DIV/0!</v>
      </c>
      <c r="N70" s="1689" t="e">
        <f t="shared" si="30"/>
        <v>#DIV/0!</v>
      </c>
      <c r="P70" s="1645" t="str">
        <f t="shared" si="31"/>
        <v>1.2.3</v>
      </c>
      <c r="Q70" s="1645" t="str">
        <f t="shared" si="32"/>
        <v xml:space="preserve"> Q2 1.2</v>
      </c>
      <c r="R70" s="1735" t="str">
        <f t="shared" si="33"/>
        <v>内装計画</v>
      </c>
      <c r="S70" s="1616">
        <f t="shared" si="34"/>
        <v>0.33333333333333331</v>
      </c>
      <c r="T70" s="1616">
        <f t="shared" si="35"/>
        <v>1</v>
      </c>
      <c r="U70" s="1616">
        <f t="shared" si="36"/>
        <v>0.5</v>
      </c>
      <c r="V70" s="1616">
        <f t="shared" si="37"/>
        <v>1</v>
      </c>
      <c r="W70" s="1616">
        <f t="shared" si="38"/>
        <v>1</v>
      </c>
      <c r="X70" s="1616">
        <f t="shared" si="39"/>
        <v>1</v>
      </c>
      <c r="Y70" s="1616">
        <f t="shared" si="40"/>
        <v>1</v>
      </c>
      <c r="Z70" s="1629">
        <f t="shared" si="41"/>
        <v>1</v>
      </c>
      <c r="AA70" s="1616">
        <f t="shared" si="42"/>
        <v>1</v>
      </c>
      <c r="AB70" s="1616">
        <f t="shared" si="43"/>
        <v>1</v>
      </c>
      <c r="AC70" s="1617">
        <f t="shared" si="44"/>
        <v>1</v>
      </c>
      <c r="AD70" s="1617">
        <f t="shared" si="45"/>
        <v>1</v>
      </c>
      <c r="AE70" s="1617">
        <f t="shared" si="46"/>
        <v>1</v>
      </c>
      <c r="AG70" s="1645" t="s">
        <v>1459</v>
      </c>
      <c r="AH70" s="1691" t="s">
        <v>318</v>
      </c>
      <c r="AI70" s="2061" t="s">
        <v>321</v>
      </c>
      <c r="AJ70" s="1637">
        <v>0.33333333333333331</v>
      </c>
      <c r="AK70" s="1616">
        <v>1</v>
      </c>
      <c r="AL70" s="1616">
        <v>0.5</v>
      </c>
      <c r="AM70" s="1616">
        <v>1</v>
      </c>
      <c r="AN70" s="1616">
        <v>1</v>
      </c>
      <c r="AO70" s="1616">
        <v>1</v>
      </c>
      <c r="AP70" s="1616">
        <v>1</v>
      </c>
      <c r="AQ70" s="1629">
        <v>1</v>
      </c>
      <c r="AR70" s="1616">
        <v>1</v>
      </c>
      <c r="AS70" s="1621">
        <v>1</v>
      </c>
      <c r="AT70" s="1623">
        <v>1</v>
      </c>
      <c r="AU70" s="1623">
        <v>1</v>
      </c>
      <c r="AV70" s="1623">
        <v>1</v>
      </c>
      <c r="AX70" s="1645" t="s">
        <v>1459</v>
      </c>
      <c r="AY70" s="1691" t="s">
        <v>318</v>
      </c>
      <c r="AZ70" s="2061" t="s">
        <v>321</v>
      </c>
      <c r="BA70" s="1621">
        <v>0.33333333333333331</v>
      </c>
      <c r="BB70" s="1621">
        <v>0.5</v>
      </c>
      <c r="BC70" s="1621">
        <v>0.33333333333333331</v>
      </c>
      <c r="BD70" s="1621">
        <v>0.5</v>
      </c>
      <c r="BE70" s="1621">
        <v>1</v>
      </c>
      <c r="BF70" s="1621">
        <v>1</v>
      </c>
      <c r="BG70" s="1621">
        <v>1</v>
      </c>
      <c r="BH70" s="1622">
        <v>1</v>
      </c>
      <c r="BI70" s="1621">
        <v>0.33333333333333331</v>
      </c>
      <c r="BJ70" s="1621">
        <v>0.5</v>
      </c>
      <c r="BK70" s="1623">
        <v>0.5</v>
      </c>
      <c r="BL70" s="1623">
        <v>0.5</v>
      </c>
      <c r="BM70" s="1623">
        <v>0.5</v>
      </c>
      <c r="BO70" s="1645" t="s">
        <v>1459</v>
      </c>
      <c r="BP70" s="1691" t="s">
        <v>318</v>
      </c>
      <c r="BQ70" s="2061" t="s">
        <v>321</v>
      </c>
      <c r="BR70" s="1621">
        <v>0.33333333333333331</v>
      </c>
      <c r="BS70" s="1621">
        <v>0.5</v>
      </c>
      <c r="BT70" s="1621">
        <v>0.33333333333333331</v>
      </c>
      <c r="BU70" s="1621">
        <v>0.5</v>
      </c>
      <c r="BV70" s="1621">
        <v>1</v>
      </c>
      <c r="BW70" s="1621">
        <v>1</v>
      </c>
      <c r="BX70" s="1621">
        <v>1</v>
      </c>
      <c r="BY70" s="1622">
        <v>1</v>
      </c>
      <c r="BZ70" s="1621">
        <v>0.33333333333333331</v>
      </c>
      <c r="CA70" s="1621">
        <v>0.5</v>
      </c>
      <c r="CB70" s="1623">
        <v>0.5</v>
      </c>
      <c r="CC70" s="1623">
        <v>0.5</v>
      </c>
      <c r="CD70" s="1623">
        <v>0.5</v>
      </c>
    </row>
    <row r="71" spans="1:94" s="2079" customFormat="1">
      <c r="A71"/>
      <c r="B71" s="1595">
        <f t="shared" si="47"/>
        <v>1.3</v>
      </c>
      <c r="C71" s="1612" t="str">
        <f t="shared" si="26"/>
        <v>維持管理</v>
      </c>
      <c r="D71" s="1714" t="e">
        <f>IF(I$62=0,0,G71/I$62)</f>
        <v>#DIV/0!</v>
      </c>
      <c r="E71" s="1689" t="e">
        <f>IF(J$62=0,0,H71/J$62)</f>
        <v>#DIV/0!</v>
      </c>
      <c r="F71"/>
      <c r="G71" s="1689" t="e">
        <f t="shared" si="27"/>
        <v>#DIV/0!</v>
      </c>
      <c r="H71" s="1689" t="e">
        <f t="shared" si="28"/>
        <v>#DIV/0!</v>
      </c>
      <c r="I71" s="1689" t="e">
        <f>G72+G73+G74</f>
        <v>#DIV/0!</v>
      </c>
      <c r="J71" s="1689" t="e">
        <f>H72+H73+H74</f>
        <v>#DIV/0!</v>
      </c>
      <c r="K71" s="1689" t="e">
        <f>IF(スコア表示!W71=0,0,1)</f>
        <v>#DIV/0!</v>
      </c>
      <c r="L71" s="1689" t="e">
        <f>IF(スコア表示!AA71=0,0,1)</f>
        <v>#DIV/0!</v>
      </c>
      <c r="M71" s="1689" t="e">
        <f t="shared" si="29"/>
        <v>#DIV/0!</v>
      </c>
      <c r="N71" s="1689" t="e">
        <f t="shared" si="30"/>
        <v>#DIV/0!</v>
      </c>
      <c r="O71"/>
      <c r="P71" s="1645">
        <f t="shared" si="31"/>
        <v>1.3</v>
      </c>
      <c r="Q71" s="1645" t="str">
        <f t="shared" si="32"/>
        <v xml:space="preserve"> Q2 1</v>
      </c>
      <c r="R71" s="1735" t="str">
        <f t="shared" si="33"/>
        <v>維持管理</v>
      </c>
      <c r="S71" s="1616">
        <f t="shared" si="34"/>
        <v>0.3</v>
      </c>
      <c r="T71" s="1616">
        <f t="shared" si="35"/>
        <v>0.3</v>
      </c>
      <c r="U71" s="1616">
        <f t="shared" si="36"/>
        <v>0.3</v>
      </c>
      <c r="V71" s="1616">
        <f t="shared" si="37"/>
        <v>0.3</v>
      </c>
      <c r="W71" s="1616">
        <f t="shared" si="38"/>
        <v>0.3</v>
      </c>
      <c r="X71" s="1616">
        <f t="shared" si="39"/>
        <v>0.3</v>
      </c>
      <c r="Y71" s="1616">
        <f t="shared" si="40"/>
        <v>0.3</v>
      </c>
      <c r="Z71" s="1629">
        <f t="shared" si="41"/>
        <v>0.3</v>
      </c>
      <c r="AA71" s="1616">
        <f t="shared" si="42"/>
        <v>0.3</v>
      </c>
      <c r="AB71" s="1616">
        <f t="shared" si="43"/>
        <v>0.3</v>
      </c>
      <c r="AC71" s="1617">
        <f t="shared" si="44"/>
        <v>0</v>
      </c>
      <c r="AD71" s="1617">
        <f t="shared" si="45"/>
        <v>0</v>
      </c>
      <c r="AE71" s="1617">
        <f t="shared" si="46"/>
        <v>0</v>
      </c>
      <c r="AF71"/>
      <c r="AG71" s="1645">
        <v>1.3</v>
      </c>
      <c r="AH71" s="1691" t="s">
        <v>314</v>
      </c>
      <c r="AI71" s="2061" t="s">
        <v>322</v>
      </c>
      <c r="AJ71" s="1637">
        <v>0.3</v>
      </c>
      <c r="AK71" s="1637">
        <v>0.3</v>
      </c>
      <c r="AL71" s="1637">
        <v>0.3</v>
      </c>
      <c r="AM71" s="2344">
        <v>0.3</v>
      </c>
      <c r="AN71" s="2344">
        <v>0.3</v>
      </c>
      <c r="AO71" s="1637">
        <v>0.3</v>
      </c>
      <c r="AP71" s="2344">
        <v>0.3</v>
      </c>
      <c r="AQ71" s="1637">
        <v>0.3</v>
      </c>
      <c r="AR71" s="2344">
        <v>0.3</v>
      </c>
      <c r="AS71" s="1621">
        <v>0.3</v>
      </c>
      <c r="AT71" s="1623">
        <v>0</v>
      </c>
      <c r="AU71" s="1623">
        <v>0</v>
      </c>
      <c r="AV71" s="1623">
        <v>0</v>
      </c>
      <c r="AW71"/>
      <c r="AX71" s="1645">
        <v>1.3</v>
      </c>
      <c r="AY71" s="1691" t="s">
        <v>314</v>
      </c>
      <c r="AZ71" s="2061" t="s">
        <v>322</v>
      </c>
      <c r="BA71" s="1621">
        <v>0.3</v>
      </c>
      <c r="BB71" s="1621">
        <v>0.3</v>
      </c>
      <c r="BC71" s="1621">
        <v>0.3</v>
      </c>
      <c r="BD71" s="1621">
        <v>0.3</v>
      </c>
      <c r="BE71" s="1621">
        <v>0.3</v>
      </c>
      <c r="BF71" s="1621">
        <v>0.3</v>
      </c>
      <c r="BG71" s="1621">
        <v>0.3</v>
      </c>
      <c r="BH71" s="1622">
        <v>0.3</v>
      </c>
      <c r="BI71" s="1621">
        <v>0.3</v>
      </c>
      <c r="BJ71" s="1621">
        <v>0.3</v>
      </c>
      <c r="BK71" s="1623"/>
      <c r="BL71" s="1623"/>
      <c r="BM71" s="1623"/>
      <c r="BN71"/>
      <c r="BO71" s="1645">
        <v>1.3</v>
      </c>
      <c r="BP71" s="1691" t="s">
        <v>314</v>
      </c>
      <c r="BQ71" s="2061" t="s">
        <v>322</v>
      </c>
      <c r="BR71" s="1621">
        <v>0.3</v>
      </c>
      <c r="BS71" s="1621">
        <v>0.3</v>
      </c>
      <c r="BT71" s="1621">
        <v>0.3</v>
      </c>
      <c r="BU71" s="1621">
        <v>0.3</v>
      </c>
      <c r="BV71" s="1621">
        <v>0.3</v>
      </c>
      <c r="BW71" s="1621">
        <v>0.3</v>
      </c>
      <c r="BX71" s="1621">
        <v>0.3</v>
      </c>
      <c r="BY71" s="1622">
        <v>0.3</v>
      </c>
      <c r="BZ71" s="1621">
        <v>0.3</v>
      </c>
      <c r="CA71" s="1621">
        <v>0.3</v>
      </c>
      <c r="CB71" s="1623"/>
      <c r="CC71" s="1623"/>
      <c r="CD71" s="1623"/>
      <c r="CE71"/>
      <c r="CF71" s="1556"/>
      <c r="CG71" s="1556"/>
      <c r="CH71" s="1556"/>
      <c r="CI71" s="1556"/>
      <c r="CJ71" s="1556"/>
      <c r="CK71" s="1556"/>
      <c r="CL71" s="1556"/>
      <c r="CM71" s="1556"/>
      <c r="CN71" s="1556"/>
      <c r="CO71" s="1556"/>
      <c r="CP71" s="1556"/>
    </row>
    <row r="72" spans="1:94" s="2079" customFormat="1">
      <c r="A72"/>
      <c r="B72" s="1595" t="str">
        <f t="shared" si="47"/>
        <v>1.3.1</v>
      </c>
      <c r="C72" s="1612" t="str">
        <f t="shared" si="26"/>
        <v>総合的な取組</v>
      </c>
      <c r="D72" s="1719" t="e">
        <f t="shared" ref="D72:E74" si="52">IF(I$71&gt;0,G72/I$71,0)</f>
        <v>#DIV/0!</v>
      </c>
      <c r="E72" s="1719" t="e">
        <f t="shared" si="52"/>
        <v>#DIV/0!</v>
      </c>
      <c r="F72"/>
      <c r="G72" s="1689" t="e">
        <f t="shared" si="27"/>
        <v>#DIV/0!</v>
      </c>
      <c r="H72" s="1689" t="e">
        <f t="shared" si="28"/>
        <v>#DIV/0!</v>
      </c>
      <c r="I72" s="1689"/>
      <c r="J72" s="1689"/>
      <c r="K72" s="1689">
        <f>IF(スコア表示!W72=0,0,1)</f>
        <v>1</v>
      </c>
      <c r="L72" s="1689">
        <f>IF(スコア表示!AA72=0,0,1)</f>
        <v>0</v>
      </c>
      <c r="M72" s="1689" t="e">
        <f t="shared" si="29"/>
        <v>#DIV/0!</v>
      </c>
      <c r="N72" s="1689" t="e">
        <f t="shared" si="30"/>
        <v>#DIV/0!</v>
      </c>
      <c r="O72"/>
      <c r="P72" s="1645" t="str">
        <f t="shared" si="31"/>
        <v>1.3.1</v>
      </c>
      <c r="Q72" s="1645" t="str">
        <f t="shared" si="32"/>
        <v xml:space="preserve"> Q2 1.3</v>
      </c>
      <c r="R72" s="1735" t="str">
        <f t="shared" si="33"/>
        <v>総合的な取組</v>
      </c>
      <c r="S72" s="1616">
        <f t="shared" si="34"/>
        <v>0.5</v>
      </c>
      <c r="T72" s="1616">
        <f t="shared" si="35"/>
        <v>0.5</v>
      </c>
      <c r="U72" s="1616">
        <f t="shared" si="36"/>
        <v>0.5</v>
      </c>
      <c r="V72" s="1616">
        <f t="shared" si="37"/>
        <v>0.5</v>
      </c>
      <c r="W72" s="1616">
        <f t="shared" si="38"/>
        <v>0.5</v>
      </c>
      <c r="X72" s="1616">
        <f t="shared" si="39"/>
        <v>0.5</v>
      </c>
      <c r="Y72" s="1616">
        <f t="shared" si="40"/>
        <v>0.5</v>
      </c>
      <c r="Z72" s="1629">
        <f t="shared" si="41"/>
        <v>0.5</v>
      </c>
      <c r="AA72" s="1616">
        <f t="shared" si="42"/>
        <v>0.5</v>
      </c>
      <c r="AB72" s="1616">
        <f t="shared" si="43"/>
        <v>0.5</v>
      </c>
      <c r="AC72" s="1617">
        <f t="shared" si="44"/>
        <v>0</v>
      </c>
      <c r="AD72" s="1617">
        <f t="shared" si="45"/>
        <v>0</v>
      </c>
      <c r="AE72" s="1617">
        <f t="shared" si="46"/>
        <v>0</v>
      </c>
      <c r="AF72"/>
      <c r="AG72" s="1645" t="s">
        <v>323</v>
      </c>
      <c r="AH72" s="1691" t="s">
        <v>324</v>
      </c>
      <c r="AI72" s="317" t="s">
        <v>1813</v>
      </c>
      <c r="AJ72" s="1637">
        <v>0.5</v>
      </c>
      <c r="AK72" s="1637">
        <v>0.5</v>
      </c>
      <c r="AL72" s="1637">
        <v>0.5</v>
      </c>
      <c r="AM72" s="2346">
        <v>0.5</v>
      </c>
      <c r="AN72" s="2346">
        <v>0.5</v>
      </c>
      <c r="AO72" s="1637">
        <v>0.5</v>
      </c>
      <c r="AP72" s="2346">
        <v>0.5</v>
      </c>
      <c r="AQ72" s="1637">
        <v>0.5</v>
      </c>
      <c r="AR72" s="2346">
        <v>0.5</v>
      </c>
      <c r="AS72" s="1621">
        <v>0.5</v>
      </c>
      <c r="AT72" s="1623">
        <v>0</v>
      </c>
      <c r="AU72" s="1623">
        <v>0</v>
      </c>
      <c r="AV72" s="1623">
        <v>0</v>
      </c>
      <c r="AW72"/>
      <c r="AX72" s="1645" t="s">
        <v>323</v>
      </c>
      <c r="AY72" s="1691" t="s">
        <v>324</v>
      </c>
      <c r="AZ72" s="2061" t="s">
        <v>815</v>
      </c>
      <c r="BA72" s="1621">
        <v>0.5</v>
      </c>
      <c r="BB72" s="1621">
        <v>0.5</v>
      </c>
      <c r="BC72" s="1621">
        <v>0.5</v>
      </c>
      <c r="BD72" s="1621">
        <v>0.5</v>
      </c>
      <c r="BE72" s="1621">
        <v>0.5</v>
      </c>
      <c r="BF72" s="1621">
        <v>0.5</v>
      </c>
      <c r="BG72" s="1621">
        <v>0.5</v>
      </c>
      <c r="BH72" s="1622">
        <v>0.5</v>
      </c>
      <c r="BI72" s="1621">
        <v>0.5</v>
      </c>
      <c r="BJ72" s="1621">
        <v>0.5</v>
      </c>
      <c r="BK72" s="1623"/>
      <c r="BL72" s="1623"/>
      <c r="BM72" s="1623"/>
      <c r="BN72"/>
      <c r="BO72" s="1645" t="s">
        <v>323</v>
      </c>
      <c r="BP72" s="1691" t="s">
        <v>324</v>
      </c>
      <c r="BQ72" s="2061" t="s">
        <v>815</v>
      </c>
      <c r="BR72" s="1621">
        <v>0.5</v>
      </c>
      <c r="BS72" s="1621">
        <v>0.5</v>
      </c>
      <c r="BT72" s="1621">
        <v>0.5</v>
      </c>
      <c r="BU72" s="1621">
        <v>0.5</v>
      </c>
      <c r="BV72" s="1621">
        <v>0.5</v>
      </c>
      <c r="BW72" s="1621">
        <v>0.5</v>
      </c>
      <c r="BX72" s="1621">
        <v>0.5</v>
      </c>
      <c r="BY72" s="1622">
        <v>0.5</v>
      </c>
      <c r="BZ72" s="1621">
        <v>0.5</v>
      </c>
      <c r="CA72" s="1621">
        <v>0.5</v>
      </c>
      <c r="CB72" s="1623"/>
      <c r="CC72" s="1623"/>
      <c r="CD72" s="1623"/>
      <c r="CE72"/>
      <c r="CF72" s="1556"/>
      <c r="CG72" s="1556"/>
      <c r="CH72" s="1556"/>
      <c r="CI72" s="1556"/>
      <c r="CJ72" s="1556"/>
      <c r="CK72" s="1556"/>
      <c r="CL72" s="1556"/>
      <c r="CM72" s="1556"/>
      <c r="CN72" s="1556"/>
      <c r="CO72" s="1556"/>
      <c r="CP72" s="1556"/>
    </row>
    <row r="73" spans="1:94" s="2079" customFormat="1">
      <c r="A73"/>
      <c r="B73" s="1595" t="str">
        <f t="shared" si="47"/>
        <v>1.3.2</v>
      </c>
      <c r="C73" s="1612" t="str">
        <f t="shared" ref="C73:C104" si="53">R73</f>
        <v>清掃管理業務</v>
      </c>
      <c r="D73" s="1719" t="e">
        <f t="shared" si="52"/>
        <v>#DIV/0!</v>
      </c>
      <c r="E73" s="1719" t="e">
        <f t="shared" si="52"/>
        <v>#DIV/0!</v>
      </c>
      <c r="F73"/>
      <c r="G73" s="1689" t="e">
        <f t="shared" ref="G73:G104" si="54">K73*M73</f>
        <v>#DIV/0!</v>
      </c>
      <c r="H73" s="1689" t="e">
        <f t="shared" ref="H73:H104" si="55">L73*N73</f>
        <v>#DIV/0!</v>
      </c>
      <c r="I73" s="1689"/>
      <c r="J73" s="1689"/>
      <c r="K73" s="1689">
        <f>IF(スコア表示!W73=0,0,1)</f>
        <v>1</v>
      </c>
      <c r="L73" s="1689">
        <f>IF(スコア表示!AA73=0,0,1)</f>
        <v>0</v>
      </c>
      <c r="M73" s="1689" t="e">
        <f t="shared" ref="M73:M104" si="56">SUMPRODUCT($S$7:$AB$7,S73:AB73)</f>
        <v>#DIV/0!</v>
      </c>
      <c r="N73" s="1689" t="e">
        <f t="shared" ref="N73:N95" si="57">(AC$7*AC73)+(AD$7*AD73)+(AE$7*AE73)</f>
        <v>#DIV/0!</v>
      </c>
      <c r="O73"/>
      <c r="P73" s="1645" t="str">
        <f t="shared" ref="P73:P83" si="58">IF($P$3=1,AX73,BO73)</f>
        <v>1.3.2</v>
      </c>
      <c r="Q73" s="1645" t="str">
        <f t="shared" ref="Q73:Q83" si="59">IF($P$3=1,AY73,BP73)</f>
        <v xml:space="preserve"> Q2 1.3</v>
      </c>
      <c r="R73" s="1735" t="str">
        <f t="shared" ref="R73:R104" si="60">AI73</f>
        <v>清掃管理業務</v>
      </c>
      <c r="S73" s="1616">
        <f t="shared" ref="S73:S104" si="61">IF($P$3=1,BA73,IF($P$3=2,BR73,AJ73))</f>
        <v>0.3</v>
      </c>
      <c r="T73" s="1616">
        <f t="shared" ref="T73:T104" si="62">IF($P$3=1,BB73,IF($P$3=2,BS73,AK73))</f>
        <v>0.3</v>
      </c>
      <c r="U73" s="1616">
        <f t="shared" ref="U73:U104" si="63">IF($P$3=1,BC73,IF($P$3=2,BT73,AL73))</f>
        <v>0.3</v>
      </c>
      <c r="V73" s="1616">
        <f t="shared" ref="V73:V104" si="64">IF($P$3=1,BD73,IF($P$3=2,BU73,AM73))</f>
        <v>0.3</v>
      </c>
      <c r="W73" s="1616">
        <f t="shared" ref="W73:W104" si="65">IF($P$3=1,BE73,IF($P$3=2,BV73,AN73))</f>
        <v>0.3</v>
      </c>
      <c r="X73" s="1616">
        <f t="shared" ref="X73:X104" si="66">IF($P$3=1,BF73,IF($P$3=2,BW73,AO73))</f>
        <v>0.3</v>
      </c>
      <c r="Y73" s="1616">
        <f t="shared" ref="Y73:Y104" si="67">IF($P$3=1,BG73,IF($P$3=2,BX73,AP73))</f>
        <v>0.3</v>
      </c>
      <c r="Z73" s="1629">
        <f t="shared" ref="Z73:Z104" si="68">IF($P$3=1,BH73,IF($P$3=2,BY73,AQ73))</f>
        <v>0.3</v>
      </c>
      <c r="AA73" s="1616">
        <f t="shared" ref="AA73:AA104" si="69">IF($P$3=1,BI73,IF($P$3=2,BZ73,AR73))</f>
        <v>0.3</v>
      </c>
      <c r="AB73" s="1616">
        <f t="shared" ref="AB73:AB104" si="70">IF($P$3=1,BJ73,IF($P$3=2,CA73,AS73))</f>
        <v>0.3</v>
      </c>
      <c r="AC73" s="1617">
        <f t="shared" ref="AC73:AC104" si="71">IF($P$3=1,BK73,IF($P$3=2,CB73,AT73))</f>
        <v>0</v>
      </c>
      <c r="AD73" s="1617">
        <f t="shared" ref="AD73:AD104" si="72">IF($P$3=1,BL73,IF($P$3=2,CC73,AU73))</f>
        <v>0</v>
      </c>
      <c r="AE73" s="1617">
        <f t="shared" ref="AE73:AE104" si="73">IF($P$3=1,BM73,IF($P$3=2,CD73,AV73))</f>
        <v>0</v>
      </c>
      <c r="AF73"/>
      <c r="AG73" s="1645" t="s">
        <v>325</v>
      </c>
      <c r="AH73" s="1691" t="s">
        <v>324</v>
      </c>
      <c r="AI73" s="317" t="s">
        <v>905</v>
      </c>
      <c r="AJ73" s="1637">
        <v>0.3</v>
      </c>
      <c r="AK73" s="1637">
        <v>0.3</v>
      </c>
      <c r="AL73" s="1637">
        <v>0.3</v>
      </c>
      <c r="AM73" s="2346">
        <v>0.3</v>
      </c>
      <c r="AN73" s="2346">
        <v>0.3</v>
      </c>
      <c r="AO73" s="1637">
        <v>0.3</v>
      </c>
      <c r="AP73" s="2346">
        <v>0.3</v>
      </c>
      <c r="AQ73" s="1637">
        <v>0.3</v>
      </c>
      <c r="AR73" s="2346">
        <v>0.3</v>
      </c>
      <c r="AS73" s="1621">
        <v>0.3</v>
      </c>
      <c r="AT73" s="1623">
        <v>0</v>
      </c>
      <c r="AU73" s="1623">
        <v>0</v>
      </c>
      <c r="AV73" s="1623">
        <v>0</v>
      </c>
      <c r="AW73"/>
      <c r="AX73" s="1645" t="s">
        <v>325</v>
      </c>
      <c r="AY73" s="1691" t="s">
        <v>324</v>
      </c>
      <c r="AZ73" s="2061" t="s">
        <v>412</v>
      </c>
      <c r="BA73" s="1621">
        <v>0.5</v>
      </c>
      <c r="BB73" s="1621">
        <v>0.5</v>
      </c>
      <c r="BC73" s="1621">
        <v>0.5</v>
      </c>
      <c r="BD73" s="1621">
        <v>0.5</v>
      </c>
      <c r="BE73" s="1621">
        <v>0.5</v>
      </c>
      <c r="BF73" s="1621">
        <v>0.5</v>
      </c>
      <c r="BG73" s="1621">
        <v>0.5</v>
      </c>
      <c r="BH73" s="1622">
        <v>0.5</v>
      </c>
      <c r="BI73" s="1621">
        <v>0.5</v>
      </c>
      <c r="BJ73" s="1621">
        <v>0.5</v>
      </c>
      <c r="BK73" s="1623"/>
      <c r="BL73" s="1623"/>
      <c r="BM73" s="1623"/>
      <c r="BN73"/>
      <c r="BO73" s="1645" t="s">
        <v>325</v>
      </c>
      <c r="BP73" s="1691" t="s">
        <v>324</v>
      </c>
      <c r="BQ73" s="2061" t="s">
        <v>412</v>
      </c>
      <c r="BR73" s="1621">
        <v>0.5</v>
      </c>
      <c r="BS73" s="1621">
        <v>0.5</v>
      </c>
      <c r="BT73" s="1621">
        <v>0.5</v>
      </c>
      <c r="BU73" s="1621">
        <v>0.5</v>
      </c>
      <c r="BV73" s="1621">
        <v>0.5</v>
      </c>
      <c r="BW73" s="1621">
        <v>0.5</v>
      </c>
      <c r="BX73" s="1621">
        <v>0.5</v>
      </c>
      <c r="BY73" s="1622">
        <v>0.5</v>
      </c>
      <c r="BZ73" s="1621">
        <v>0.5</v>
      </c>
      <c r="CA73" s="1621">
        <v>0.5</v>
      </c>
      <c r="CB73" s="1623"/>
      <c r="CC73" s="1623"/>
      <c r="CD73" s="1623"/>
      <c r="CE73"/>
      <c r="CF73" s="1556"/>
      <c r="CG73" s="1556"/>
      <c r="CH73" s="1556"/>
      <c r="CI73" s="1556"/>
      <c r="CJ73" s="1556"/>
      <c r="CK73" s="1556"/>
      <c r="CL73" s="1556"/>
      <c r="CM73" s="1556"/>
      <c r="CN73" s="1556"/>
      <c r="CO73" s="1556"/>
      <c r="CP73" s="1556"/>
    </row>
    <row r="74" spans="1:94" s="2079" customFormat="1">
      <c r="A74"/>
      <c r="B74" s="1595">
        <f t="shared" si="47"/>
        <v>0</v>
      </c>
      <c r="C74" s="1612" t="str">
        <f t="shared" si="53"/>
        <v>衛生管理業務</v>
      </c>
      <c r="D74" s="1719" t="e">
        <f t="shared" si="52"/>
        <v>#DIV/0!</v>
      </c>
      <c r="E74" s="1719" t="e">
        <f t="shared" si="52"/>
        <v>#DIV/0!</v>
      </c>
      <c r="F74"/>
      <c r="G74" s="1689" t="e">
        <f t="shared" si="54"/>
        <v>#DIV/0!</v>
      </c>
      <c r="H74" s="1689" t="e">
        <f t="shared" si="55"/>
        <v>#DIV/0!</v>
      </c>
      <c r="I74" s="1689"/>
      <c r="J74" s="1689"/>
      <c r="K74" s="1689">
        <f>IF(スコア表示!W74=0,0,1)</f>
        <v>1</v>
      </c>
      <c r="L74" s="1689">
        <f>IF(スコア表示!AA74=0,0,1)</f>
        <v>0</v>
      </c>
      <c r="M74" s="1689" t="e">
        <f t="shared" si="56"/>
        <v>#DIV/0!</v>
      </c>
      <c r="N74" s="1689" t="e">
        <f t="shared" si="57"/>
        <v>#DIV/0!</v>
      </c>
      <c r="O74"/>
      <c r="P74" s="1645">
        <f t="shared" si="58"/>
        <v>0</v>
      </c>
      <c r="Q74" s="1645" t="str">
        <f t="shared" si="59"/>
        <v>0</v>
      </c>
      <c r="R74" s="1735" t="str">
        <f t="shared" si="60"/>
        <v>衛生管理業務</v>
      </c>
      <c r="S74" s="1616">
        <f t="shared" si="61"/>
        <v>0.2</v>
      </c>
      <c r="T74" s="1616">
        <f t="shared" si="62"/>
        <v>0.2</v>
      </c>
      <c r="U74" s="1616">
        <f t="shared" si="63"/>
        <v>0.2</v>
      </c>
      <c r="V74" s="1616">
        <f t="shared" si="64"/>
        <v>0.2</v>
      </c>
      <c r="W74" s="1616">
        <f t="shared" si="65"/>
        <v>0.2</v>
      </c>
      <c r="X74" s="1616">
        <f t="shared" si="66"/>
        <v>0.2</v>
      </c>
      <c r="Y74" s="1616">
        <f t="shared" si="67"/>
        <v>0.2</v>
      </c>
      <c r="Z74" s="1629">
        <f t="shared" si="68"/>
        <v>0.2</v>
      </c>
      <c r="AA74" s="1616">
        <f t="shared" si="69"/>
        <v>0.2</v>
      </c>
      <c r="AB74" s="1616">
        <f t="shared" si="70"/>
        <v>0.2</v>
      </c>
      <c r="AC74" s="1617">
        <f t="shared" si="71"/>
        <v>0</v>
      </c>
      <c r="AD74" s="1617">
        <f t="shared" si="72"/>
        <v>0</v>
      </c>
      <c r="AE74" s="1617">
        <f t="shared" si="73"/>
        <v>0</v>
      </c>
      <c r="AF74"/>
      <c r="AG74" s="1645" t="s">
        <v>326</v>
      </c>
      <c r="AH74" s="1691" t="s">
        <v>1640</v>
      </c>
      <c r="AI74" s="317" t="s">
        <v>687</v>
      </c>
      <c r="AJ74" s="1637">
        <v>0.2</v>
      </c>
      <c r="AK74" s="1637">
        <v>0.2</v>
      </c>
      <c r="AL74" s="1637">
        <v>0.2</v>
      </c>
      <c r="AM74" s="2346">
        <v>0.2</v>
      </c>
      <c r="AN74" s="2346">
        <v>0.2</v>
      </c>
      <c r="AO74" s="1637">
        <v>0.2</v>
      </c>
      <c r="AP74" s="2346">
        <v>0.2</v>
      </c>
      <c r="AQ74" s="1637">
        <v>0.2</v>
      </c>
      <c r="AR74" s="2346">
        <v>0.2</v>
      </c>
      <c r="AS74" s="1621">
        <v>0.2</v>
      </c>
      <c r="AT74" s="1623">
        <v>0</v>
      </c>
      <c r="AU74" s="1623">
        <v>0</v>
      </c>
      <c r="AV74" s="1623">
        <v>0</v>
      </c>
      <c r="AW74"/>
      <c r="AX74" s="1645">
        <v>0</v>
      </c>
      <c r="AY74" s="1691" t="s">
        <v>1460</v>
      </c>
      <c r="AZ74" s="2061"/>
      <c r="BA74" s="1621"/>
      <c r="BB74" s="1621"/>
      <c r="BC74" s="1621"/>
      <c r="BD74" s="1621"/>
      <c r="BE74" s="1621"/>
      <c r="BF74" s="1621"/>
      <c r="BG74" s="1621"/>
      <c r="BH74" s="1818"/>
      <c r="BI74" s="1621"/>
      <c r="BJ74" s="1621"/>
      <c r="BK74" s="1623"/>
      <c r="BL74" s="1623"/>
      <c r="BM74" s="1623"/>
      <c r="BN74"/>
      <c r="BO74" s="1645">
        <v>0</v>
      </c>
      <c r="BP74" s="1691" t="s">
        <v>1460</v>
      </c>
      <c r="BQ74" s="2061"/>
      <c r="BR74" s="1621"/>
      <c r="BS74" s="1621"/>
      <c r="BT74" s="1621"/>
      <c r="BU74" s="1621"/>
      <c r="BV74" s="1621"/>
      <c r="BW74" s="1621"/>
      <c r="BX74" s="1621"/>
      <c r="BY74" s="1818"/>
      <c r="BZ74" s="1621"/>
      <c r="CA74" s="1621"/>
      <c r="CB74" s="1623"/>
      <c r="CC74" s="1623"/>
      <c r="CD74" s="1623"/>
      <c r="CE74"/>
      <c r="CF74" s="1556"/>
      <c r="CG74" s="1556"/>
      <c r="CH74" s="1556"/>
      <c r="CI74" s="1556"/>
      <c r="CJ74" s="1556"/>
      <c r="CK74" s="1556"/>
      <c r="CL74" s="1556"/>
      <c r="CM74" s="1556"/>
      <c r="CN74" s="1556"/>
      <c r="CO74" s="1556"/>
      <c r="CP74" s="1556"/>
    </row>
    <row r="75" spans="1:94" s="1603" customFormat="1">
      <c r="A75"/>
      <c r="B75" s="1595">
        <f t="shared" ref="B75:B106" si="74">P75</f>
        <v>2</v>
      </c>
      <c r="C75" s="1626" t="str">
        <f t="shared" si="53"/>
        <v>耐用性・信頼性</v>
      </c>
      <c r="D75" s="2059" t="e">
        <f>IF(I$61=0,0,G75/I$61)</f>
        <v>#DIV/0!</v>
      </c>
      <c r="E75" s="1741" t="e">
        <f>IF(J$61=0,0,H75/J$61)</f>
        <v>#DIV/0!</v>
      </c>
      <c r="F75"/>
      <c r="G75" s="1741" t="e">
        <f t="shared" si="54"/>
        <v>#DIV/0!</v>
      </c>
      <c r="H75" s="1741" t="e">
        <f t="shared" si="55"/>
        <v>#DIV/0!</v>
      </c>
      <c r="I75" s="1741" t="e">
        <f>G76+G79++G86+G90</f>
        <v>#DIV/0!</v>
      </c>
      <c r="J75" s="1741" t="e">
        <f>H76+H79++H86+H90</f>
        <v>#DIV/0!</v>
      </c>
      <c r="K75" s="1741" t="e">
        <f>IF(スコア表示!W75=0,0,1)</f>
        <v>#DIV/0!</v>
      </c>
      <c r="L75" s="1741" t="e">
        <f>IF(スコア表示!AA75=0,0,1)</f>
        <v>#DIV/0!</v>
      </c>
      <c r="M75" s="1741" t="e">
        <f t="shared" si="56"/>
        <v>#DIV/0!</v>
      </c>
      <c r="N75" s="1741">
        <v>1</v>
      </c>
      <c r="O75"/>
      <c r="P75" s="1639">
        <f t="shared" si="58"/>
        <v>2</v>
      </c>
      <c r="Q75" s="1639" t="str">
        <f t="shared" si="59"/>
        <v xml:space="preserve"> Q2</v>
      </c>
      <c r="R75" s="1778" t="str">
        <f t="shared" si="60"/>
        <v>耐用性・信頼性</v>
      </c>
      <c r="S75" s="1608">
        <f t="shared" si="61"/>
        <v>0.3</v>
      </c>
      <c r="T75" s="1608">
        <f t="shared" si="62"/>
        <v>0.3</v>
      </c>
      <c r="U75" s="1608">
        <f t="shared" si="63"/>
        <v>0.3</v>
      </c>
      <c r="V75" s="1608">
        <f t="shared" si="64"/>
        <v>0.3</v>
      </c>
      <c r="W75" s="1608">
        <f t="shared" si="65"/>
        <v>0.3</v>
      </c>
      <c r="X75" s="1608">
        <f t="shared" si="66"/>
        <v>0.3</v>
      </c>
      <c r="Y75" s="1608">
        <f t="shared" si="67"/>
        <v>0.3</v>
      </c>
      <c r="Z75" s="1644">
        <f t="shared" si="68"/>
        <v>0.3</v>
      </c>
      <c r="AA75" s="1608">
        <f t="shared" si="69"/>
        <v>0.3</v>
      </c>
      <c r="AB75" s="1608">
        <f t="shared" si="70"/>
        <v>0.3</v>
      </c>
      <c r="AC75" s="1657">
        <f t="shared" si="71"/>
        <v>0</v>
      </c>
      <c r="AD75" s="1608">
        <f t="shared" si="72"/>
        <v>0</v>
      </c>
      <c r="AE75" s="1608">
        <f t="shared" si="73"/>
        <v>0</v>
      </c>
      <c r="AF75"/>
      <c r="AG75" s="1639">
        <v>2</v>
      </c>
      <c r="AH75" s="1742" t="s">
        <v>312</v>
      </c>
      <c r="AI75" s="1785" t="s">
        <v>413</v>
      </c>
      <c r="AJ75" s="1608">
        <v>0.3</v>
      </c>
      <c r="AK75" s="1608">
        <v>0.3</v>
      </c>
      <c r="AL75" s="1608">
        <v>0.3</v>
      </c>
      <c r="AM75" s="1608">
        <v>0.3</v>
      </c>
      <c r="AN75" s="1608">
        <v>0.3</v>
      </c>
      <c r="AO75" s="1608">
        <v>0.3</v>
      </c>
      <c r="AP75" s="1608">
        <v>0.3</v>
      </c>
      <c r="AQ75" s="1644">
        <v>0.3</v>
      </c>
      <c r="AR75" s="1608">
        <v>0.3</v>
      </c>
      <c r="AS75" s="1709">
        <v>0.3</v>
      </c>
      <c r="AT75" s="2060">
        <v>0</v>
      </c>
      <c r="AU75" s="1709">
        <v>0</v>
      </c>
      <c r="AV75" s="1709">
        <v>0</v>
      </c>
      <c r="AW75"/>
      <c r="AX75" s="1639">
        <v>2</v>
      </c>
      <c r="AY75" s="1742" t="s">
        <v>312</v>
      </c>
      <c r="AZ75" s="1785" t="s">
        <v>413</v>
      </c>
      <c r="BA75" s="1709">
        <v>0.3</v>
      </c>
      <c r="BB75" s="1709">
        <v>0.3</v>
      </c>
      <c r="BC75" s="1709">
        <v>0.3</v>
      </c>
      <c r="BD75" s="1709">
        <v>0.3</v>
      </c>
      <c r="BE75" s="1709">
        <v>0.3</v>
      </c>
      <c r="BF75" s="1709">
        <v>0.3</v>
      </c>
      <c r="BG75" s="1709">
        <v>0.3</v>
      </c>
      <c r="BH75" s="1709">
        <v>0.3</v>
      </c>
      <c r="BI75" s="1709">
        <v>0.3</v>
      </c>
      <c r="BJ75" s="1709">
        <v>0.3</v>
      </c>
      <c r="BK75" s="2060"/>
      <c r="BL75" s="1709"/>
      <c r="BM75" s="1709"/>
      <c r="BN75"/>
      <c r="BO75" s="1639">
        <v>2</v>
      </c>
      <c r="BP75" s="1742" t="s">
        <v>312</v>
      </c>
      <c r="BQ75" s="1785" t="s">
        <v>413</v>
      </c>
      <c r="BR75" s="1709">
        <v>0.3</v>
      </c>
      <c r="BS75" s="1709">
        <v>0.3</v>
      </c>
      <c r="BT75" s="1709">
        <v>0.3</v>
      </c>
      <c r="BU75" s="1709">
        <v>0.3</v>
      </c>
      <c r="BV75" s="1709">
        <v>0.3</v>
      </c>
      <c r="BW75" s="1709">
        <v>0.3</v>
      </c>
      <c r="BX75" s="1709">
        <v>0.3</v>
      </c>
      <c r="BY75" s="1709">
        <v>0.3</v>
      </c>
      <c r="BZ75" s="1709">
        <v>0.3</v>
      </c>
      <c r="CA75" s="1709">
        <v>0.3</v>
      </c>
      <c r="CB75" s="2060"/>
      <c r="CC75" s="1709"/>
      <c r="CD75" s="1709"/>
      <c r="CE75"/>
    </row>
    <row r="76" spans="1:94">
      <c r="B76" s="1595">
        <f t="shared" si="74"/>
        <v>2.1</v>
      </c>
      <c r="C76" s="1645" t="str">
        <f t="shared" si="53"/>
        <v>耐震･免震</v>
      </c>
      <c r="D76" s="1714" t="e">
        <f>IF(I$75=0,0,G76/I$75)</f>
        <v>#DIV/0!</v>
      </c>
      <c r="E76" s="1689" t="e">
        <f>IF(J$75=0,0,H76/J$75)</f>
        <v>#DIV/0!</v>
      </c>
      <c r="G76" s="1689" t="e">
        <f t="shared" si="54"/>
        <v>#DIV/0!</v>
      </c>
      <c r="H76" s="1689" t="e">
        <f t="shared" si="55"/>
        <v>#DIV/0!</v>
      </c>
      <c r="I76" s="1689" t="e">
        <f>SUM(G77:G78)</f>
        <v>#DIV/0!</v>
      </c>
      <c r="J76" s="1689" t="e">
        <f>SUM(H77:H78)</f>
        <v>#DIV/0!</v>
      </c>
      <c r="K76" s="1689" t="e">
        <f>IF(スコア表示!W76=0,0,1)</f>
        <v>#DIV/0!</v>
      </c>
      <c r="L76" s="1689" t="e">
        <f>IF(スコア表示!AA76=0,0,1)</f>
        <v>#DIV/0!</v>
      </c>
      <c r="M76" s="1689" t="e">
        <f t="shared" si="56"/>
        <v>#DIV/0!</v>
      </c>
      <c r="N76" s="1689" t="e">
        <f t="shared" si="57"/>
        <v>#DIV/0!</v>
      </c>
      <c r="P76" s="1645">
        <f t="shared" si="58"/>
        <v>2.1</v>
      </c>
      <c r="Q76" s="1645" t="str">
        <f t="shared" si="59"/>
        <v xml:space="preserve"> Q2 2</v>
      </c>
      <c r="R76" s="1735" t="str">
        <f t="shared" si="60"/>
        <v>耐震･免震</v>
      </c>
      <c r="S76" s="1616">
        <f t="shared" si="61"/>
        <v>0.25</v>
      </c>
      <c r="T76" s="1616">
        <f t="shared" si="62"/>
        <v>0.25</v>
      </c>
      <c r="U76" s="1616">
        <f t="shared" si="63"/>
        <v>0.25</v>
      </c>
      <c r="V76" s="1616">
        <f t="shared" si="64"/>
        <v>0.25</v>
      </c>
      <c r="W76" s="1616">
        <f t="shared" si="65"/>
        <v>0.25</v>
      </c>
      <c r="X76" s="1616">
        <f t="shared" si="66"/>
        <v>0.25</v>
      </c>
      <c r="Y76" s="1616">
        <f t="shared" si="67"/>
        <v>0.25</v>
      </c>
      <c r="Z76" s="1624">
        <f t="shared" si="68"/>
        <v>0.25</v>
      </c>
      <c r="AA76" s="1616">
        <f t="shared" si="69"/>
        <v>0.25</v>
      </c>
      <c r="AB76" s="1616">
        <f t="shared" si="70"/>
        <v>0.25</v>
      </c>
      <c r="AC76" s="1617">
        <f t="shared" si="71"/>
        <v>0</v>
      </c>
      <c r="AD76" s="1616">
        <f t="shared" si="72"/>
        <v>0</v>
      </c>
      <c r="AE76" s="1616">
        <f t="shared" si="73"/>
        <v>0</v>
      </c>
      <c r="AG76" s="1645">
        <v>2.1</v>
      </c>
      <c r="AH76" s="1691" t="s">
        <v>327</v>
      </c>
      <c r="AI76" s="1735" t="s">
        <v>691</v>
      </c>
      <c r="AJ76" s="1616">
        <v>0.25</v>
      </c>
      <c r="AK76" s="1616">
        <v>0.25</v>
      </c>
      <c r="AL76" s="1616">
        <v>0.25</v>
      </c>
      <c r="AM76" s="1616">
        <v>0.25</v>
      </c>
      <c r="AN76" s="1616">
        <v>0.25</v>
      </c>
      <c r="AO76" s="1616">
        <v>0.25</v>
      </c>
      <c r="AP76" s="1616">
        <v>0.25</v>
      </c>
      <c r="AQ76" s="1624">
        <v>0.25</v>
      </c>
      <c r="AR76" s="1616">
        <v>0.25</v>
      </c>
      <c r="AS76" s="1621">
        <v>0.25</v>
      </c>
      <c r="AT76" s="1623">
        <v>0</v>
      </c>
      <c r="AU76" s="1621">
        <v>0</v>
      </c>
      <c r="AV76" s="1621">
        <v>0</v>
      </c>
      <c r="AX76" s="1645">
        <v>2.1</v>
      </c>
      <c r="AY76" s="1691" t="s">
        <v>327</v>
      </c>
      <c r="AZ76" s="1735" t="s">
        <v>691</v>
      </c>
      <c r="BA76" s="1621">
        <v>0.5</v>
      </c>
      <c r="BB76" s="1621">
        <v>0.5</v>
      </c>
      <c r="BC76" s="1621">
        <v>0.5</v>
      </c>
      <c r="BD76" s="1621">
        <v>0.5</v>
      </c>
      <c r="BE76" s="1621">
        <v>0.5</v>
      </c>
      <c r="BF76" s="1621">
        <v>0.5</v>
      </c>
      <c r="BG76" s="1621">
        <v>0.5</v>
      </c>
      <c r="BH76" s="1622">
        <v>0.5</v>
      </c>
      <c r="BI76" s="1621">
        <v>0.5</v>
      </c>
      <c r="BJ76" s="1621">
        <v>0.5</v>
      </c>
      <c r="BK76" s="1623"/>
      <c r="BL76" s="1621"/>
      <c r="BM76" s="1621"/>
      <c r="BO76" s="1645">
        <v>2.1</v>
      </c>
      <c r="BP76" s="1691" t="s">
        <v>327</v>
      </c>
      <c r="BQ76" s="1735" t="s">
        <v>691</v>
      </c>
      <c r="BR76" s="1621">
        <v>0.5</v>
      </c>
      <c r="BS76" s="1621">
        <v>0.5</v>
      </c>
      <c r="BT76" s="1621">
        <v>0.5</v>
      </c>
      <c r="BU76" s="1621">
        <v>0.5</v>
      </c>
      <c r="BV76" s="1621">
        <v>0.5</v>
      </c>
      <c r="BW76" s="1621">
        <v>0.5</v>
      </c>
      <c r="BX76" s="1621">
        <v>0.5</v>
      </c>
      <c r="BY76" s="1622">
        <v>0.5</v>
      </c>
      <c r="BZ76" s="1621">
        <v>0.5</v>
      </c>
      <c r="CA76" s="1621">
        <v>0.5</v>
      </c>
      <c r="CB76" s="1623"/>
      <c r="CC76" s="1621"/>
      <c r="CD76" s="1621"/>
    </row>
    <row r="77" spans="1:94">
      <c r="B77" s="1595" t="str">
        <f t="shared" si="74"/>
        <v>2.1.1</v>
      </c>
      <c r="C77" s="1612" t="str">
        <f t="shared" si="53"/>
        <v>耐震性</v>
      </c>
      <c r="D77" s="1719" t="e">
        <f>IF(I$76&gt;0,G77/I$76,0)</f>
        <v>#DIV/0!</v>
      </c>
      <c r="E77" s="1689" t="e">
        <f>IF(J$76&gt;0,H77/J$76,0)</f>
        <v>#DIV/0!</v>
      </c>
      <c r="G77" s="1689" t="e">
        <f t="shared" si="54"/>
        <v>#DIV/0!</v>
      </c>
      <c r="H77" s="1689" t="e">
        <f t="shared" si="55"/>
        <v>#DIV/0!</v>
      </c>
      <c r="I77" s="1689"/>
      <c r="J77" s="1689"/>
      <c r="K77" s="1689">
        <f>IF(スコア表示!W77=0,0,1)</f>
        <v>1</v>
      </c>
      <c r="L77" s="1689">
        <f>IF(スコア表示!AA77=0,0,1)</f>
        <v>0</v>
      </c>
      <c r="M77" s="1689" t="e">
        <f t="shared" si="56"/>
        <v>#DIV/0!</v>
      </c>
      <c r="N77" s="1689" t="e">
        <f t="shared" si="57"/>
        <v>#DIV/0!</v>
      </c>
      <c r="P77" s="1645" t="str">
        <f t="shared" si="58"/>
        <v>2.1.1</v>
      </c>
      <c r="Q77" s="1645" t="str">
        <f t="shared" si="59"/>
        <v xml:space="preserve"> Q2 2.1</v>
      </c>
      <c r="R77" s="1735" t="str">
        <f t="shared" si="60"/>
        <v>耐震性</v>
      </c>
      <c r="S77" s="1616">
        <f t="shared" si="61"/>
        <v>0.8</v>
      </c>
      <c r="T77" s="1616">
        <f t="shared" si="62"/>
        <v>0.8</v>
      </c>
      <c r="U77" s="1616">
        <f t="shared" si="63"/>
        <v>0.8</v>
      </c>
      <c r="V77" s="1616">
        <f t="shared" si="64"/>
        <v>0.8</v>
      </c>
      <c r="W77" s="1616">
        <f t="shared" si="65"/>
        <v>0.8</v>
      </c>
      <c r="X77" s="1616">
        <f t="shared" si="66"/>
        <v>0.8</v>
      </c>
      <c r="Y77" s="1616">
        <f t="shared" si="67"/>
        <v>0.8</v>
      </c>
      <c r="Z77" s="1624">
        <f t="shared" si="68"/>
        <v>0.8</v>
      </c>
      <c r="AA77" s="1616">
        <f t="shared" si="69"/>
        <v>0.8</v>
      </c>
      <c r="AB77" s="1616">
        <f t="shared" si="70"/>
        <v>0.8</v>
      </c>
      <c r="AC77" s="1617">
        <f t="shared" si="71"/>
        <v>0</v>
      </c>
      <c r="AD77" s="1616">
        <f t="shared" si="72"/>
        <v>0</v>
      </c>
      <c r="AE77" s="1616">
        <f t="shared" si="73"/>
        <v>0</v>
      </c>
      <c r="AG77" s="1645" t="s">
        <v>1461</v>
      </c>
      <c r="AH77" s="1691" t="s">
        <v>328</v>
      </c>
      <c r="AI77" s="2061" t="s">
        <v>329</v>
      </c>
      <c r="AJ77" s="1616">
        <v>0.8</v>
      </c>
      <c r="AK77" s="1616">
        <v>0.8</v>
      </c>
      <c r="AL77" s="1616">
        <v>0.8</v>
      </c>
      <c r="AM77" s="1616">
        <v>0.8</v>
      </c>
      <c r="AN77" s="1616">
        <v>0.8</v>
      </c>
      <c r="AO77" s="1616">
        <v>0.8</v>
      </c>
      <c r="AP77" s="1616">
        <v>0.8</v>
      </c>
      <c r="AQ77" s="1624">
        <v>0.8</v>
      </c>
      <c r="AR77" s="1616">
        <v>0.8</v>
      </c>
      <c r="AS77" s="1621">
        <v>0.8</v>
      </c>
      <c r="AT77" s="1623">
        <v>0</v>
      </c>
      <c r="AU77" s="1621">
        <v>0</v>
      </c>
      <c r="AV77" s="1621">
        <v>0</v>
      </c>
      <c r="AX77" s="1645" t="s">
        <v>1461</v>
      </c>
      <c r="AY77" s="1691" t="s">
        <v>328</v>
      </c>
      <c r="AZ77" s="2061" t="s">
        <v>329</v>
      </c>
      <c r="BA77" s="1621">
        <v>0.8</v>
      </c>
      <c r="BB77" s="1621">
        <v>0.8</v>
      </c>
      <c r="BC77" s="1621">
        <v>0.8</v>
      </c>
      <c r="BD77" s="1621">
        <v>0.8</v>
      </c>
      <c r="BE77" s="1621">
        <v>0.8</v>
      </c>
      <c r="BF77" s="1621">
        <v>0.8</v>
      </c>
      <c r="BG77" s="1621">
        <v>0.8</v>
      </c>
      <c r="BH77" s="1622">
        <v>0.8</v>
      </c>
      <c r="BI77" s="1621">
        <v>0.8</v>
      </c>
      <c r="BJ77" s="1621">
        <v>0.8</v>
      </c>
      <c r="BK77" s="1623"/>
      <c r="BL77" s="1621"/>
      <c r="BM77" s="1621"/>
      <c r="BO77" s="1645" t="s">
        <v>1461</v>
      </c>
      <c r="BP77" s="1691" t="s">
        <v>328</v>
      </c>
      <c r="BQ77" s="2061" t="s">
        <v>329</v>
      </c>
      <c r="BR77" s="1621">
        <v>0.8</v>
      </c>
      <c r="BS77" s="1621">
        <v>0.8</v>
      </c>
      <c r="BT77" s="1621">
        <v>0.8</v>
      </c>
      <c r="BU77" s="1621">
        <v>0.8</v>
      </c>
      <c r="BV77" s="1621">
        <v>0.8</v>
      </c>
      <c r="BW77" s="1621">
        <v>0.8</v>
      </c>
      <c r="BX77" s="1621">
        <v>0.8</v>
      </c>
      <c r="BY77" s="1622">
        <v>0.8</v>
      </c>
      <c r="BZ77" s="1621">
        <v>0.8</v>
      </c>
      <c r="CA77" s="1621">
        <v>0.8</v>
      </c>
      <c r="CB77" s="1623"/>
      <c r="CC77" s="1621"/>
      <c r="CD77" s="1621"/>
    </row>
    <row r="78" spans="1:94">
      <c r="B78" s="1595" t="str">
        <f t="shared" si="74"/>
        <v>2.1.2</v>
      </c>
      <c r="C78" s="1612" t="str">
        <f t="shared" si="53"/>
        <v>免震・制振性能</v>
      </c>
      <c r="D78" s="1719" t="e">
        <f>IF(I$76&gt;0,G78/I$76,0)</f>
        <v>#DIV/0!</v>
      </c>
      <c r="E78" s="1689" t="e">
        <f>IF(J$76&gt;0,H78/J$76,0)</f>
        <v>#DIV/0!</v>
      </c>
      <c r="G78" s="1689" t="e">
        <f t="shared" si="54"/>
        <v>#DIV/0!</v>
      </c>
      <c r="H78" s="1689" t="e">
        <f t="shared" si="55"/>
        <v>#DIV/0!</v>
      </c>
      <c r="I78" s="1689"/>
      <c r="J78" s="1689"/>
      <c r="K78" s="1689">
        <f>IF(スコア表示!W78=0,0,1)</f>
        <v>1</v>
      </c>
      <c r="L78" s="1689">
        <f>IF(スコア表示!AA78=0,0,1)</f>
        <v>0</v>
      </c>
      <c r="M78" s="1689" t="e">
        <f t="shared" si="56"/>
        <v>#DIV/0!</v>
      </c>
      <c r="N78" s="1689" t="e">
        <f t="shared" si="57"/>
        <v>#DIV/0!</v>
      </c>
      <c r="P78" s="1645" t="str">
        <f t="shared" si="58"/>
        <v>2.1.2</v>
      </c>
      <c r="Q78" s="1645" t="str">
        <f t="shared" si="59"/>
        <v xml:space="preserve"> Q2 2.1</v>
      </c>
      <c r="R78" s="1735" t="str">
        <f t="shared" si="60"/>
        <v>免震・制振性能</v>
      </c>
      <c r="S78" s="1616">
        <f t="shared" si="61"/>
        <v>0.2</v>
      </c>
      <c r="T78" s="1616">
        <f t="shared" si="62"/>
        <v>0.2</v>
      </c>
      <c r="U78" s="1616">
        <f t="shared" si="63"/>
        <v>0.2</v>
      </c>
      <c r="V78" s="1616">
        <f t="shared" si="64"/>
        <v>0.2</v>
      </c>
      <c r="W78" s="1616">
        <f t="shared" si="65"/>
        <v>0.2</v>
      </c>
      <c r="X78" s="1616">
        <f t="shared" si="66"/>
        <v>0.2</v>
      </c>
      <c r="Y78" s="1616">
        <f t="shared" si="67"/>
        <v>0.2</v>
      </c>
      <c r="Z78" s="1624">
        <f t="shared" si="68"/>
        <v>0.2</v>
      </c>
      <c r="AA78" s="1616">
        <f t="shared" si="69"/>
        <v>0.2</v>
      </c>
      <c r="AB78" s="1616">
        <f t="shared" si="70"/>
        <v>0.2</v>
      </c>
      <c r="AC78" s="1617">
        <f t="shared" si="71"/>
        <v>0</v>
      </c>
      <c r="AD78" s="1616">
        <f t="shared" si="72"/>
        <v>0</v>
      </c>
      <c r="AE78" s="1616">
        <f t="shared" si="73"/>
        <v>0</v>
      </c>
      <c r="AG78" s="1645" t="s">
        <v>1462</v>
      </c>
      <c r="AH78" s="1691" t="s">
        <v>328</v>
      </c>
      <c r="AI78" s="2061" t="s">
        <v>414</v>
      </c>
      <c r="AJ78" s="1616">
        <v>0.2</v>
      </c>
      <c r="AK78" s="1616">
        <v>0.2</v>
      </c>
      <c r="AL78" s="1616">
        <v>0.2</v>
      </c>
      <c r="AM78" s="1616">
        <v>0.2</v>
      </c>
      <c r="AN78" s="1616">
        <v>0.2</v>
      </c>
      <c r="AO78" s="1616">
        <v>0.2</v>
      </c>
      <c r="AP78" s="1616">
        <v>0.2</v>
      </c>
      <c r="AQ78" s="1624">
        <v>0.2</v>
      </c>
      <c r="AR78" s="1616">
        <v>0.2</v>
      </c>
      <c r="AS78" s="1621">
        <v>0.2</v>
      </c>
      <c r="AT78" s="1623">
        <v>0</v>
      </c>
      <c r="AU78" s="1621">
        <v>0</v>
      </c>
      <c r="AV78" s="1621">
        <v>0</v>
      </c>
      <c r="AX78" s="1645" t="s">
        <v>1462</v>
      </c>
      <c r="AY78" s="1691" t="s">
        <v>328</v>
      </c>
      <c r="AZ78" s="2061" t="s">
        <v>414</v>
      </c>
      <c r="BA78" s="1621">
        <v>0.2</v>
      </c>
      <c r="BB78" s="1621">
        <v>0.2</v>
      </c>
      <c r="BC78" s="1621">
        <v>0.2</v>
      </c>
      <c r="BD78" s="1621">
        <v>0.2</v>
      </c>
      <c r="BE78" s="1621">
        <v>0.2</v>
      </c>
      <c r="BF78" s="1621">
        <v>0.2</v>
      </c>
      <c r="BG78" s="1621">
        <v>0.2</v>
      </c>
      <c r="BH78" s="1622">
        <v>0.2</v>
      </c>
      <c r="BI78" s="1621">
        <v>0.2</v>
      </c>
      <c r="BJ78" s="1621">
        <v>0.2</v>
      </c>
      <c r="BK78" s="1623"/>
      <c r="BL78" s="1621"/>
      <c r="BM78" s="1621"/>
      <c r="BO78" s="1645" t="s">
        <v>1462</v>
      </c>
      <c r="BP78" s="1691" t="s">
        <v>328</v>
      </c>
      <c r="BQ78" s="2061" t="s">
        <v>414</v>
      </c>
      <c r="BR78" s="1621">
        <v>0.2</v>
      </c>
      <c r="BS78" s="1621">
        <v>0.2</v>
      </c>
      <c r="BT78" s="1621">
        <v>0.2</v>
      </c>
      <c r="BU78" s="1621">
        <v>0.2</v>
      </c>
      <c r="BV78" s="1621">
        <v>0.2</v>
      </c>
      <c r="BW78" s="1621">
        <v>0.2</v>
      </c>
      <c r="BX78" s="1621">
        <v>0.2</v>
      </c>
      <c r="BY78" s="1622">
        <v>0.2</v>
      </c>
      <c r="BZ78" s="1621">
        <v>0.2</v>
      </c>
      <c r="CA78" s="1621">
        <v>0.2</v>
      </c>
      <c r="CB78" s="1623"/>
      <c r="CC78" s="1621"/>
      <c r="CD78" s="1621"/>
    </row>
    <row r="79" spans="1:94">
      <c r="B79" s="1595">
        <f t="shared" si="74"/>
        <v>2.2000000000000002</v>
      </c>
      <c r="C79" s="1645" t="str">
        <f t="shared" si="53"/>
        <v>部品・部材の耐用年数</v>
      </c>
      <c r="D79" s="1714" t="e">
        <f>IF(I$75=0,0,G79/I$75)</f>
        <v>#DIV/0!</v>
      </c>
      <c r="E79" s="1689" t="e">
        <f>IF(J$75=0,0,H79/J$75)</f>
        <v>#DIV/0!</v>
      </c>
      <c r="G79" s="1689" t="e">
        <f t="shared" si="54"/>
        <v>#DIV/0!</v>
      </c>
      <c r="H79" s="1689" t="e">
        <f t="shared" si="55"/>
        <v>#DIV/0!</v>
      </c>
      <c r="I79" s="1689" t="e">
        <f>SUM(G80:G85)</f>
        <v>#DIV/0!</v>
      </c>
      <c r="J79" s="1689" t="e">
        <f>SUM(H80:H85)</f>
        <v>#DIV/0!</v>
      </c>
      <c r="K79" s="1689" t="e">
        <f>IF(スコア表示!W79=0,0,1)</f>
        <v>#DIV/0!</v>
      </c>
      <c r="L79" s="1689" t="e">
        <f>IF(スコア表示!AA79=0,0,1)</f>
        <v>#DIV/0!</v>
      </c>
      <c r="M79" s="1689" t="e">
        <f t="shared" si="56"/>
        <v>#DIV/0!</v>
      </c>
      <c r="N79" s="1689" t="e">
        <f t="shared" si="57"/>
        <v>#DIV/0!</v>
      </c>
      <c r="P79" s="1645">
        <f t="shared" si="58"/>
        <v>2.2000000000000002</v>
      </c>
      <c r="Q79" s="1645" t="str">
        <f t="shared" si="59"/>
        <v xml:space="preserve"> Q2 2</v>
      </c>
      <c r="R79" s="1735" t="str">
        <f t="shared" si="60"/>
        <v>部品・部材の耐用年数</v>
      </c>
      <c r="S79" s="1616">
        <f t="shared" si="61"/>
        <v>0.25</v>
      </c>
      <c r="T79" s="1616">
        <f t="shared" si="62"/>
        <v>0.25</v>
      </c>
      <c r="U79" s="1616">
        <f t="shared" si="63"/>
        <v>0.25</v>
      </c>
      <c r="V79" s="1616">
        <f t="shared" si="64"/>
        <v>0.25</v>
      </c>
      <c r="W79" s="1616">
        <f t="shared" si="65"/>
        <v>0.25</v>
      </c>
      <c r="X79" s="1616">
        <f t="shared" si="66"/>
        <v>0.25</v>
      </c>
      <c r="Y79" s="1616">
        <f t="shared" si="67"/>
        <v>0.25</v>
      </c>
      <c r="Z79" s="1624">
        <f t="shared" si="68"/>
        <v>0.25</v>
      </c>
      <c r="AA79" s="1616">
        <f t="shared" si="69"/>
        <v>0.25</v>
      </c>
      <c r="AB79" s="1616">
        <f t="shared" si="70"/>
        <v>0.25</v>
      </c>
      <c r="AC79" s="1617">
        <f t="shared" si="71"/>
        <v>0</v>
      </c>
      <c r="AD79" s="1616">
        <f t="shared" si="72"/>
        <v>0</v>
      </c>
      <c r="AE79" s="1616">
        <f t="shared" si="73"/>
        <v>0</v>
      </c>
      <c r="AG79" s="1645">
        <v>2.2000000000000002</v>
      </c>
      <c r="AH79" s="1691" t="s">
        <v>327</v>
      </c>
      <c r="AI79" s="1735" t="s">
        <v>697</v>
      </c>
      <c r="AJ79" s="1616">
        <v>0.25</v>
      </c>
      <c r="AK79" s="1616">
        <v>0.25</v>
      </c>
      <c r="AL79" s="1616">
        <v>0.25</v>
      </c>
      <c r="AM79" s="1616">
        <v>0.25</v>
      </c>
      <c r="AN79" s="1616">
        <v>0.25</v>
      </c>
      <c r="AO79" s="1616">
        <v>0.25</v>
      </c>
      <c r="AP79" s="1616">
        <v>0.25</v>
      </c>
      <c r="AQ79" s="1624">
        <v>0.25</v>
      </c>
      <c r="AR79" s="1616">
        <v>0.25</v>
      </c>
      <c r="AS79" s="1621">
        <v>0.25</v>
      </c>
      <c r="AT79" s="1623">
        <v>0</v>
      </c>
      <c r="AU79" s="1621">
        <v>0</v>
      </c>
      <c r="AV79" s="1621">
        <v>0</v>
      </c>
      <c r="AX79" s="1645">
        <v>2.2000000000000002</v>
      </c>
      <c r="AY79" s="1691" t="s">
        <v>327</v>
      </c>
      <c r="AZ79" s="1735" t="s">
        <v>697</v>
      </c>
      <c r="BA79" s="1621">
        <v>0.3</v>
      </c>
      <c r="BB79" s="1621">
        <v>0.3</v>
      </c>
      <c r="BC79" s="1621">
        <v>0.3</v>
      </c>
      <c r="BD79" s="1621">
        <v>0.3</v>
      </c>
      <c r="BE79" s="1621">
        <v>0.3</v>
      </c>
      <c r="BF79" s="1621">
        <v>0.3</v>
      </c>
      <c r="BG79" s="1621">
        <v>0.3</v>
      </c>
      <c r="BH79" s="1622">
        <v>0.3</v>
      </c>
      <c r="BI79" s="1621">
        <v>0.3</v>
      </c>
      <c r="BJ79" s="1621">
        <v>0.3</v>
      </c>
      <c r="BK79" s="1623"/>
      <c r="BL79" s="1621"/>
      <c r="BM79" s="1621"/>
      <c r="BO79" s="1645">
        <v>2.2000000000000002</v>
      </c>
      <c r="BP79" s="1691" t="s">
        <v>327</v>
      </c>
      <c r="BQ79" s="1735" t="s">
        <v>697</v>
      </c>
      <c r="BR79" s="1621">
        <v>0.3</v>
      </c>
      <c r="BS79" s="1621">
        <v>0.3</v>
      </c>
      <c r="BT79" s="1621">
        <v>0.3</v>
      </c>
      <c r="BU79" s="1621">
        <v>0.3</v>
      </c>
      <c r="BV79" s="1621">
        <v>0.3</v>
      </c>
      <c r="BW79" s="1621">
        <v>0.3</v>
      </c>
      <c r="BX79" s="1621">
        <v>0.3</v>
      </c>
      <c r="BY79" s="1622">
        <v>0.3</v>
      </c>
      <c r="BZ79" s="1621">
        <v>0.3</v>
      </c>
      <c r="CA79" s="1621">
        <v>0.3</v>
      </c>
      <c r="CB79" s="1623"/>
      <c r="CC79" s="1621"/>
      <c r="CD79" s="1621"/>
    </row>
    <row r="80" spans="1:94">
      <c r="B80" s="1595" t="str">
        <f t="shared" si="74"/>
        <v>2.2.1</v>
      </c>
      <c r="C80" s="1612" t="str">
        <f t="shared" si="53"/>
        <v>躯体材料の耐用年数</v>
      </c>
      <c r="D80" s="1719" t="e">
        <f t="shared" ref="D80:E85" si="75">IF(I$79&gt;0,G80/I$79,0)</f>
        <v>#DIV/0!</v>
      </c>
      <c r="E80" s="1689" t="e">
        <f t="shared" si="75"/>
        <v>#DIV/0!</v>
      </c>
      <c r="G80" s="1689" t="e">
        <f t="shared" si="54"/>
        <v>#DIV/0!</v>
      </c>
      <c r="H80" s="1689" t="e">
        <f t="shared" si="55"/>
        <v>#DIV/0!</v>
      </c>
      <c r="I80" s="1689"/>
      <c r="J80" s="1689"/>
      <c r="K80" s="1689">
        <f>IF(スコア表示!W80=0,0,1)</f>
        <v>1</v>
      </c>
      <c r="L80" s="1689">
        <f>IF(スコア表示!AA80=0,0,1)</f>
        <v>0</v>
      </c>
      <c r="M80" s="1689" t="e">
        <f t="shared" si="56"/>
        <v>#DIV/0!</v>
      </c>
      <c r="N80" s="1689" t="e">
        <f t="shared" si="57"/>
        <v>#DIV/0!</v>
      </c>
      <c r="P80" s="1645" t="str">
        <f t="shared" si="58"/>
        <v>2.2.1</v>
      </c>
      <c r="Q80" s="1645" t="str">
        <f t="shared" si="59"/>
        <v xml:space="preserve"> Q2 2.2</v>
      </c>
      <c r="R80" s="1735" t="str">
        <f t="shared" si="60"/>
        <v>躯体材料の耐用年数</v>
      </c>
      <c r="S80" s="1616">
        <f t="shared" si="61"/>
        <v>0.2</v>
      </c>
      <c r="T80" s="1616">
        <f t="shared" si="62"/>
        <v>0.2</v>
      </c>
      <c r="U80" s="1616">
        <f t="shared" si="63"/>
        <v>0.2</v>
      </c>
      <c r="V80" s="1616">
        <f t="shared" si="64"/>
        <v>0.2</v>
      </c>
      <c r="W80" s="1616">
        <f t="shared" si="65"/>
        <v>0.2</v>
      </c>
      <c r="X80" s="1616">
        <f t="shared" si="66"/>
        <v>0.2</v>
      </c>
      <c r="Y80" s="1616">
        <f t="shared" si="67"/>
        <v>0.2</v>
      </c>
      <c r="Z80" s="1624">
        <f t="shared" si="68"/>
        <v>0.2</v>
      </c>
      <c r="AA80" s="1616">
        <f t="shared" si="69"/>
        <v>0.2</v>
      </c>
      <c r="AB80" s="1616">
        <f t="shared" si="70"/>
        <v>0.25</v>
      </c>
      <c r="AC80" s="1617">
        <f t="shared" si="71"/>
        <v>0</v>
      </c>
      <c r="AD80" s="1616">
        <f t="shared" si="72"/>
        <v>0</v>
      </c>
      <c r="AE80" s="1616">
        <f t="shared" si="73"/>
        <v>0</v>
      </c>
      <c r="AG80" s="1645" t="s">
        <v>1463</v>
      </c>
      <c r="AH80" s="1691" t="s">
        <v>330</v>
      </c>
      <c r="AI80" s="2061" t="s">
        <v>699</v>
      </c>
      <c r="AJ80" s="1617">
        <v>0.2</v>
      </c>
      <c r="AK80" s="1617">
        <v>0.2</v>
      </c>
      <c r="AL80" s="1617">
        <v>0.2</v>
      </c>
      <c r="AM80" s="1617">
        <v>0.2</v>
      </c>
      <c r="AN80" s="1617">
        <v>0.2</v>
      </c>
      <c r="AO80" s="1617">
        <v>0.2</v>
      </c>
      <c r="AP80" s="1617">
        <v>0.2</v>
      </c>
      <c r="AQ80" s="1617">
        <v>0.2</v>
      </c>
      <c r="AR80" s="1617">
        <v>0.2</v>
      </c>
      <c r="AS80" s="1621">
        <v>0.25</v>
      </c>
      <c r="AT80" s="1623">
        <v>0</v>
      </c>
      <c r="AU80" s="1621">
        <v>0</v>
      </c>
      <c r="AV80" s="1621">
        <v>0</v>
      </c>
      <c r="AX80" s="1645" t="s">
        <v>1463</v>
      </c>
      <c r="AY80" s="1691" t="s">
        <v>330</v>
      </c>
      <c r="AZ80" s="2061" t="s">
        <v>699</v>
      </c>
      <c r="BA80" s="1621">
        <v>0.2</v>
      </c>
      <c r="BB80" s="1621">
        <v>0.2</v>
      </c>
      <c r="BC80" s="1621">
        <v>0.2</v>
      </c>
      <c r="BD80" s="1621">
        <v>0.2</v>
      </c>
      <c r="BE80" s="1621">
        <v>0.2</v>
      </c>
      <c r="BF80" s="1621">
        <v>0.2</v>
      </c>
      <c r="BG80" s="1621">
        <v>0.2</v>
      </c>
      <c r="BH80" s="1621">
        <v>0.2</v>
      </c>
      <c r="BI80" s="1621">
        <v>0.2</v>
      </c>
      <c r="BJ80" s="1621">
        <v>0.2</v>
      </c>
      <c r="BK80" s="1623"/>
      <c r="BL80" s="1621"/>
      <c r="BM80" s="1621"/>
      <c r="BO80" s="1645" t="s">
        <v>1463</v>
      </c>
      <c r="BP80" s="1691" t="s">
        <v>330</v>
      </c>
      <c r="BQ80" s="2061" t="s">
        <v>699</v>
      </c>
      <c r="BR80" s="1621">
        <v>0.2</v>
      </c>
      <c r="BS80" s="1621">
        <v>0.2</v>
      </c>
      <c r="BT80" s="1621">
        <v>0.2</v>
      </c>
      <c r="BU80" s="1621">
        <v>0.2</v>
      </c>
      <c r="BV80" s="1621">
        <v>0.2</v>
      </c>
      <c r="BW80" s="1621">
        <v>0.2</v>
      </c>
      <c r="BX80" s="1621">
        <v>0.2</v>
      </c>
      <c r="BY80" s="1621">
        <v>0.2</v>
      </c>
      <c r="BZ80" s="1621">
        <v>0.2</v>
      </c>
      <c r="CA80" s="1621">
        <v>0.2</v>
      </c>
      <c r="CB80" s="1623"/>
      <c r="CC80" s="1621"/>
      <c r="CD80" s="1621"/>
    </row>
    <row r="81" spans="1:94">
      <c r="B81" s="1595" t="str">
        <f t="shared" si="74"/>
        <v>2.2.2</v>
      </c>
      <c r="C81" s="1612" t="str">
        <f t="shared" si="53"/>
        <v>外壁仕上げ材の補修必要間隔</v>
      </c>
      <c r="D81" s="1719" t="e">
        <f t="shared" si="75"/>
        <v>#DIV/0!</v>
      </c>
      <c r="E81" s="1689" t="e">
        <f t="shared" si="75"/>
        <v>#DIV/0!</v>
      </c>
      <c r="G81" s="1689" t="e">
        <f t="shared" si="54"/>
        <v>#DIV/0!</v>
      </c>
      <c r="H81" s="1689" t="e">
        <f t="shared" si="55"/>
        <v>#DIV/0!</v>
      </c>
      <c r="I81" s="1689"/>
      <c r="J81" s="1689"/>
      <c r="K81" s="1689">
        <f>IF(スコア表示!W81=0,0,1)</f>
        <v>1</v>
      </c>
      <c r="L81" s="1689">
        <f>IF(スコア表示!AA81=0,0,1)</f>
        <v>0</v>
      </c>
      <c r="M81" s="1689" t="e">
        <f t="shared" si="56"/>
        <v>#DIV/0!</v>
      </c>
      <c r="N81" s="1689" t="e">
        <f t="shared" si="57"/>
        <v>#DIV/0!</v>
      </c>
      <c r="P81" s="1645" t="str">
        <f t="shared" si="58"/>
        <v>2.2.2</v>
      </c>
      <c r="Q81" s="1645" t="str">
        <f t="shared" si="59"/>
        <v xml:space="preserve"> Q2 2.2</v>
      </c>
      <c r="R81" s="1735" t="str">
        <f t="shared" si="60"/>
        <v>外壁仕上げ材の補修必要間隔</v>
      </c>
      <c r="S81" s="1616">
        <f t="shared" si="61"/>
        <v>0.2</v>
      </c>
      <c r="T81" s="1616">
        <f t="shared" si="62"/>
        <v>0.2</v>
      </c>
      <c r="U81" s="1616">
        <f t="shared" si="63"/>
        <v>0.2</v>
      </c>
      <c r="V81" s="1616">
        <f t="shared" si="64"/>
        <v>0.2</v>
      </c>
      <c r="W81" s="1616">
        <f t="shared" si="65"/>
        <v>0.2</v>
      </c>
      <c r="X81" s="1616">
        <f t="shared" si="66"/>
        <v>0.2</v>
      </c>
      <c r="Y81" s="1616">
        <f t="shared" si="67"/>
        <v>0.2</v>
      </c>
      <c r="Z81" s="1624">
        <f t="shared" si="68"/>
        <v>0.2</v>
      </c>
      <c r="AA81" s="1616">
        <f t="shared" si="69"/>
        <v>0.2</v>
      </c>
      <c r="AB81" s="1616">
        <f t="shared" si="70"/>
        <v>0.25</v>
      </c>
      <c r="AC81" s="1617">
        <f t="shared" si="71"/>
        <v>0</v>
      </c>
      <c r="AD81" s="1616">
        <f t="shared" si="72"/>
        <v>0</v>
      </c>
      <c r="AE81" s="1616">
        <f t="shared" si="73"/>
        <v>0</v>
      </c>
      <c r="AG81" s="1645" t="s">
        <v>1464</v>
      </c>
      <c r="AH81" s="1691" t="s">
        <v>330</v>
      </c>
      <c r="AI81" s="2061" t="s">
        <v>331</v>
      </c>
      <c r="AJ81" s="1617">
        <v>0.2</v>
      </c>
      <c r="AK81" s="1617">
        <v>0.2</v>
      </c>
      <c r="AL81" s="1617">
        <v>0.2</v>
      </c>
      <c r="AM81" s="1617">
        <v>0.2</v>
      </c>
      <c r="AN81" s="1617">
        <v>0.2</v>
      </c>
      <c r="AO81" s="1617">
        <v>0.2</v>
      </c>
      <c r="AP81" s="1617">
        <v>0.2</v>
      </c>
      <c r="AQ81" s="1617">
        <v>0.2</v>
      </c>
      <c r="AR81" s="1617">
        <v>0.2</v>
      </c>
      <c r="AS81" s="1621">
        <v>0.25</v>
      </c>
      <c r="AT81" s="1623">
        <v>0</v>
      </c>
      <c r="AU81" s="1621">
        <v>0</v>
      </c>
      <c r="AV81" s="1621">
        <v>0</v>
      </c>
      <c r="AX81" s="1645" t="s">
        <v>1464</v>
      </c>
      <c r="AY81" s="1691" t="s">
        <v>330</v>
      </c>
      <c r="AZ81" s="2061" t="s">
        <v>331</v>
      </c>
      <c r="BA81" s="1621">
        <v>0.2</v>
      </c>
      <c r="BB81" s="1621">
        <v>0.2</v>
      </c>
      <c r="BC81" s="1621">
        <v>0.2</v>
      </c>
      <c r="BD81" s="1621">
        <v>0.2</v>
      </c>
      <c r="BE81" s="1621">
        <v>0.2</v>
      </c>
      <c r="BF81" s="1621">
        <v>0.2</v>
      </c>
      <c r="BG81" s="1621">
        <v>0.2</v>
      </c>
      <c r="BH81" s="1621">
        <v>0.2</v>
      </c>
      <c r="BI81" s="1621">
        <v>0.2</v>
      </c>
      <c r="BJ81" s="1621">
        <v>0.2</v>
      </c>
      <c r="BK81" s="1623"/>
      <c r="BL81" s="1621"/>
      <c r="BM81" s="1621"/>
      <c r="BO81" s="1645" t="s">
        <v>1464</v>
      </c>
      <c r="BP81" s="1691" t="s">
        <v>330</v>
      </c>
      <c r="BQ81" s="2061" t="s">
        <v>331</v>
      </c>
      <c r="BR81" s="1621">
        <v>0.2</v>
      </c>
      <c r="BS81" s="1621">
        <v>0.2</v>
      </c>
      <c r="BT81" s="1621">
        <v>0.2</v>
      </c>
      <c r="BU81" s="1621">
        <v>0.2</v>
      </c>
      <c r="BV81" s="1621">
        <v>0.2</v>
      </c>
      <c r="BW81" s="1621">
        <v>0.2</v>
      </c>
      <c r="BX81" s="1621">
        <v>0.2</v>
      </c>
      <c r="BY81" s="1621">
        <v>0.2</v>
      </c>
      <c r="BZ81" s="1621">
        <v>0.2</v>
      </c>
      <c r="CA81" s="1621">
        <v>0.2</v>
      </c>
      <c r="CB81" s="1623"/>
      <c r="CC81" s="1621"/>
      <c r="CD81" s="1621"/>
    </row>
    <row r="82" spans="1:94">
      <c r="B82" s="1595" t="str">
        <f t="shared" si="74"/>
        <v>2.2.3</v>
      </c>
      <c r="C82" s="1612" t="str">
        <f t="shared" si="53"/>
        <v>主要内装仕上げ材の更新必要間隔</v>
      </c>
      <c r="D82" s="1719" t="e">
        <f t="shared" si="75"/>
        <v>#DIV/0!</v>
      </c>
      <c r="E82" s="1689" t="e">
        <f t="shared" si="75"/>
        <v>#DIV/0!</v>
      </c>
      <c r="G82" s="1689" t="e">
        <f t="shared" si="54"/>
        <v>#DIV/0!</v>
      </c>
      <c r="H82" s="1689" t="e">
        <f t="shared" si="55"/>
        <v>#DIV/0!</v>
      </c>
      <c r="I82" s="1689"/>
      <c r="J82" s="1689"/>
      <c r="K82" s="2063">
        <f>IF(スコア表示!W82=0,0,1)</f>
        <v>0</v>
      </c>
      <c r="L82" s="2063">
        <f>IF(スコア表示!AA82=0,0,1)</f>
        <v>0</v>
      </c>
      <c r="M82" s="2063" t="e">
        <f t="shared" si="56"/>
        <v>#DIV/0!</v>
      </c>
      <c r="N82" s="2063" t="e">
        <f t="shared" si="57"/>
        <v>#DIV/0!</v>
      </c>
      <c r="P82" s="2064" t="str">
        <f t="shared" si="58"/>
        <v>2.2.3</v>
      </c>
      <c r="Q82" s="2064" t="str">
        <f t="shared" si="59"/>
        <v xml:space="preserve"> Q2 2.2</v>
      </c>
      <c r="R82" s="2065" t="str">
        <f t="shared" si="60"/>
        <v>主要内装仕上げ材の更新必要間隔</v>
      </c>
      <c r="S82" s="1652">
        <f t="shared" si="61"/>
        <v>0</v>
      </c>
      <c r="T82" s="1652">
        <f t="shared" si="62"/>
        <v>0</v>
      </c>
      <c r="U82" s="1652">
        <f t="shared" si="63"/>
        <v>0</v>
      </c>
      <c r="V82" s="1652">
        <f t="shared" si="64"/>
        <v>0</v>
      </c>
      <c r="W82" s="1652">
        <f t="shared" si="65"/>
        <v>0</v>
      </c>
      <c r="X82" s="1652">
        <f t="shared" si="66"/>
        <v>0</v>
      </c>
      <c r="Y82" s="1652">
        <f t="shared" si="67"/>
        <v>0</v>
      </c>
      <c r="Z82" s="1653">
        <f t="shared" si="68"/>
        <v>0</v>
      </c>
      <c r="AA82" s="1652">
        <f t="shared" si="69"/>
        <v>0</v>
      </c>
      <c r="AB82" s="1652">
        <f t="shared" si="70"/>
        <v>0</v>
      </c>
      <c r="AC82" s="1654">
        <f t="shared" si="71"/>
        <v>0</v>
      </c>
      <c r="AD82" s="1652">
        <f t="shared" si="72"/>
        <v>0</v>
      </c>
      <c r="AE82" s="1652">
        <f t="shared" si="73"/>
        <v>0</v>
      </c>
      <c r="AG82" s="1645" t="s">
        <v>1465</v>
      </c>
      <c r="AH82" s="1691" t="s">
        <v>330</v>
      </c>
      <c r="AI82" s="2061" t="s">
        <v>332</v>
      </c>
      <c r="AJ82" s="1652">
        <v>0</v>
      </c>
      <c r="AK82" s="1652">
        <v>0</v>
      </c>
      <c r="AL82" s="1652">
        <v>0</v>
      </c>
      <c r="AM82" s="1652">
        <v>0</v>
      </c>
      <c r="AN82" s="1652">
        <v>0</v>
      </c>
      <c r="AO82" s="1652">
        <v>0</v>
      </c>
      <c r="AP82" s="1652">
        <v>0</v>
      </c>
      <c r="AQ82" s="1652">
        <v>0</v>
      </c>
      <c r="AR82" s="1652">
        <v>0</v>
      </c>
      <c r="AS82" s="1621">
        <v>0</v>
      </c>
      <c r="AT82" s="1623">
        <v>0</v>
      </c>
      <c r="AU82" s="1621">
        <v>0</v>
      </c>
      <c r="AV82" s="1621">
        <v>0</v>
      </c>
      <c r="AX82" s="1645" t="s">
        <v>1465</v>
      </c>
      <c r="AY82" s="1691" t="s">
        <v>330</v>
      </c>
      <c r="AZ82" s="2061" t="s">
        <v>332</v>
      </c>
      <c r="BA82" s="1621">
        <v>0.1</v>
      </c>
      <c r="BB82" s="1621">
        <v>0.1</v>
      </c>
      <c r="BC82" s="1621">
        <v>0.1</v>
      </c>
      <c r="BD82" s="1621">
        <v>0.1</v>
      </c>
      <c r="BE82" s="1621">
        <v>0.1</v>
      </c>
      <c r="BF82" s="1621">
        <v>0.1</v>
      </c>
      <c r="BG82" s="1621">
        <v>0.1</v>
      </c>
      <c r="BH82" s="1621">
        <v>0.1</v>
      </c>
      <c r="BI82" s="1621">
        <v>0.1</v>
      </c>
      <c r="BJ82" s="1621">
        <v>0.1</v>
      </c>
      <c r="BK82" s="1623"/>
      <c r="BL82" s="1621"/>
      <c r="BM82" s="1621"/>
      <c r="BO82" s="1645" t="s">
        <v>1465</v>
      </c>
      <c r="BP82" s="1691" t="s">
        <v>330</v>
      </c>
      <c r="BQ82" s="2061" t="s">
        <v>332</v>
      </c>
      <c r="BR82" s="1621">
        <v>0.1</v>
      </c>
      <c r="BS82" s="1621">
        <v>0.1</v>
      </c>
      <c r="BT82" s="1621">
        <v>0.1</v>
      </c>
      <c r="BU82" s="1621">
        <v>0.1</v>
      </c>
      <c r="BV82" s="1621">
        <v>0.1</v>
      </c>
      <c r="BW82" s="1621">
        <v>0.1</v>
      </c>
      <c r="BX82" s="1621">
        <v>0.1</v>
      </c>
      <c r="BY82" s="1621">
        <v>0.1</v>
      </c>
      <c r="BZ82" s="1621">
        <v>0.1</v>
      </c>
      <c r="CA82" s="1621">
        <v>0.1</v>
      </c>
      <c r="CB82" s="1623"/>
      <c r="CC82" s="1621"/>
      <c r="CD82" s="1621"/>
    </row>
    <row r="83" spans="1:94" s="2079" customFormat="1">
      <c r="A83"/>
      <c r="B83" s="1595" t="str">
        <f t="shared" si="74"/>
        <v>2.2.4</v>
      </c>
      <c r="C83" s="1612" t="str">
        <f t="shared" si="53"/>
        <v>空調換気ダクトの更新必要間隔</v>
      </c>
      <c r="D83" s="1719" t="e">
        <f t="shared" si="75"/>
        <v>#DIV/0!</v>
      </c>
      <c r="E83" s="1689" t="e">
        <f t="shared" si="75"/>
        <v>#DIV/0!</v>
      </c>
      <c r="F83"/>
      <c r="G83" s="1689" t="e">
        <f t="shared" si="54"/>
        <v>#DIV/0!</v>
      </c>
      <c r="H83" s="1689" t="e">
        <f t="shared" si="55"/>
        <v>#DIV/0!</v>
      </c>
      <c r="I83" s="1689"/>
      <c r="J83" s="1689"/>
      <c r="K83" s="1689">
        <f>IF(スコア表示!W83=0,0,1)</f>
        <v>1</v>
      </c>
      <c r="L83" s="1689">
        <f>IF(スコア表示!AA83=0,0,1)</f>
        <v>0</v>
      </c>
      <c r="M83" s="1689" t="e">
        <f t="shared" si="56"/>
        <v>#DIV/0!</v>
      </c>
      <c r="N83" s="1689" t="e">
        <f t="shared" si="57"/>
        <v>#DIV/0!</v>
      </c>
      <c r="O83"/>
      <c r="P83" s="1645" t="str">
        <f t="shared" si="58"/>
        <v>2.2.4</v>
      </c>
      <c r="Q83" s="1645" t="str">
        <f t="shared" si="59"/>
        <v xml:space="preserve"> Q2 2.2</v>
      </c>
      <c r="R83" s="1735" t="str">
        <f t="shared" si="60"/>
        <v>空調換気ダクトの更新必要間隔</v>
      </c>
      <c r="S83" s="1616">
        <f t="shared" si="61"/>
        <v>0.1</v>
      </c>
      <c r="T83" s="1616">
        <f t="shared" si="62"/>
        <v>0.1</v>
      </c>
      <c r="U83" s="1616">
        <f t="shared" si="63"/>
        <v>0.1</v>
      </c>
      <c r="V83" s="1616">
        <f t="shared" si="64"/>
        <v>0.1</v>
      </c>
      <c r="W83" s="1616">
        <f t="shared" si="65"/>
        <v>0.1</v>
      </c>
      <c r="X83" s="1616">
        <f t="shared" si="66"/>
        <v>0.1</v>
      </c>
      <c r="Y83" s="1616">
        <f t="shared" si="67"/>
        <v>0.1</v>
      </c>
      <c r="Z83" s="1624">
        <f t="shared" si="68"/>
        <v>0.1</v>
      </c>
      <c r="AA83" s="1616">
        <f t="shared" si="69"/>
        <v>0.1</v>
      </c>
      <c r="AB83" s="1616">
        <f t="shared" si="70"/>
        <v>0.1</v>
      </c>
      <c r="AC83" s="1617">
        <f t="shared" si="71"/>
        <v>0</v>
      </c>
      <c r="AD83" s="1616">
        <f t="shared" si="72"/>
        <v>0</v>
      </c>
      <c r="AE83" s="1616">
        <f t="shared" si="73"/>
        <v>0</v>
      </c>
      <c r="AF83"/>
      <c r="AG83" s="1645" t="s">
        <v>1466</v>
      </c>
      <c r="AH83" s="1691" t="s">
        <v>330</v>
      </c>
      <c r="AI83" s="2061" t="s">
        <v>335</v>
      </c>
      <c r="AJ83" s="1617">
        <v>0.1</v>
      </c>
      <c r="AK83" s="1617">
        <v>0.1</v>
      </c>
      <c r="AL83" s="1617">
        <v>0.1</v>
      </c>
      <c r="AM83" s="1617">
        <v>0.1</v>
      </c>
      <c r="AN83" s="1617">
        <v>0.1</v>
      </c>
      <c r="AO83" s="1617">
        <v>0.1</v>
      </c>
      <c r="AP83" s="1617">
        <v>0.1</v>
      </c>
      <c r="AQ83" s="1617">
        <v>0.1</v>
      </c>
      <c r="AR83" s="1617">
        <v>0.1</v>
      </c>
      <c r="AS83" s="1621">
        <v>0.1</v>
      </c>
      <c r="AT83" s="1623">
        <v>0</v>
      </c>
      <c r="AU83" s="1621">
        <v>0</v>
      </c>
      <c r="AV83" s="1621">
        <v>0</v>
      </c>
      <c r="AW83"/>
      <c r="AX83" s="1645" t="s">
        <v>1466</v>
      </c>
      <c r="AY83" s="1691" t="s">
        <v>330</v>
      </c>
      <c r="AZ83" s="2061" t="s">
        <v>335</v>
      </c>
      <c r="BA83" s="1621">
        <v>0.1</v>
      </c>
      <c r="BB83" s="1621">
        <v>0.1</v>
      </c>
      <c r="BC83" s="1621">
        <v>0.1</v>
      </c>
      <c r="BD83" s="1621">
        <v>0.1</v>
      </c>
      <c r="BE83" s="1621">
        <v>0.1</v>
      </c>
      <c r="BF83" s="1621">
        <v>0.1</v>
      </c>
      <c r="BG83" s="1621">
        <v>0.1</v>
      </c>
      <c r="BH83" s="1621">
        <v>0.1</v>
      </c>
      <c r="BI83" s="1621">
        <v>0.1</v>
      </c>
      <c r="BJ83" s="1621">
        <v>0.1</v>
      </c>
      <c r="BK83" s="1623"/>
      <c r="BL83" s="1621"/>
      <c r="BM83" s="1621"/>
      <c r="BN83"/>
      <c r="BO83" s="1645" t="s">
        <v>1466</v>
      </c>
      <c r="BP83" s="1691" t="s">
        <v>330</v>
      </c>
      <c r="BQ83" s="2061" t="s">
        <v>335</v>
      </c>
      <c r="BR83" s="1621">
        <v>0.1</v>
      </c>
      <c r="BS83" s="1621">
        <v>0.1</v>
      </c>
      <c r="BT83" s="1621">
        <v>0.1</v>
      </c>
      <c r="BU83" s="1621">
        <v>0.1</v>
      </c>
      <c r="BV83" s="1621">
        <v>0.1</v>
      </c>
      <c r="BW83" s="1621">
        <v>0.1</v>
      </c>
      <c r="BX83" s="1621">
        <v>0.1</v>
      </c>
      <c r="BY83" s="1621">
        <v>0.1</v>
      </c>
      <c r="BZ83" s="1621">
        <v>0.1</v>
      </c>
      <c r="CA83" s="1621">
        <v>0.1</v>
      </c>
      <c r="CB83" s="1623"/>
      <c r="CC83" s="1621"/>
      <c r="CD83" s="1621"/>
      <c r="CE83"/>
      <c r="CF83" s="1556"/>
      <c r="CG83" s="1556"/>
      <c r="CH83" s="1556"/>
      <c r="CI83" s="1556"/>
      <c r="CJ83" s="1556"/>
      <c r="CK83" s="1556"/>
      <c r="CL83" s="1556"/>
      <c r="CM83" s="1556"/>
      <c r="CN83" s="1556"/>
      <c r="CO83" s="1556"/>
      <c r="CP83" s="1556"/>
    </row>
    <row r="84" spans="1:94" s="2079" customFormat="1">
      <c r="A84"/>
      <c r="B84" s="1595" t="str">
        <f t="shared" si="74"/>
        <v>2.2.5</v>
      </c>
      <c r="C84" s="1612" t="str">
        <f t="shared" si="53"/>
        <v>空調・給排水配管の更新必要間隔</v>
      </c>
      <c r="D84" s="1719" t="e">
        <f t="shared" si="75"/>
        <v>#DIV/0!</v>
      </c>
      <c r="E84" s="1689" t="e">
        <f t="shared" si="75"/>
        <v>#DIV/0!</v>
      </c>
      <c r="F84"/>
      <c r="G84" s="1689" t="e">
        <f t="shared" si="54"/>
        <v>#DIV/0!</v>
      </c>
      <c r="H84" s="1689" t="e">
        <f t="shared" si="55"/>
        <v>#DIV/0!</v>
      </c>
      <c r="I84" s="1689"/>
      <c r="J84" s="1689"/>
      <c r="K84" s="1689">
        <f>IF(スコア表示!W84=0,0,1)</f>
        <v>1</v>
      </c>
      <c r="L84" s="1689">
        <f>IF(スコア表示!AA84=0,0,1)</f>
        <v>0</v>
      </c>
      <c r="M84" s="1689" t="e">
        <f t="shared" si="56"/>
        <v>#DIV/0!</v>
      </c>
      <c r="N84" s="1689" t="e">
        <f t="shared" si="57"/>
        <v>#DIV/0!</v>
      </c>
      <c r="O84"/>
      <c r="P84" s="1645" t="str">
        <f t="shared" ref="P84:P115" si="76">IF($P$3=1,AX84,BO84)</f>
        <v>2.2.5</v>
      </c>
      <c r="Q84" s="1645" t="s">
        <v>330</v>
      </c>
      <c r="R84" s="1735" t="str">
        <f t="shared" si="60"/>
        <v>空調・給排水配管の更新必要間隔</v>
      </c>
      <c r="S84" s="1616">
        <f t="shared" si="61"/>
        <v>0.1</v>
      </c>
      <c r="T84" s="1616">
        <f t="shared" si="62"/>
        <v>0.1</v>
      </c>
      <c r="U84" s="1616">
        <f t="shared" si="63"/>
        <v>0.1</v>
      </c>
      <c r="V84" s="1616">
        <f t="shared" si="64"/>
        <v>0.1</v>
      </c>
      <c r="W84" s="1616">
        <f t="shared" si="65"/>
        <v>0.1</v>
      </c>
      <c r="X84" s="1616">
        <f t="shared" si="66"/>
        <v>0.1</v>
      </c>
      <c r="Y84" s="1616">
        <f t="shared" si="67"/>
        <v>0.1</v>
      </c>
      <c r="Z84" s="1624">
        <f t="shared" si="68"/>
        <v>0.1</v>
      </c>
      <c r="AA84" s="1616">
        <f t="shared" si="69"/>
        <v>0.1</v>
      </c>
      <c r="AB84" s="1616">
        <f t="shared" si="70"/>
        <v>0.1</v>
      </c>
      <c r="AC84" s="1617">
        <f t="shared" si="71"/>
        <v>0</v>
      </c>
      <c r="AD84" s="1616">
        <f t="shared" si="72"/>
        <v>0</v>
      </c>
      <c r="AE84" s="1616">
        <f t="shared" si="73"/>
        <v>0</v>
      </c>
      <c r="AF84"/>
      <c r="AG84" s="1645" t="s">
        <v>1467</v>
      </c>
      <c r="AH84" s="1691" t="s">
        <v>330</v>
      </c>
      <c r="AI84" s="2061" t="s">
        <v>336</v>
      </c>
      <c r="AJ84" s="1617">
        <v>0.1</v>
      </c>
      <c r="AK84" s="1617">
        <v>0.1</v>
      </c>
      <c r="AL84" s="1617">
        <v>0.1</v>
      </c>
      <c r="AM84" s="1617">
        <v>0.1</v>
      </c>
      <c r="AN84" s="1617">
        <v>0.1</v>
      </c>
      <c r="AO84" s="1617">
        <v>0.1</v>
      </c>
      <c r="AP84" s="1617">
        <v>0.1</v>
      </c>
      <c r="AQ84" s="1617">
        <v>0.1</v>
      </c>
      <c r="AR84" s="1617">
        <v>0.1</v>
      </c>
      <c r="AS84" s="1621">
        <v>0.1</v>
      </c>
      <c r="AT84" s="1623"/>
      <c r="AU84" s="1621"/>
      <c r="AV84" s="1621"/>
      <c r="AW84"/>
      <c r="AX84" s="1645" t="s">
        <v>1467</v>
      </c>
      <c r="AY84" s="1691" t="s">
        <v>330</v>
      </c>
      <c r="AZ84" s="2061" t="s">
        <v>336</v>
      </c>
      <c r="BA84" s="1621">
        <v>0.2</v>
      </c>
      <c r="BB84" s="1621">
        <v>0.2</v>
      </c>
      <c r="BC84" s="1621">
        <v>0.2</v>
      </c>
      <c r="BD84" s="1621">
        <v>0.2</v>
      </c>
      <c r="BE84" s="1621">
        <v>0.2</v>
      </c>
      <c r="BF84" s="1621">
        <v>0.2</v>
      </c>
      <c r="BG84" s="1621">
        <v>0.2</v>
      </c>
      <c r="BH84" s="1621">
        <v>0.2</v>
      </c>
      <c r="BI84" s="1621">
        <v>0.2</v>
      </c>
      <c r="BJ84" s="1621">
        <v>0.2</v>
      </c>
      <c r="BK84" s="1623"/>
      <c r="BL84" s="1621"/>
      <c r="BM84" s="1621"/>
      <c r="BN84"/>
      <c r="BO84" s="1645" t="s">
        <v>1467</v>
      </c>
      <c r="BP84" s="1691" t="s">
        <v>330</v>
      </c>
      <c r="BQ84" s="2061" t="s">
        <v>336</v>
      </c>
      <c r="BR84" s="1621">
        <v>0.2</v>
      </c>
      <c r="BS84" s="1621">
        <v>0.2</v>
      </c>
      <c r="BT84" s="1621">
        <v>0.2</v>
      </c>
      <c r="BU84" s="1621">
        <v>0.2</v>
      </c>
      <c r="BV84" s="1621">
        <v>0.2</v>
      </c>
      <c r="BW84" s="1621">
        <v>0.2</v>
      </c>
      <c r="BX84" s="1621">
        <v>0.2</v>
      </c>
      <c r="BY84" s="1621">
        <v>0.2</v>
      </c>
      <c r="BZ84" s="1621">
        <v>0.2</v>
      </c>
      <c r="CA84" s="1621">
        <v>0.2</v>
      </c>
      <c r="CB84" s="1623"/>
      <c r="CC84" s="1621"/>
      <c r="CD84" s="1621"/>
      <c r="CE84"/>
      <c r="CF84" s="1556"/>
      <c r="CG84" s="1556"/>
      <c r="CH84" s="1556"/>
      <c r="CI84" s="1556"/>
      <c r="CJ84" s="1556"/>
      <c r="CK84" s="1556"/>
      <c r="CL84" s="1556"/>
      <c r="CM84" s="1556"/>
      <c r="CN84" s="1556"/>
      <c r="CO84" s="1556"/>
      <c r="CP84" s="1556"/>
    </row>
    <row r="85" spans="1:94">
      <c r="B85" s="1595" t="str">
        <f t="shared" si="74"/>
        <v>2.2.6</v>
      </c>
      <c r="C85" s="1612" t="str">
        <f t="shared" si="53"/>
        <v>主要設備機器の更新必要間隔</v>
      </c>
      <c r="D85" s="1719" t="e">
        <f t="shared" si="75"/>
        <v>#DIV/0!</v>
      </c>
      <c r="E85" s="1689" t="e">
        <f t="shared" si="75"/>
        <v>#DIV/0!</v>
      </c>
      <c r="G85" s="1689" t="e">
        <f t="shared" si="54"/>
        <v>#DIV/0!</v>
      </c>
      <c r="H85" s="1689" t="e">
        <f t="shared" si="55"/>
        <v>#DIV/0!</v>
      </c>
      <c r="I85" s="1689"/>
      <c r="J85" s="1689"/>
      <c r="K85" s="1689">
        <f>IF(スコア表示!W85=0,0,1)</f>
        <v>1</v>
      </c>
      <c r="L85" s="1689">
        <f>IF(スコア表示!AA85=0,0,1)</f>
        <v>0</v>
      </c>
      <c r="M85" s="1689" t="e">
        <f t="shared" si="56"/>
        <v>#DIV/0!</v>
      </c>
      <c r="N85" s="1689" t="e">
        <f t="shared" si="57"/>
        <v>#DIV/0!</v>
      </c>
      <c r="P85" s="1645" t="str">
        <f t="shared" si="76"/>
        <v>2.2.6</v>
      </c>
      <c r="Q85" s="1645" t="str">
        <f t="shared" ref="Q85:Q116" si="77">IF($P$3=1,AY85,BP85)</f>
        <v xml:space="preserve"> Q2 2.2</v>
      </c>
      <c r="R85" s="1735" t="str">
        <f t="shared" si="60"/>
        <v>主要設備機器の更新必要間隔</v>
      </c>
      <c r="S85" s="1616">
        <f t="shared" si="61"/>
        <v>0.2</v>
      </c>
      <c r="T85" s="1616">
        <f t="shared" si="62"/>
        <v>0.2</v>
      </c>
      <c r="U85" s="1616">
        <f t="shared" si="63"/>
        <v>0.2</v>
      </c>
      <c r="V85" s="1616">
        <f t="shared" si="64"/>
        <v>0.2</v>
      </c>
      <c r="W85" s="1616">
        <f t="shared" si="65"/>
        <v>0.2</v>
      </c>
      <c r="X85" s="1616">
        <f t="shared" si="66"/>
        <v>0.2</v>
      </c>
      <c r="Y85" s="1616">
        <f t="shared" si="67"/>
        <v>0.2</v>
      </c>
      <c r="Z85" s="1624">
        <f t="shared" si="68"/>
        <v>0.2</v>
      </c>
      <c r="AA85" s="1616">
        <f t="shared" si="69"/>
        <v>0.2</v>
      </c>
      <c r="AB85" s="1616">
        <f t="shared" si="70"/>
        <v>0.25</v>
      </c>
      <c r="AC85" s="1617">
        <f t="shared" si="71"/>
        <v>0</v>
      </c>
      <c r="AD85" s="1616">
        <f t="shared" si="72"/>
        <v>0</v>
      </c>
      <c r="AE85" s="1616">
        <f t="shared" si="73"/>
        <v>0</v>
      </c>
      <c r="AG85" s="1645" t="s">
        <v>1468</v>
      </c>
      <c r="AH85" s="1691" t="s">
        <v>330</v>
      </c>
      <c r="AI85" s="2061" t="s">
        <v>337</v>
      </c>
      <c r="AJ85" s="1617">
        <v>0.2</v>
      </c>
      <c r="AK85" s="1617">
        <v>0.2</v>
      </c>
      <c r="AL85" s="1617">
        <v>0.2</v>
      </c>
      <c r="AM85" s="1617">
        <v>0.2</v>
      </c>
      <c r="AN85" s="1617">
        <v>0.2</v>
      </c>
      <c r="AO85" s="1617">
        <v>0.2</v>
      </c>
      <c r="AP85" s="1617">
        <v>0.2</v>
      </c>
      <c r="AQ85" s="1617">
        <v>0.2</v>
      </c>
      <c r="AR85" s="1617">
        <v>0.2</v>
      </c>
      <c r="AS85" s="1621">
        <v>0.25</v>
      </c>
      <c r="AT85" s="1623">
        <v>0</v>
      </c>
      <c r="AU85" s="1621">
        <v>0</v>
      </c>
      <c r="AV85" s="1621">
        <v>0</v>
      </c>
      <c r="AX85" s="1645" t="s">
        <v>1468</v>
      </c>
      <c r="AY85" s="1691" t="s">
        <v>330</v>
      </c>
      <c r="AZ85" s="2061" t="s">
        <v>337</v>
      </c>
      <c r="BA85" s="1621">
        <v>0.2</v>
      </c>
      <c r="BB85" s="1621">
        <v>0.2</v>
      </c>
      <c r="BC85" s="1621">
        <v>0.2</v>
      </c>
      <c r="BD85" s="1621">
        <v>0.2</v>
      </c>
      <c r="BE85" s="1621">
        <v>0.2</v>
      </c>
      <c r="BF85" s="1621">
        <v>0.2</v>
      </c>
      <c r="BG85" s="1621">
        <v>0.2</v>
      </c>
      <c r="BH85" s="1621">
        <v>0.2</v>
      </c>
      <c r="BI85" s="1621">
        <v>0.2</v>
      </c>
      <c r="BJ85" s="1621">
        <v>0.2</v>
      </c>
      <c r="BK85" s="1623"/>
      <c r="BL85" s="1621"/>
      <c r="BM85" s="1621"/>
      <c r="BO85" s="1645" t="s">
        <v>1468</v>
      </c>
      <c r="BP85" s="1691" t="s">
        <v>330</v>
      </c>
      <c r="BQ85" s="2061" t="s">
        <v>337</v>
      </c>
      <c r="BR85" s="1621">
        <v>0.2</v>
      </c>
      <c r="BS85" s="1621">
        <v>0.2</v>
      </c>
      <c r="BT85" s="1621">
        <v>0.2</v>
      </c>
      <c r="BU85" s="1621">
        <v>0.2</v>
      </c>
      <c r="BV85" s="1621">
        <v>0.2</v>
      </c>
      <c r="BW85" s="1621">
        <v>0.2</v>
      </c>
      <c r="BX85" s="1621">
        <v>0.2</v>
      </c>
      <c r="BY85" s="1621">
        <v>0.2</v>
      </c>
      <c r="BZ85" s="1621">
        <v>0.2</v>
      </c>
      <c r="CA85" s="1621">
        <v>0.2</v>
      </c>
      <c r="CB85" s="1623"/>
      <c r="CC85" s="1621"/>
      <c r="CD85" s="1621"/>
    </row>
    <row r="86" spans="1:94">
      <c r="B86" s="1595">
        <f t="shared" si="74"/>
        <v>2.2999999999999998</v>
      </c>
      <c r="C86" s="1739" t="str">
        <f t="shared" si="53"/>
        <v>適切な更新</v>
      </c>
      <c r="D86" s="1714" t="e">
        <f>IF(I$75=0,0,G86/I$75)</f>
        <v>#DIV/0!</v>
      </c>
      <c r="E86" s="1689" t="e">
        <f>IF(J$75=0,0,H86/J$75)</f>
        <v>#DIV/0!</v>
      </c>
      <c r="G86" s="1689" t="e">
        <f t="shared" si="54"/>
        <v>#DIV/0!</v>
      </c>
      <c r="H86" s="1689" t="e">
        <f t="shared" si="55"/>
        <v>#DIV/0!</v>
      </c>
      <c r="I86" s="1689" t="e">
        <f>G87+G88+G89</f>
        <v>#DIV/0!</v>
      </c>
      <c r="J86" s="1689" t="e">
        <f>H87+H88+H89</f>
        <v>#DIV/0!</v>
      </c>
      <c r="K86" s="1689" t="e">
        <f>IF(スコア表示!W86=0,0,1)</f>
        <v>#DIV/0!</v>
      </c>
      <c r="L86" s="1689" t="e">
        <f>IF(スコア表示!AA86=0,0,1)</f>
        <v>#DIV/0!</v>
      </c>
      <c r="M86" s="1689" t="e">
        <f t="shared" si="56"/>
        <v>#DIV/0!</v>
      </c>
      <c r="N86" s="1689" t="e">
        <f t="shared" si="57"/>
        <v>#DIV/0!</v>
      </c>
      <c r="P86" s="1645">
        <f t="shared" si="76"/>
        <v>2.2999999999999998</v>
      </c>
      <c r="Q86" s="1645" t="str">
        <f t="shared" si="77"/>
        <v xml:space="preserve"> Q2 2</v>
      </c>
      <c r="R86" s="1735" t="str">
        <f t="shared" si="60"/>
        <v>適切な更新</v>
      </c>
      <c r="S86" s="1616">
        <f t="shared" si="61"/>
        <v>0.25</v>
      </c>
      <c r="T86" s="1616">
        <f t="shared" si="62"/>
        <v>0.25</v>
      </c>
      <c r="U86" s="1616">
        <f t="shared" si="63"/>
        <v>0.25</v>
      </c>
      <c r="V86" s="1616">
        <f t="shared" si="64"/>
        <v>0.25</v>
      </c>
      <c r="W86" s="1616">
        <f t="shared" si="65"/>
        <v>0.25</v>
      </c>
      <c r="X86" s="1616">
        <f t="shared" si="66"/>
        <v>0.25</v>
      </c>
      <c r="Y86" s="1616">
        <f t="shared" si="67"/>
        <v>0.25</v>
      </c>
      <c r="Z86" s="1624">
        <f t="shared" si="68"/>
        <v>0.25</v>
      </c>
      <c r="AA86" s="1616">
        <f t="shared" si="69"/>
        <v>0.25</v>
      </c>
      <c r="AB86" s="1616">
        <f t="shared" si="70"/>
        <v>0.25</v>
      </c>
      <c r="AC86" s="1617">
        <f t="shared" si="71"/>
        <v>0</v>
      </c>
      <c r="AD86" s="1616">
        <f t="shared" si="72"/>
        <v>0</v>
      </c>
      <c r="AE86" s="1616">
        <f t="shared" si="73"/>
        <v>0</v>
      </c>
      <c r="AG86" s="1645">
        <v>2.2999999999999998</v>
      </c>
      <c r="AH86" s="1645" t="s">
        <v>1641</v>
      </c>
      <c r="AI86" s="1691" t="s">
        <v>415</v>
      </c>
      <c r="AJ86" s="1616">
        <v>0.25</v>
      </c>
      <c r="AK86" s="1616">
        <v>0.25</v>
      </c>
      <c r="AL86" s="1616">
        <v>0.25</v>
      </c>
      <c r="AM86" s="1616">
        <v>0.25</v>
      </c>
      <c r="AN86" s="1616">
        <v>0.25</v>
      </c>
      <c r="AO86" s="1616">
        <v>0.25</v>
      </c>
      <c r="AP86" s="1616">
        <v>0.25</v>
      </c>
      <c r="AQ86" s="1624">
        <v>0.25</v>
      </c>
      <c r="AR86" s="1616">
        <v>0.25</v>
      </c>
      <c r="AS86" s="1621">
        <v>0.25</v>
      </c>
      <c r="AT86" s="1621"/>
      <c r="AU86" s="1623"/>
      <c r="AV86" s="1621"/>
      <c r="AX86" s="2064">
        <v>2.2999999999999998</v>
      </c>
      <c r="AY86" s="2081" t="s">
        <v>327</v>
      </c>
      <c r="AZ86" s="2067" t="s">
        <v>415</v>
      </c>
      <c r="BA86" s="2069">
        <v>0</v>
      </c>
      <c r="BB86" s="2069">
        <v>0</v>
      </c>
      <c r="BC86" s="2069">
        <v>0</v>
      </c>
      <c r="BD86" s="2069">
        <v>0</v>
      </c>
      <c r="BE86" s="2069">
        <v>0</v>
      </c>
      <c r="BF86" s="2069">
        <v>0</v>
      </c>
      <c r="BG86" s="2069">
        <v>0</v>
      </c>
      <c r="BH86" s="2069">
        <v>0</v>
      </c>
      <c r="BI86" s="2069">
        <v>0</v>
      </c>
      <c r="BJ86" s="2069">
        <v>0</v>
      </c>
      <c r="BK86" s="2069"/>
      <c r="BL86" s="2069"/>
      <c r="BM86" s="2069"/>
      <c r="BO86" s="2064">
        <v>2.2999999999999998</v>
      </c>
      <c r="BP86" s="2081" t="s">
        <v>327</v>
      </c>
      <c r="BQ86" s="2067" t="s">
        <v>415</v>
      </c>
      <c r="BR86" s="2069">
        <v>0</v>
      </c>
      <c r="BS86" s="2069">
        <v>0</v>
      </c>
      <c r="BT86" s="2069">
        <v>0</v>
      </c>
      <c r="BU86" s="2069">
        <v>0</v>
      </c>
      <c r="BV86" s="2069">
        <v>0</v>
      </c>
      <c r="BW86" s="2069">
        <v>0</v>
      </c>
      <c r="BX86" s="2069">
        <v>0</v>
      </c>
      <c r="BY86" s="2069">
        <v>0</v>
      </c>
      <c r="BZ86" s="2069">
        <v>0</v>
      </c>
      <c r="CA86" s="2069">
        <v>0</v>
      </c>
      <c r="CB86" s="2069"/>
      <c r="CC86" s="2069"/>
      <c r="CD86" s="2069"/>
    </row>
    <row r="87" spans="1:94">
      <c r="B87" s="1595" t="str">
        <f t="shared" si="74"/>
        <v>2.3.1</v>
      </c>
      <c r="C87" s="1740" t="str">
        <f t="shared" si="53"/>
        <v>屋上（屋根）・外壁仕上げ材の更新</v>
      </c>
      <c r="D87" s="1719" t="e">
        <f t="shared" ref="D87:E89" si="78">IF(I$79&gt;0,G87/I$79,0)</f>
        <v>#DIV/0!</v>
      </c>
      <c r="E87" s="1689" t="e">
        <f t="shared" si="78"/>
        <v>#DIV/0!</v>
      </c>
      <c r="G87" s="1689" t="e">
        <f t="shared" si="54"/>
        <v>#DIV/0!</v>
      </c>
      <c r="H87" s="1689" t="e">
        <f t="shared" si="55"/>
        <v>#DIV/0!</v>
      </c>
      <c r="I87" s="1689"/>
      <c r="J87" s="1689"/>
      <c r="K87" s="1689">
        <f>IF(スコア表示!W87=0,0,1)</f>
        <v>1</v>
      </c>
      <c r="L87" s="1689">
        <f>IF(スコア表示!AA87=0,0,1)</f>
        <v>0</v>
      </c>
      <c r="M87" s="1689" t="e">
        <f t="shared" si="56"/>
        <v>#DIV/0!</v>
      </c>
      <c r="N87" s="1689" t="e">
        <f t="shared" si="57"/>
        <v>#DIV/0!</v>
      </c>
      <c r="P87" s="1645" t="str">
        <f t="shared" si="76"/>
        <v>2.3.1</v>
      </c>
      <c r="Q87" s="1645" t="str">
        <f t="shared" si="77"/>
        <v xml:space="preserve"> Q2 2.3</v>
      </c>
      <c r="R87" s="1735" t="str">
        <f t="shared" si="60"/>
        <v>屋上（屋根）・外壁仕上げ材の更新</v>
      </c>
      <c r="S87" s="1616">
        <f t="shared" si="61"/>
        <v>0.33333333333333331</v>
      </c>
      <c r="T87" s="1616">
        <f t="shared" si="62"/>
        <v>0.33333333333333331</v>
      </c>
      <c r="U87" s="1616">
        <f t="shared" si="63"/>
        <v>0.33333333333333331</v>
      </c>
      <c r="V87" s="1616">
        <f t="shared" si="64"/>
        <v>0.33333333333333331</v>
      </c>
      <c r="W87" s="1616">
        <f t="shared" si="65"/>
        <v>0.33333333333333331</v>
      </c>
      <c r="X87" s="1616">
        <f t="shared" si="66"/>
        <v>0.33333333333333331</v>
      </c>
      <c r="Y87" s="1616">
        <f t="shared" si="67"/>
        <v>0.33333333333333331</v>
      </c>
      <c r="Z87" s="1624">
        <f t="shared" si="68"/>
        <v>0.33333333333333331</v>
      </c>
      <c r="AA87" s="1616">
        <f t="shared" si="69"/>
        <v>0.33333333333333331</v>
      </c>
      <c r="AB87" s="1616">
        <f t="shared" si="70"/>
        <v>0.33333333333333331</v>
      </c>
      <c r="AC87" s="1617">
        <f t="shared" si="71"/>
        <v>0</v>
      </c>
      <c r="AD87" s="1616">
        <f t="shared" si="72"/>
        <v>0</v>
      </c>
      <c r="AE87" s="1616">
        <f t="shared" si="73"/>
        <v>0</v>
      </c>
      <c r="AG87" s="1645" t="s">
        <v>1469</v>
      </c>
      <c r="AH87" s="1645" t="s">
        <v>1642</v>
      </c>
      <c r="AI87" s="1691" t="s">
        <v>416</v>
      </c>
      <c r="AJ87" s="1637">
        <v>0.33333333333333331</v>
      </c>
      <c r="AK87" s="1637">
        <v>0.33333333333333331</v>
      </c>
      <c r="AL87" s="1637">
        <v>0.33333333333333331</v>
      </c>
      <c r="AM87" s="1637">
        <v>0.33333333333333331</v>
      </c>
      <c r="AN87" s="1637">
        <v>0.33333333333333331</v>
      </c>
      <c r="AO87" s="1637">
        <v>0.33333333333333331</v>
      </c>
      <c r="AP87" s="1637">
        <v>0.33333333333333331</v>
      </c>
      <c r="AQ87" s="1637">
        <v>0.33333333333333331</v>
      </c>
      <c r="AR87" s="1637">
        <v>0.33333333333333331</v>
      </c>
      <c r="AS87" s="1621">
        <v>0.33333333333333331</v>
      </c>
      <c r="AT87" s="1621"/>
      <c r="AU87" s="1623"/>
      <c r="AV87" s="1621"/>
      <c r="AX87" s="2064" t="s">
        <v>1469</v>
      </c>
      <c r="AY87" s="2082" t="s">
        <v>338</v>
      </c>
      <c r="AZ87" s="2067" t="s">
        <v>416</v>
      </c>
      <c r="BA87" s="2069">
        <v>0</v>
      </c>
      <c r="BB87" s="2069">
        <v>0</v>
      </c>
      <c r="BC87" s="2069">
        <v>0</v>
      </c>
      <c r="BD87" s="2069">
        <v>0</v>
      </c>
      <c r="BE87" s="2069">
        <v>0</v>
      </c>
      <c r="BF87" s="2069">
        <v>0</v>
      </c>
      <c r="BG87" s="2069">
        <v>0</v>
      </c>
      <c r="BH87" s="2069">
        <v>0</v>
      </c>
      <c r="BI87" s="2069">
        <v>0</v>
      </c>
      <c r="BJ87" s="2069">
        <v>0</v>
      </c>
      <c r="BK87" s="2069"/>
      <c r="BL87" s="2069"/>
      <c r="BM87" s="2069"/>
      <c r="BO87" s="2064" t="s">
        <v>1469</v>
      </c>
      <c r="BP87" s="2082" t="s">
        <v>338</v>
      </c>
      <c r="BQ87" s="2067" t="s">
        <v>416</v>
      </c>
      <c r="BR87" s="2069">
        <v>0</v>
      </c>
      <c r="BS87" s="2069">
        <v>0</v>
      </c>
      <c r="BT87" s="2069">
        <v>0</v>
      </c>
      <c r="BU87" s="2069">
        <v>0</v>
      </c>
      <c r="BV87" s="2069">
        <v>0</v>
      </c>
      <c r="BW87" s="2069">
        <v>0</v>
      </c>
      <c r="BX87" s="2069">
        <v>0</v>
      </c>
      <c r="BY87" s="2069">
        <v>0</v>
      </c>
      <c r="BZ87" s="2069">
        <v>0</v>
      </c>
      <c r="CA87" s="2069">
        <v>0</v>
      </c>
      <c r="CB87" s="2069"/>
      <c r="CC87" s="2069"/>
      <c r="CD87" s="2069"/>
    </row>
    <row r="88" spans="1:94">
      <c r="B88" s="1595" t="str">
        <f t="shared" si="74"/>
        <v>2.3.2</v>
      </c>
      <c r="C88" s="1740" t="str">
        <f t="shared" si="53"/>
        <v>配管・配線材の更新</v>
      </c>
      <c r="D88" s="1719" t="e">
        <f t="shared" si="78"/>
        <v>#DIV/0!</v>
      </c>
      <c r="E88" s="1689" t="e">
        <f t="shared" si="78"/>
        <v>#DIV/0!</v>
      </c>
      <c r="G88" s="1689" t="e">
        <f t="shared" si="54"/>
        <v>#DIV/0!</v>
      </c>
      <c r="H88" s="1689" t="e">
        <f t="shared" si="55"/>
        <v>#DIV/0!</v>
      </c>
      <c r="I88" s="1689"/>
      <c r="J88" s="1689"/>
      <c r="K88" s="1689">
        <f>IF(スコア表示!W88=0,0,1)</f>
        <v>1</v>
      </c>
      <c r="L88" s="1689">
        <f>IF(スコア表示!AA88=0,0,1)</f>
        <v>0</v>
      </c>
      <c r="M88" s="1689" t="e">
        <f t="shared" si="56"/>
        <v>#DIV/0!</v>
      </c>
      <c r="N88" s="1689" t="e">
        <f t="shared" si="57"/>
        <v>#DIV/0!</v>
      </c>
      <c r="P88" s="1645" t="str">
        <f t="shared" si="76"/>
        <v>2.3.2</v>
      </c>
      <c r="Q88" s="1645" t="str">
        <f t="shared" si="77"/>
        <v xml:space="preserve"> Q2 2.3</v>
      </c>
      <c r="R88" s="1735" t="str">
        <f t="shared" si="60"/>
        <v>配管・配線材の更新</v>
      </c>
      <c r="S88" s="1616">
        <f t="shared" si="61"/>
        <v>0.33333333333333331</v>
      </c>
      <c r="T88" s="1616">
        <f t="shared" si="62"/>
        <v>0.33333333333333331</v>
      </c>
      <c r="U88" s="1616">
        <f t="shared" si="63"/>
        <v>0.33333333333333331</v>
      </c>
      <c r="V88" s="1616">
        <f t="shared" si="64"/>
        <v>0.33333333333333331</v>
      </c>
      <c r="W88" s="1616">
        <f t="shared" si="65"/>
        <v>0.33333333333333331</v>
      </c>
      <c r="X88" s="1616">
        <f t="shared" si="66"/>
        <v>0.33333333333333331</v>
      </c>
      <c r="Y88" s="1616">
        <f t="shared" si="67"/>
        <v>0.33333333333333331</v>
      </c>
      <c r="Z88" s="1624">
        <f t="shared" si="68"/>
        <v>0.33333333333333331</v>
      </c>
      <c r="AA88" s="1616">
        <f t="shared" si="69"/>
        <v>0.33333333333333331</v>
      </c>
      <c r="AB88" s="1616">
        <f t="shared" si="70"/>
        <v>0.33333333333333331</v>
      </c>
      <c r="AC88" s="1617">
        <f t="shared" si="71"/>
        <v>0</v>
      </c>
      <c r="AD88" s="1616">
        <f t="shared" si="72"/>
        <v>0</v>
      </c>
      <c r="AE88" s="1616">
        <f t="shared" si="73"/>
        <v>0</v>
      </c>
      <c r="AG88" s="1645" t="s">
        <v>1470</v>
      </c>
      <c r="AH88" s="1645" t="s">
        <v>1642</v>
      </c>
      <c r="AI88" s="1691" t="s">
        <v>417</v>
      </c>
      <c r="AJ88" s="1637">
        <v>0.33333333333333331</v>
      </c>
      <c r="AK88" s="1637">
        <v>0.33333333333333331</v>
      </c>
      <c r="AL88" s="1637">
        <v>0.33333333333333331</v>
      </c>
      <c r="AM88" s="1637">
        <v>0.33333333333333331</v>
      </c>
      <c r="AN88" s="1637">
        <v>0.33333333333333331</v>
      </c>
      <c r="AO88" s="1637">
        <v>0.33333333333333331</v>
      </c>
      <c r="AP88" s="1637">
        <v>0.33333333333333331</v>
      </c>
      <c r="AQ88" s="1637">
        <v>0.33333333333333331</v>
      </c>
      <c r="AR88" s="1637">
        <v>0.33333333333333331</v>
      </c>
      <c r="AS88" s="1621">
        <v>0.33333333333333331</v>
      </c>
      <c r="AT88" s="1621"/>
      <c r="AU88" s="1623"/>
      <c r="AV88" s="1621"/>
      <c r="AX88" s="2064" t="s">
        <v>1470</v>
      </c>
      <c r="AY88" s="2082" t="s">
        <v>338</v>
      </c>
      <c r="AZ88" s="2067" t="s">
        <v>417</v>
      </c>
      <c r="BA88" s="2069">
        <v>0</v>
      </c>
      <c r="BB88" s="2069">
        <v>0</v>
      </c>
      <c r="BC88" s="2069">
        <v>0</v>
      </c>
      <c r="BD88" s="2069">
        <v>0</v>
      </c>
      <c r="BE88" s="2069">
        <v>0</v>
      </c>
      <c r="BF88" s="2069">
        <v>0</v>
      </c>
      <c r="BG88" s="2069">
        <v>0</v>
      </c>
      <c r="BH88" s="2069">
        <v>0</v>
      </c>
      <c r="BI88" s="2069">
        <v>0</v>
      </c>
      <c r="BJ88" s="2069">
        <v>0</v>
      </c>
      <c r="BK88" s="2069"/>
      <c r="BL88" s="2069"/>
      <c r="BM88" s="2069"/>
      <c r="BO88" s="2064" t="s">
        <v>1470</v>
      </c>
      <c r="BP88" s="2082" t="s">
        <v>338</v>
      </c>
      <c r="BQ88" s="2067" t="s">
        <v>417</v>
      </c>
      <c r="BR88" s="2069">
        <v>0</v>
      </c>
      <c r="BS88" s="2069">
        <v>0</v>
      </c>
      <c r="BT88" s="2069">
        <v>0</v>
      </c>
      <c r="BU88" s="2069">
        <v>0</v>
      </c>
      <c r="BV88" s="2069">
        <v>0</v>
      </c>
      <c r="BW88" s="2069">
        <v>0</v>
      </c>
      <c r="BX88" s="2069">
        <v>0</v>
      </c>
      <c r="BY88" s="2069">
        <v>0</v>
      </c>
      <c r="BZ88" s="2069">
        <v>0</v>
      </c>
      <c r="CA88" s="2069">
        <v>0</v>
      </c>
      <c r="CB88" s="2069"/>
      <c r="CC88" s="2069"/>
      <c r="CD88" s="2069"/>
    </row>
    <row r="89" spans="1:94">
      <c r="B89" s="1595" t="str">
        <f t="shared" si="74"/>
        <v>2.3.3</v>
      </c>
      <c r="C89" s="1740" t="str">
        <f t="shared" si="53"/>
        <v>主要設備機器の更新</v>
      </c>
      <c r="D89" s="1719" t="e">
        <f t="shared" si="78"/>
        <v>#DIV/0!</v>
      </c>
      <c r="E89" s="1689" t="e">
        <f t="shared" si="78"/>
        <v>#DIV/0!</v>
      </c>
      <c r="G89" s="1689" t="e">
        <f t="shared" si="54"/>
        <v>#DIV/0!</v>
      </c>
      <c r="H89" s="1689" t="e">
        <f t="shared" si="55"/>
        <v>#DIV/0!</v>
      </c>
      <c r="I89" s="1689"/>
      <c r="J89" s="1689"/>
      <c r="K89" s="1689">
        <f>IF(スコア表示!W89=0,0,1)</f>
        <v>1</v>
      </c>
      <c r="L89" s="1689">
        <f>IF(スコア表示!AA89=0,0,1)</f>
        <v>0</v>
      </c>
      <c r="M89" s="1689" t="e">
        <f t="shared" si="56"/>
        <v>#DIV/0!</v>
      </c>
      <c r="N89" s="1689" t="e">
        <f t="shared" si="57"/>
        <v>#DIV/0!</v>
      </c>
      <c r="P89" s="1645" t="str">
        <f t="shared" si="76"/>
        <v>2.3.3</v>
      </c>
      <c r="Q89" s="1645" t="str">
        <f t="shared" si="77"/>
        <v xml:space="preserve"> Q2 2.3</v>
      </c>
      <c r="R89" s="1735" t="str">
        <f t="shared" si="60"/>
        <v>主要設備機器の更新</v>
      </c>
      <c r="S89" s="1616">
        <f t="shared" si="61"/>
        <v>0.33333333333333331</v>
      </c>
      <c r="T89" s="1616">
        <f t="shared" si="62"/>
        <v>0.33333333333333331</v>
      </c>
      <c r="U89" s="1616">
        <f t="shared" si="63"/>
        <v>0.33333333333333331</v>
      </c>
      <c r="V89" s="1616">
        <f t="shared" si="64"/>
        <v>0.33333333333333331</v>
      </c>
      <c r="W89" s="1616">
        <f t="shared" si="65"/>
        <v>0.33333333333333331</v>
      </c>
      <c r="X89" s="1616">
        <f t="shared" si="66"/>
        <v>0.33333333333333331</v>
      </c>
      <c r="Y89" s="1616">
        <f t="shared" si="67"/>
        <v>0.33333333333333331</v>
      </c>
      <c r="Z89" s="1624">
        <f t="shared" si="68"/>
        <v>0.33333333333333331</v>
      </c>
      <c r="AA89" s="1616">
        <f t="shared" si="69"/>
        <v>0.33333333333333331</v>
      </c>
      <c r="AB89" s="1616">
        <f t="shared" si="70"/>
        <v>0.33333333333333331</v>
      </c>
      <c r="AC89" s="1617">
        <f t="shared" si="71"/>
        <v>0</v>
      </c>
      <c r="AD89" s="1616">
        <f t="shared" si="72"/>
        <v>0</v>
      </c>
      <c r="AE89" s="1616">
        <f t="shared" si="73"/>
        <v>0</v>
      </c>
      <c r="AG89" s="1645" t="s">
        <v>1471</v>
      </c>
      <c r="AH89" s="1645" t="s">
        <v>1642</v>
      </c>
      <c r="AI89" s="1691" t="s">
        <v>418</v>
      </c>
      <c r="AJ89" s="1637">
        <v>0.33333333333333331</v>
      </c>
      <c r="AK89" s="1637">
        <v>0.33333333333333331</v>
      </c>
      <c r="AL89" s="1637">
        <v>0.33333333333333331</v>
      </c>
      <c r="AM89" s="1637">
        <v>0.33333333333333331</v>
      </c>
      <c r="AN89" s="1637">
        <v>0.33333333333333331</v>
      </c>
      <c r="AO89" s="1637">
        <v>0.33333333333333331</v>
      </c>
      <c r="AP89" s="1637">
        <v>0.33333333333333331</v>
      </c>
      <c r="AQ89" s="1637">
        <v>0.33333333333333331</v>
      </c>
      <c r="AR89" s="1637">
        <v>0.33333333333333331</v>
      </c>
      <c r="AS89" s="1621">
        <v>0.33333333333333331</v>
      </c>
      <c r="AT89" s="1621"/>
      <c r="AU89" s="1623"/>
      <c r="AV89" s="1621"/>
      <c r="AX89" s="2064" t="s">
        <v>1471</v>
      </c>
      <c r="AY89" s="2082" t="s">
        <v>338</v>
      </c>
      <c r="AZ89" s="2067" t="s">
        <v>418</v>
      </c>
      <c r="BA89" s="2069">
        <v>0</v>
      </c>
      <c r="BB89" s="2069">
        <v>0</v>
      </c>
      <c r="BC89" s="2069">
        <v>0</v>
      </c>
      <c r="BD89" s="2069">
        <v>0</v>
      </c>
      <c r="BE89" s="2069">
        <v>0</v>
      </c>
      <c r="BF89" s="2069">
        <v>0</v>
      </c>
      <c r="BG89" s="2069">
        <v>0</v>
      </c>
      <c r="BH89" s="2069">
        <v>0</v>
      </c>
      <c r="BI89" s="2069">
        <v>0</v>
      </c>
      <c r="BJ89" s="2069">
        <v>0</v>
      </c>
      <c r="BK89" s="2069"/>
      <c r="BL89" s="2069"/>
      <c r="BM89" s="2069"/>
      <c r="BO89" s="2064" t="s">
        <v>1471</v>
      </c>
      <c r="BP89" s="2082" t="s">
        <v>338</v>
      </c>
      <c r="BQ89" s="2067" t="s">
        <v>418</v>
      </c>
      <c r="BR89" s="2069">
        <v>0</v>
      </c>
      <c r="BS89" s="2069">
        <v>0</v>
      </c>
      <c r="BT89" s="2069">
        <v>0</v>
      </c>
      <c r="BU89" s="2069">
        <v>0</v>
      </c>
      <c r="BV89" s="2069">
        <v>0</v>
      </c>
      <c r="BW89" s="2069">
        <v>0</v>
      </c>
      <c r="BX89" s="2069">
        <v>0</v>
      </c>
      <c r="BY89" s="2069">
        <v>0</v>
      </c>
      <c r="BZ89" s="2069">
        <v>0</v>
      </c>
      <c r="CA89" s="2069">
        <v>0</v>
      </c>
      <c r="CB89" s="2069"/>
      <c r="CC89" s="2069"/>
      <c r="CD89" s="2069"/>
    </row>
    <row r="90" spans="1:94">
      <c r="B90" s="1595">
        <f t="shared" si="74"/>
        <v>2.4</v>
      </c>
      <c r="C90" s="1645" t="str">
        <f t="shared" si="53"/>
        <v>信頼性</v>
      </c>
      <c r="D90" s="1714" t="e">
        <f>IF(I$75=0,0,G90/I$75)</f>
        <v>#DIV/0!</v>
      </c>
      <c r="E90" s="1689" t="e">
        <f>IF(J$75=0,0,H90/J$75)</f>
        <v>#DIV/0!</v>
      </c>
      <c r="G90" s="1689" t="e">
        <f t="shared" si="54"/>
        <v>#DIV/0!</v>
      </c>
      <c r="H90" s="1689" t="e">
        <f t="shared" si="55"/>
        <v>#DIV/0!</v>
      </c>
      <c r="I90" s="1689" t="e">
        <f>SUM(G91:G95)</f>
        <v>#DIV/0!</v>
      </c>
      <c r="J90" s="1689" t="e">
        <f>SUM(H91:H95)</f>
        <v>#DIV/0!</v>
      </c>
      <c r="K90" s="1689" t="e">
        <f>IF(スコア表示!W90=0,0,1)</f>
        <v>#DIV/0!</v>
      </c>
      <c r="L90" s="1689" t="e">
        <f>IF(スコア表示!AA90=0,0,1)</f>
        <v>#DIV/0!</v>
      </c>
      <c r="M90" s="1689" t="e">
        <f t="shared" si="56"/>
        <v>#DIV/0!</v>
      </c>
      <c r="N90" s="1689" t="e">
        <f t="shared" si="57"/>
        <v>#DIV/0!</v>
      </c>
      <c r="P90" s="1645">
        <f t="shared" si="76"/>
        <v>2.4</v>
      </c>
      <c r="Q90" s="1645" t="str">
        <f t="shared" si="77"/>
        <v xml:space="preserve"> Q2 2</v>
      </c>
      <c r="R90" s="1735" t="str">
        <f t="shared" si="60"/>
        <v>信頼性</v>
      </c>
      <c r="S90" s="1616">
        <f t="shared" si="61"/>
        <v>0.25</v>
      </c>
      <c r="T90" s="1616">
        <f t="shared" si="62"/>
        <v>0.25</v>
      </c>
      <c r="U90" s="1616">
        <f t="shared" si="63"/>
        <v>0.25</v>
      </c>
      <c r="V90" s="1616">
        <f t="shared" si="64"/>
        <v>0.25</v>
      </c>
      <c r="W90" s="1616">
        <f t="shared" si="65"/>
        <v>0.25</v>
      </c>
      <c r="X90" s="1616">
        <f t="shared" si="66"/>
        <v>0.25</v>
      </c>
      <c r="Y90" s="1616">
        <f t="shared" si="67"/>
        <v>0.25</v>
      </c>
      <c r="Z90" s="1624">
        <f t="shared" si="68"/>
        <v>0.25</v>
      </c>
      <c r="AA90" s="1616">
        <f t="shared" si="69"/>
        <v>0.25</v>
      </c>
      <c r="AB90" s="1616">
        <f t="shared" si="70"/>
        <v>0.25</v>
      </c>
      <c r="AC90" s="1617">
        <f t="shared" si="71"/>
        <v>0</v>
      </c>
      <c r="AD90" s="1616">
        <f t="shared" si="72"/>
        <v>0</v>
      </c>
      <c r="AE90" s="1616">
        <f t="shared" si="73"/>
        <v>0</v>
      </c>
      <c r="AG90" s="1645">
        <v>2.4</v>
      </c>
      <c r="AH90" s="1691" t="s">
        <v>327</v>
      </c>
      <c r="AI90" s="1735" t="s">
        <v>711</v>
      </c>
      <c r="AJ90" s="1616">
        <v>0.25</v>
      </c>
      <c r="AK90" s="1616">
        <v>0.25</v>
      </c>
      <c r="AL90" s="1616">
        <v>0.25</v>
      </c>
      <c r="AM90" s="1616">
        <v>0.25</v>
      </c>
      <c r="AN90" s="1616">
        <v>0.25</v>
      </c>
      <c r="AO90" s="1616">
        <v>0.25</v>
      </c>
      <c r="AP90" s="1616">
        <v>0.25</v>
      </c>
      <c r="AQ90" s="1624">
        <v>0.25</v>
      </c>
      <c r="AR90" s="1616">
        <v>0.25</v>
      </c>
      <c r="AS90" s="1621">
        <v>0.25</v>
      </c>
      <c r="AT90" s="1623">
        <v>0</v>
      </c>
      <c r="AU90" s="1621">
        <v>0</v>
      </c>
      <c r="AV90" s="1621">
        <v>0</v>
      </c>
      <c r="AX90" s="1645">
        <v>2.4</v>
      </c>
      <c r="AY90" s="1691" t="s">
        <v>327</v>
      </c>
      <c r="AZ90" s="1735" t="s">
        <v>711</v>
      </c>
      <c r="BA90" s="1621">
        <v>0.2</v>
      </c>
      <c r="BB90" s="1621">
        <v>0.2</v>
      </c>
      <c r="BC90" s="1621">
        <v>0.2</v>
      </c>
      <c r="BD90" s="1621">
        <v>0.2</v>
      </c>
      <c r="BE90" s="1621">
        <v>0.2</v>
      </c>
      <c r="BF90" s="1621">
        <v>0.2</v>
      </c>
      <c r="BG90" s="1621">
        <v>0.2</v>
      </c>
      <c r="BH90" s="1622">
        <v>0.2</v>
      </c>
      <c r="BI90" s="1621">
        <v>0.2</v>
      </c>
      <c r="BJ90" s="1621">
        <v>0.2</v>
      </c>
      <c r="BK90" s="1623"/>
      <c r="BL90" s="1621"/>
      <c r="BM90" s="1621"/>
      <c r="BO90" s="1645">
        <v>2.4</v>
      </c>
      <c r="BP90" s="1691" t="s">
        <v>327</v>
      </c>
      <c r="BQ90" s="1735" t="s">
        <v>711</v>
      </c>
      <c r="BR90" s="1621">
        <v>0.2</v>
      </c>
      <c r="BS90" s="1621">
        <v>0.2</v>
      </c>
      <c r="BT90" s="1621">
        <v>0.2</v>
      </c>
      <c r="BU90" s="1621">
        <v>0.2</v>
      </c>
      <c r="BV90" s="1621">
        <v>0.2</v>
      </c>
      <c r="BW90" s="1621">
        <v>0.2</v>
      </c>
      <c r="BX90" s="1621">
        <v>0.2</v>
      </c>
      <c r="BY90" s="1622">
        <v>0.2</v>
      </c>
      <c r="BZ90" s="1621">
        <v>0.2</v>
      </c>
      <c r="CA90" s="1621">
        <v>0.2</v>
      </c>
      <c r="CB90" s="1623"/>
      <c r="CC90" s="1621"/>
      <c r="CD90" s="1621"/>
    </row>
    <row r="91" spans="1:94">
      <c r="B91" s="1595" t="str">
        <f t="shared" si="74"/>
        <v>2.4.1</v>
      </c>
      <c r="C91" s="1612" t="str">
        <f t="shared" si="53"/>
        <v>空調・換気設備</v>
      </c>
      <c r="D91" s="1719" t="e">
        <f t="shared" ref="D91:E95" si="79">IF(I$90&gt;0,G91/I$90,0)</f>
        <v>#DIV/0!</v>
      </c>
      <c r="E91" s="1689" t="e">
        <f t="shared" si="79"/>
        <v>#DIV/0!</v>
      </c>
      <c r="G91" s="1689" t="e">
        <f t="shared" si="54"/>
        <v>#DIV/0!</v>
      </c>
      <c r="H91" s="1689" t="e">
        <f t="shared" si="55"/>
        <v>#DIV/0!</v>
      </c>
      <c r="I91" s="1689"/>
      <c r="J91" s="1689"/>
      <c r="K91" s="1689">
        <f>IF(スコア表示!W91=0,0,1)</f>
        <v>1</v>
      </c>
      <c r="L91" s="1689">
        <f>IF(スコア表示!AA91=0,0,1)</f>
        <v>0</v>
      </c>
      <c r="M91" s="1689" t="e">
        <f t="shared" si="56"/>
        <v>#DIV/0!</v>
      </c>
      <c r="N91" s="1689" t="e">
        <f t="shared" si="57"/>
        <v>#DIV/0!</v>
      </c>
      <c r="P91" s="1645" t="str">
        <f t="shared" si="76"/>
        <v>2.4.1</v>
      </c>
      <c r="Q91" s="1645" t="str">
        <f t="shared" si="77"/>
        <v xml:space="preserve"> Q2 2.4</v>
      </c>
      <c r="R91" s="1735" t="str">
        <f t="shared" si="60"/>
        <v>空調・換気設備</v>
      </c>
      <c r="S91" s="1616">
        <f t="shared" si="61"/>
        <v>0.2</v>
      </c>
      <c r="T91" s="1616">
        <f t="shared" si="62"/>
        <v>0.2</v>
      </c>
      <c r="U91" s="1616">
        <f t="shared" si="63"/>
        <v>0.2</v>
      </c>
      <c r="V91" s="1616">
        <f t="shared" si="64"/>
        <v>0.2</v>
      </c>
      <c r="W91" s="1616">
        <f t="shared" si="65"/>
        <v>0.2</v>
      </c>
      <c r="X91" s="1616">
        <f t="shared" si="66"/>
        <v>0.2</v>
      </c>
      <c r="Y91" s="1616">
        <f t="shared" si="67"/>
        <v>0.2</v>
      </c>
      <c r="Z91" s="1624">
        <f t="shared" si="68"/>
        <v>0.2</v>
      </c>
      <c r="AA91" s="1616">
        <f t="shared" si="69"/>
        <v>0.2</v>
      </c>
      <c r="AB91" s="1616">
        <f t="shared" si="70"/>
        <v>0.2</v>
      </c>
      <c r="AC91" s="1617">
        <f t="shared" si="71"/>
        <v>0</v>
      </c>
      <c r="AD91" s="1616">
        <f t="shared" si="72"/>
        <v>0</v>
      </c>
      <c r="AE91" s="1616">
        <f t="shared" si="73"/>
        <v>0</v>
      </c>
      <c r="AG91" s="1645" t="s">
        <v>1472</v>
      </c>
      <c r="AH91" s="1691" t="s">
        <v>339</v>
      </c>
      <c r="AI91" s="2061" t="s">
        <v>340</v>
      </c>
      <c r="AJ91" s="1616">
        <v>0.2</v>
      </c>
      <c r="AK91" s="1616">
        <v>0.2</v>
      </c>
      <c r="AL91" s="1616">
        <v>0.2</v>
      </c>
      <c r="AM91" s="1616">
        <v>0.2</v>
      </c>
      <c r="AN91" s="1616">
        <v>0.2</v>
      </c>
      <c r="AO91" s="1616">
        <v>0.2</v>
      </c>
      <c r="AP91" s="1616">
        <v>0.2</v>
      </c>
      <c r="AQ91" s="1624">
        <v>0.2</v>
      </c>
      <c r="AR91" s="1616">
        <v>0.2</v>
      </c>
      <c r="AS91" s="1621">
        <v>0.2</v>
      </c>
      <c r="AT91" s="1623">
        <v>0</v>
      </c>
      <c r="AU91" s="1621">
        <v>0</v>
      </c>
      <c r="AV91" s="1621">
        <v>0</v>
      </c>
      <c r="AX91" s="1645" t="s">
        <v>1472</v>
      </c>
      <c r="AY91" s="1691" t="s">
        <v>339</v>
      </c>
      <c r="AZ91" s="2061" t="s">
        <v>340</v>
      </c>
      <c r="BA91" s="1621">
        <v>0.2</v>
      </c>
      <c r="BB91" s="1621">
        <v>0.2</v>
      </c>
      <c r="BC91" s="1621">
        <v>0.2</v>
      </c>
      <c r="BD91" s="1621">
        <v>0.2</v>
      </c>
      <c r="BE91" s="1621">
        <v>0.2</v>
      </c>
      <c r="BF91" s="1621">
        <v>0.2</v>
      </c>
      <c r="BG91" s="1621">
        <v>0.2</v>
      </c>
      <c r="BH91" s="1622">
        <v>0.2</v>
      </c>
      <c r="BI91" s="1621">
        <v>0.2</v>
      </c>
      <c r="BJ91" s="1621">
        <v>0.2</v>
      </c>
      <c r="BK91" s="1623"/>
      <c r="BL91" s="1621"/>
      <c r="BM91" s="1621"/>
      <c r="BO91" s="1645" t="s">
        <v>1472</v>
      </c>
      <c r="BP91" s="1691" t="s">
        <v>339</v>
      </c>
      <c r="BQ91" s="2061" t="s">
        <v>340</v>
      </c>
      <c r="BR91" s="1621">
        <v>0.2</v>
      </c>
      <c r="BS91" s="1621">
        <v>0.2</v>
      </c>
      <c r="BT91" s="1621">
        <v>0.2</v>
      </c>
      <c r="BU91" s="1621">
        <v>0.2</v>
      </c>
      <c r="BV91" s="1621">
        <v>0.2</v>
      </c>
      <c r="BW91" s="1621">
        <v>0.2</v>
      </c>
      <c r="BX91" s="1621">
        <v>0.2</v>
      </c>
      <c r="BY91" s="1622">
        <v>0.2</v>
      </c>
      <c r="BZ91" s="1621">
        <v>0.2</v>
      </c>
      <c r="CA91" s="1621">
        <v>0.2</v>
      </c>
      <c r="CB91" s="1623"/>
      <c r="CC91" s="1621"/>
      <c r="CD91" s="1621"/>
    </row>
    <row r="92" spans="1:94">
      <c r="B92" s="1595" t="str">
        <f t="shared" si="74"/>
        <v>2.4.2</v>
      </c>
      <c r="C92" s="1612" t="str">
        <f t="shared" si="53"/>
        <v>給排水・衛生設備</v>
      </c>
      <c r="D92" s="1719" t="e">
        <f t="shared" si="79"/>
        <v>#DIV/0!</v>
      </c>
      <c r="E92" s="1689" t="e">
        <f t="shared" si="79"/>
        <v>#DIV/0!</v>
      </c>
      <c r="G92" s="1689" t="e">
        <f t="shared" si="54"/>
        <v>#DIV/0!</v>
      </c>
      <c r="H92" s="1689" t="e">
        <f t="shared" si="55"/>
        <v>#DIV/0!</v>
      </c>
      <c r="I92" s="1689"/>
      <c r="J92" s="1689"/>
      <c r="K92" s="1689">
        <f>IF(スコア表示!W92=0,0,1)</f>
        <v>1</v>
      </c>
      <c r="L92" s="1689">
        <f>IF(スコア表示!AA92=0,0,1)</f>
        <v>0</v>
      </c>
      <c r="M92" s="1689" t="e">
        <f t="shared" si="56"/>
        <v>#DIV/0!</v>
      </c>
      <c r="N92" s="1689" t="e">
        <f t="shared" si="57"/>
        <v>#DIV/0!</v>
      </c>
      <c r="P92" s="1645" t="str">
        <f t="shared" si="76"/>
        <v>2.4.2</v>
      </c>
      <c r="Q92" s="1645" t="str">
        <f t="shared" si="77"/>
        <v xml:space="preserve"> Q2 2.4</v>
      </c>
      <c r="R92" s="1735" t="str">
        <f t="shared" si="60"/>
        <v>給排水・衛生設備</v>
      </c>
      <c r="S92" s="1616">
        <f t="shared" si="61"/>
        <v>0.2</v>
      </c>
      <c r="T92" s="1616">
        <f t="shared" si="62"/>
        <v>0.2</v>
      </c>
      <c r="U92" s="1616">
        <f t="shared" si="63"/>
        <v>0.2</v>
      </c>
      <c r="V92" s="1616">
        <f t="shared" si="64"/>
        <v>0.2</v>
      </c>
      <c r="W92" s="1616">
        <f t="shared" si="65"/>
        <v>0.2</v>
      </c>
      <c r="X92" s="1616">
        <f t="shared" si="66"/>
        <v>0.2</v>
      </c>
      <c r="Y92" s="1616">
        <f t="shared" si="67"/>
        <v>0.2</v>
      </c>
      <c r="Z92" s="1624">
        <f t="shared" si="68"/>
        <v>0.2</v>
      </c>
      <c r="AA92" s="1616">
        <f t="shared" si="69"/>
        <v>0.2</v>
      </c>
      <c r="AB92" s="1616">
        <f t="shared" si="70"/>
        <v>0.2</v>
      </c>
      <c r="AC92" s="1617">
        <f t="shared" si="71"/>
        <v>0</v>
      </c>
      <c r="AD92" s="1616">
        <f t="shared" si="72"/>
        <v>0</v>
      </c>
      <c r="AE92" s="1616">
        <f t="shared" si="73"/>
        <v>0</v>
      </c>
      <c r="AG92" s="1645" t="s">
        <v>341</v>
      </c>
      <c r="AH92" s="1691" t="s">
        <v>339</v>
      </c>
      <c r="AI92" s="2061" t="s">
        <v>342</v>
      </c>
      <c r="AJ92" s="1616">
        <v>0.2</v>
      </c>
      <c r="AK92" s="1616">
        <v>0.2</v>
      </c>
      <c r="AL92" s="1616">
        <v>0.2</v>
      </c>
      <c r="AM92" s="1616">
        <v>0.2</v>
      </c>
      <c r="AN92" s="1616">
        <v>0.2</v>
      </c>
      <c r="AO92" s="1616">
        <v>0.2</v>
      </c>
      <c r="AP92" s="1616">
        <v>0.2</v>
      </c>
      <c r="AQ92" s="1624">
        <v>0.2</v>
      </c>
      <c r="AR92" s="1616">
        <v>0.2</v>
      </c>
      <c r="AS92" s="1621">
        <v>0.2</v>
      </c>
      <c r="AT92" s="1623">
        <v>0</v>
      </c>
      <c r="AU92" s="1621">
        <v>0</v>
      </c>
      <c r="AV92" s="1621">
        <v>0</v>
      </c>
      <c r="AX92" s="1645" t="s">
        <v>341</v>
      </c>
      <c r="AY92" s="1691" t="s">
        <v>339</v>
      </c>
      <c r="AZ92" s="2061" t="s">
        <v>342</v>
      </c>
      <c r="BA92" s="1621">
        <v>0.2</v>
      </c>
      <c r="BB92" s="1621">
        <v>0.2</v>
      </c>
      <c r="BC92" s="1621">
        <v>0.2</v>
      </c>
      <c r="BD92" s="1621">
        <v>0.2</v>
      </c>
      <c r="BE92" s="1621">
        <v>0.2</v>
      </c>
      <c r="BF92" s="1621">
        <v>0.2</v>
      </c>
      <c r="BG92" s="1621">
        <v>0.2</v>
      </c>
      <c r="BH92" s="1622">
        <v>0.2</v>
      </c>
      <c r="BI92" s="1621">
        <v>0.2</v>
      </c>
      <c r="BJ92" s="1621">
        <v>0.2</v>
      </c>
      <c r="BK92" s="1623"/>
      <c r="BL92" s="1621"/>
      <c r="BM92" s="1621"/>
      <c r="BO92" s="1645" t="s">
        <v>341</v>
      </c>
      <c r="BP92" s="1691" t="s">
        <v>339</v>
      </c>
      <c r="BQ92" s="2061" t="s">
        <v>342</v>
      </c>
      <c r="BR92" s="1621">
        <v>0.2</v>
      </c>
      <c r="BS92" s="1621">
        <v>0.2</v>
      </c>
      <c r="BT92" s="1621">
        <v>0.2</v>
      </c>
      <c r="BU92" s="1621">
        <v>0.2</v>
      </c>
      <c r="BV92" s="1621">
        <v>0.2</v>
      </c>
      <c r="BW92" s="1621">
        <v>0.2</v>
      </c>
      <c r="BX92" s="1621">
        <v>0.2</v>
      </c>
      <c r="BY92" s="1622">
        <v>0.2</v>
      </c>
      <c r="BZ92" s="1621">
        <v>0.2</v>
      </c>
      <c r="CA92" s="1621">
        <v>0.2</v>
      </c>
      <c r="CB92" s="1623"/>
      <c r="CC92" s="1621"/>
      <c r="CD92" s="1621"/>
    </row>
    <row r="93" spans="1:94">
      <c r="B93" s="1595" t="str">
        <f t="shared" si="74"/>
        <v>2.4.3</v>
      </c>
      <c r="C93" s="1612" t="str">
        <f t="shared" si="53"/>
        <v>電気設備</v>
      </c>
      <c r="D93" s="1719" t="e">
        <f t="shared" si="79"/>
        <v>#DIV/0!</v>
      </c>
      <c r="E93" s="1689" t="e">
        <f t="shared" si="79"/>
        <v>#DIV/0!</v>
      </c>
      <c r="G93" s="1689" t="e">
        <f t="shared" si="54"/>
        <v>#DIV/0!</v>
      </c>
      <c r="H93" s="1689" t="e">
        <f t="shared" si="55"/>
        <v>#DIV/0!</v>
      </c>
      <c r="I93" s="1689"/>
      <c r="J93" s="1689"/>
      <c r="K93" s="1689">
        <f>IF(スコア表示!W93=0,0,1)</f>
        <v>1</v>
      </c>
      <c r="L93" s="1689">
        <f>IF(スコア表示!AA93=0,0,1)</f>
        <v>0</v>
      </c>
      <c r="M93" s="1689" t="e">
        <f t="shared" si="56"/>
        <v>#DIV/0!</v>
      </c>
      <c r="N93" s="1689" t="e">
        <f t="shared" si="57"/>
        <v>#DIV/0!</v>
      </c>
      <c r="P93" s="1645" t="str">
        <f t="shared" si="76"/>
        <v>2.4.3</v>
      </c>
      <c r="Q93" s="1645" t="str">
        <f t="shared" si="77"/>
        <v xml:space="preserve"> Q2 2.4</v>
      </c>
      <c r="R93" s="1735" t="str">
        <f t="shared" si="60"/>
        <v>電気設備</v>
      </c>
      <c r="S93" s="1616">
        <f t="shared" si="61"/>
        <v>0.2</v>
      </c>
      <c r="T93" s="1616">
        <f t="shared" si="62"/>
        <v>0.2</v>
      </c>
      <c r="U93" s="1616">
        <f t="shared" si="63"/>
        <v>0.2</v>
      </c>
      <c r="V93" s="1616">
        <f t="shared" si="64"/>
        <v>0.2</v>
      </c>
      <c r="W93" s="1616">
        <f t="shared" si="65"/>
        <v>0.2</v>
      </c>
      <c r="X93" s="1616">
        <f t="shared" si="66"/>
        <v>0.2</v>
      </c>
      <c r="Y93" s="1616">
        <f t="shared" si="67"/>
        <v>0.2</v>
      </c>
      <c r="Z93" s="1624">
        <f t="shared" si="68"/>
        <v>0.2</v>
      </c>
      <c r="AA93" s="1616">
        <f t="shared" si="69"/>
        <v>0.2</v>
      </c>
      <c r="AB93" s="1616">
        <f t="shared" si="70"/>
        <v>0.2</v>
      </c>
      <c r="AC93" s="1617">
        <f t="shared" si="71"/>
        <v>0</v>
      </c>
      <c r="AD93" s="1616">
        <f t="shared" si="72"/>
        <v>0</v>
      </c>
      <c r="AE93" s="1616">
        <f t="shared" si="73"/>
        <v>0</v>
      </c>
      <c r="AG93" s="1645" t="s">
        <v>343</v>
      </c>
      <c r="AH93" s="1691" t="s">
        <v>339</v>
      </c>
      <c r="AI93" s="2061" t="s">
        <v>344</v>
      </c>
      <c r="AJ93" s="1616">
        <v>0.2</v>
      </c>
      <c r="AK93" s="1616">
        <v>0.2</v>
      </c>
      <c r="AL93" s="1616">
        <v>0.2</v>
      </c>
      <c r="AM93" s="1616">
        <v>0.2</v>
      </c>
      <c r="AN93" s="1616">
        <v>0.2</v>
      </c>
      <c r="AO93" s="1616">
        <v>0.2</v>
      </c>
      <c r="AP93" s="1616">
        <v>0.2</v>
      </c>
      <c r="AQ93" s="1624">
        <v>0.2</v>
      </c>
      <c r="AR93" s="1616">
        <v>0.2</v>
      </c>
      <c r="AS93" s="1621">
        <v>0.2</v>
      </c>
      <c r="AT93" s="1623">
        <v>0</v>
      </c>
      <c r="AU93" s="1621">
        <v>0</v>
      </c>
      <c r="AV93" s="1621">
        <v>0</v>
      </c>
      <c r="AX93" s="1645" t="s">
        <v>343</v>
      </c>
      <c r="AY93" s="1691" t="s">
        <v>339</v>
      </c>
      <c r="AZ93" s="2061" t="s">
        <v>344</v>
      </c>
      <c r="BA93" s="1621">
        <v>0.2</v>
      </c>
      <c r="BB93" s="1621">
        <v>0.2</v>
      </c>
      <c r="BC93" s="1621">
        <v>0.2</v>
      </c>
      <c r="BD93" s="1621">
        <v>0.2</v>
      </c>
      <c r="BE93" s="1621">
        <v>0.2</v>
      </c>
      <c r="BF93" s="1621">
        <v>0.2</v>
      </c>
      <c r="BG93" s="1621">
        <v>0.2</v>
      </c>
      <c r="BH93" s="1622">
        <v>0.2</v>
      </c>
      <c r="BI93" s="1621">
        <v>0.2</v>
      </c>
      <c r="BJ93" s="1621">
        <v>0.2</v>
      </c>
      <c r="BK93" s="1623"/>
      <c r="BL93" s="1621"/>
      <c r="BM93" s="1621"/>
      <c r="BO93" s="1645" t="s">
        <v>343</v>
      </c>
      <c r="BP93" s="1691" t="s">
        <v>339</v>
      </c>
      <c r="BQ93" s="2061" t="s">
        <v>344</v>
      </c>
      <c r="BR93" s="1621">
        <v>0.2</v>
      </c>
      <c r="BS93" s="1621">
        <v>0.2</v>
      </c>
      <c r="BT93" s="1621">
        <v>0.2</v>
      </c>
      <c r="BU93" s="1621">
        <v>0.2</v>
      </c>
      <c r="BV93" s="1621">
        <v>0.2</v>
      </c>
      <c r="BW93" s="1621">
        <v>0.2</v>
      </c>
      <c r="BX93" s="1621">
        <v>0.2</v>
      </c>
      <c r="BY93" s="1622">
        <v>0.2</v>
      </c>
      <c r="BZ93" s="1621">
        <v>0.2</v>
      </c>
      <c r="CA93" s="1621">
        <v>0.2</v>
      </c>
      <c r="CB93" s="1623"/>
      <c r="CC93" s="1621"/>
      <c r="CD93" s="1621"/>
    </row>
    <row r="94" spans="1:94">
      <c r="B94" s="1595" t="str">
        <f t="shared" si="74"/>
        <v>2.4.4</v>
      </c>
      <c r="C94" s="1612" t="str">
        <f t="shared" si="53"/>
        <v>機械・配管支持方法</v>
      </c>
      <c r="D94" s="1719" t="e">
        <f t="shared" si="79"/>
        <v>#DIV/0!</v>
      </c>
      <c r="E94" s="1689" t="e">
        <f t="shared" si="79"/>
        <v>#DIV/0!</v>
      </c>
      <c r="G94" s="1689" t="e">
        <f t="shared" si="54"/>
        <v>#DIV/0!</v>
      </c>
      <c r="H94" s="1689" t="e">
        <f t="shared" si="55"/>
        <v>#DIV/0!</v>
      </c>
      <c r="I94" s="1689"/>
      <c r="J94" s="1689"/>
      <c r="K94" s="1689">
        <f>IF(スコア表示!W94=0,0,1)</f>
        <v>1</v>
      </c>
      <c r="L94" s="1689">
        <f>IF(スコア表示!AA94=0,0,1)</f>
        <v>0</v>
      </c>
      <c r="M94" s="1689" t="e">
        <f t="shared" si="56"/>
        <v>#DIV/0!</v>
      </c>
      <c r="N94" s="1689" t="e">
        <f t="shared" si="57"/>
        <v>#DIV/0!</v>
      </c>
      <c r="P94" s="1645" t="str">
        <f t="shared" si="76"/>
        <v>2.4.4</v>
      </c>
      <c r="Q94" s="1645" t="str">
        <f t="shared" si="77"/>
        <v xml:space="preserve"> Q2 2.4</v>
      </c>
      <c r="R94" s="1735" t="str">
        <f t="shared" si="60"/>
        <v>機械・配管支持方法</v>
      </c>
      <c r="S94" s="1616">
        <f t="shared" si="61"/>
        <v>0.2</v>
      </c>
      <c r="T94" s="1616">
        <f t="shared" si="62"/>
        <v>0.2</v>
      </c>
      <c r="U94" s="1616">
        <f t="shared" si="63"/>
        <v>0.2</v>
      </c>
      <c r="V94" s="1616">
        <f t="shared" si="64"/>
        <v>0.2</v>
      </c>
      <c r="W94" s="1616">
        <f t="shared" si="65"/>
        <v>0.2</v>
      </c>
      <c r="X94" s="1616">
        <f t="shared" si="66"/>
        <v>0.2</v>
      </c>
      <c r="Y94" s="1616">
        <f t="shared" si="67"/>
        <v>0.2</v>
      </c>
      <c r="Z94" s="1624">
        <f t="shared" si="68"/>
        <v>0.2</v>
      </c>
      <c r="AA94" s="1616">
        <f t="shared" si="69"/>
        <v>0.2</v>
      </c>
      <c r="AB94" s="1616">
        <f t="shared" si="70"/>
        <v>0.2</v>
      </c>
      <c r="AC94" s="1617">
        <f t="shared" si="71"/>
        <v>0</v>
      </c>
      <c r="AD94" s="1616">
        <f t="shared" si="72"/>
        <v>0</v>
      </c>
      <c r="AE94" s="1616">
        <f t="shared" si="73"/>
        <v>0</v>
      </c>
      <c r="AG94" s="1645" t="s">
        <v>345</v>
      </c>
      <c r="AH94" s="1691" t="s">
        <v>339</v>
      </c>
      <c r="AI94" s="2061" t="s">
        <v>346</v>
      </c>
      <c r="AJ94" s="1616">
        <v>0.2</v>
      </c>
      <c r="AK94" s="1616">
        <v>0.2</v>
      </c>
      <c r="AL94" s="1616">
        <v>0.2</v>
      </c>
      <c r="AM94" s="1616">
        <v>0.2</v>
      </c>
      <c r="AN94" s="1616">
        <v>0.2</v>
      </c>
      <c r="AO94" s="1616">
        <v>0.2</v>
      </c>
      <c r="AP94" s="1616">
        <v>0.2</v>
      </c>
      <c r="AQ94" s="1624">
        <v>0.2</v>
      </c>
      <c r="AR94" s="1616">
        <v>0.2</v>
      </c>
      <c r="AS94" s="1621">
        <v>0.2</v>
      </c>
      <c r="AT94" s="1623">
        <v>0</v>
      </c>
      <c r="AU94" s="1621">
        <v>0</v>
      </c>
      <c r="AV94" s="1621">
        <v>0</v>
      </c>
      <c r="AX94" s="1645" t="s">
        <v>345</v>
      </c>
      <c r="AY94" s="1691" t="s">
        <v>339</v>
      </c>
      <c r="AZ94" s="2061" t="s">
        <v>346</v>
      </c>
      <c r="BA94" s="1621">
        <v>0.2</v>
      </c>
      <c r="BB94" s="1621">
        <v>0.2</v>
      </c>
      <c r="BC94" s="1621">
        <v>0.2</v>
      </c>
      <c r="BD94" s="1621">
        <v>0.2</v>
      </c>
      <c r="BE94" s="1621">
        <v>0.2</v>
      </c>
      <c r="BF94" s="1621">
        <v>0.2</v>
      </c>
      <c r="BG94" s="1621">
        <v>0.2</v>
      </c>
      <c r="BH94" s="1622">
        <v>0.2</v>
      </c>
      <c r="BI94" s="1621">
        <v>0.2</v>
      </c>
      <c r="BJ94" s="1621">
        <v>0.2</v>
      </c>
      <c r="BK94" s="1623"/>
      <c r="BL94" s="1621"/>
      <c r="BM94" s="1621"/>
      <c r="BO94" s="1645" t="s">
        <v>345</v>
      </c>
      <c r="BP94" s="1691" t="s">
        <v>339</v>
      </c>
      <c r="BQ94" s="2061" t="s">
        <v>346</v>
      </c>
      <c r="BR94" s="1621">
        <v>0.2</v>
      </c>
      <c r="BS94" s="1621">
        <v>0.2</v>
      </c>
      <c r="BT94" s="1621">
        <v>0.2</v>
      </c>
      <c r="BU94" s="1621">
        <v>0.2</v>
      </c>
      <c r="BV94" s="1621">
        <v>0.2</v>
      </c>
      <c r="BW94" s="1621">
        <v>0.2</v>
      </c>
      <c r="BX94" s="1621">
        <v>0.2</v>
      </c>
      <c r="BY94" s="1622">
        <v>0.2</v>
      </c>
      <c r="BZ94" s="1621">
        <v>0.2</v>
      </c>
      <c r="CA94" s="1621">
        <v>0.2</v>
      </c>
      <c r="CB94" s="1623"/>
      <c r="CC94" s="1621"/>
      <c r="CD94" s="1621"/>
    </row>
    <row r="95" spans="1:94">
      <c r="B95" s="1595" t="str">
        <f t="shared" si="74"/>
        <v>2.4.5</v>
      </c>
      <c r="C95" s="1612" t="str">
        <f t="shared" si="53"/>
        <v>通信・情報設備</v>
      </c>
      <c r="D95" s="1719" t="e">
        <f t="shared" si="79"/>
        <v>#DIV/0!</v>
      </c>
      <c r="E95" s="1689" t="e">
        <f t="shared" si="79"/>
        <v>#DIV/0!</v>
      </c>
      <c r="G95" s="1689" t="e">
        <f t="shared" si="54"/>
        <v>#DIV/0!</v>
      </c>
      <c r="H95" s="1689" t="e">
        <f t="shared" si="55"/>
        <v>#DIV/0!</v>
      </c>
      <c r="I95" s="1689"/>
      <c r="J95" s="1689"/>
      <c r="K95" s="1689">
        <f>IF(スコア表示!W95=0,0,1)</f>
        <v>1</v>
      </c>
      <c r="L95" s="1689">
        <f>IF(スコア表示!AA95=0,0,1)</f>
        <v>0</v>
      </c>
      <c r="M95" s="1689" t="e">
        <f t="shared" si="56"/>
        <v>#DIV/0!</v>
      </c>
      <c r="N95" s="1689" t="e">
        <f t="shared" si="57"/>
        <v>#DIV/0!</v>
      </c>
      <c r="P95" s="1645" t="str">
        <f t="shared" si="76"/>
        <v>2.4.5</v>
      </c>
      <c r="Q95" s="1645" t="str">
        <f t="shared" si="77"/>
        <v xml:space="preserve"> Q2 2.4</v>
      </c>
      <c r="R95" s="1735" t="str">
        <f t="shared" si="60"/>
        <v>通信・情報設備</v>
      </c>
      <c r="S95" s="1616">
        <f t="shared" si="61"/>
        <v>0.2</v>
      </c>
      <c r="T95" s="1616">
        <f t="shared" si="62"/>
        <v>0.2</v>
      </c>
      <c r="U95" s="1616">
        <f t="shared" si="63"/>
        <v>0.2</v>
      </c>
      <c r="V95" s="1616">
        <f t="shared" si="64"/>
        <v>0.2</v>
      </c>
      <c r="W95" s="1616">
        <f t="shared" si="65"/>
        <v>0.2</v>
      </c>
      <c r="X95" s="1616">
        <f t="shared" si="66"/>
        <v>0.2</v>
      </c>
      <c r="Y95" s="1616">
        <f t="shared" si="67"/>
        <v>0.2</v>
      </c>
      <c r="Z95" s="1624">
        <f t="shared" si="68"/>
        <v>0.2</v>
      </c>
      <c r="AA95" s="1616">
        <f t="shared" si="69"/>
        <v>0.2</v>
      </c>
      <c r="AB95" s="1616">
        <f t="shared" si="70"/>
        <v>0.2</v>
      </c>
      <c r="AC95" s="1617">
        <f t="shared" si="71"/>
        <v>0</v>
      </c>
      <c r="AD95" s="1616">
        <f t="shared" si="72"/>
        <v>0</v>
      </c>
      <c r="AE95" s="1616">
        <f t="shared" si="73"/>
        <v>0</v>
      </c>
      <c r="AG95" s="1645" t="s">
        <v>347</v>
      </c>
      <c r="AH95" s="1691" t="s">
        <v>339</v>
      </c>
      <c r="AI95" s="2061" t="s">
        <v>348</v>
      </c>
      <c r="AJ95" s="1616">
        <v>0.2</v>
      </c>
      <c r="AK95" s="1616">
        <v>0.2</v>
      </c>
      <c r="AL95" s="1616">
        <v>0.2</v>
      </c>
      <c r="AM95" s="1616">
        <v>0.2</v>
      </c>
      <c r="AN95" s="1616">
        <v>0.2</v>
      </c>
      <c r="AO95" s="1616">
        <v>0.2</v>
      </c>
      <c r="AP95" s="1616">
        <v>0.2</v>
      </c>
      <c r="AQ95" s="1624">
        <v>0.2</v>
      </c>
      <c r="AR95" s="1616">
        <v>0.2</v>
      </c>
      <c r="AS95" s="1621">
        <v>0.2</v>
      </c>
      <c r="AT95" s="1623">
        <v>0</v>
      </c>
      <c r="AU95" s="1621">
        <v>0</v>
      </c>
      <c r="AV95" s="1621">
        <v>0</v>
      </c>
      <c r="AX95" s="1645" t="s">
        <v>347</v>
      </c>
      <c r="AY95" s="1691" t="s">
        <v>339</v>
      </c>
      <c r="AZ95" s="2061" t="s">
        <v>348</v>
      </c>
      <c r="BA95" s="1621">
        <v>0.2</v>
      </c>
      <c r="BB95" s="1621">
        <v>0.2</v>
      </c>
      <c r="BC95" s="1621">
        <v>0.2</v>
      </c>
      <c r="BD95" s="1621">
        <v>0.2</v>
      </c>
      <c r="BE95" s="1621">
        <v>0.2</v>
      </c>
      <c r="BF95" s="1621">
        <v>0.2</v>
      </c>
      <c r="BG95" s="1621">
        <v>0.2</v>
      </c>
      <c r="BH95" s="1622">
        <v>0.2</v>
      </c>
      <c r="BI95" s="1621">
        <v>0.2</v>
      </c>
      <c r="BJ95" s="1621">
        <v>0.2</v>
      </c>
      <c r="BK95" s="1623"/>
      <c r="BL95" s="1621"/>
      <c r="BM95" s="1621"/>
      <c r="BO95" s="1645" t="s">
        <v>347</v>
      </c>
      <c r="BP95" s="1691" t="s">
        <v>339</v>
      </c>
      <c r="BQ95" s="2061" t="s">
        <v>348</v>
      </c>
      <c r="BR95" s="1621">
        <v>0.2</v>
      </c>
      <c r="BS95" s="1621">
        <v>0.2</v>
      </c>
      <c r="BT95" s="1621">
        <v>0.2</v>
      </c>
      <c r="BU95" s="1621">
        <v>0.2</v>
      </c>
      <c r="BV95" s="1621">
        <v>0.2</v>
      </c>
      <c r="BW95" s="1621">
        <v>0.2</v>
      </c>
      <c r="BX95" s="1621">
        <v>0.2</v>
      </c>
      <c r="BY95" s="1622">
        <v>0.2</v>
      </c>
      <c r="BZ95" s="1621">
        <v>0.2</v>
      </c>
      <c r="CA95" s="1621">
        <v>0.2</v>
      </c>
      <c r="CB95" s="1623"/>
      <c r="CC95" s="1621"/>
      <c r="CD95" s="1621"/>
    </row>
    <row r="96" spans="1:94" hidden="1">
      <c r="B96" s="1595">
        <f t="shared" si="74"/>
        <v>0</v>
      </c>
      <c r="C96" s="1648">
        <f t="shared" si="53"/>
        <v>0</v>
      </c>
      <c r="D96" s="1719"/>
      <c r="E96" s="1689"/>
      <c r="G96" s="1689" t="e">
        <f t="shared" si="54"/>
        <v>#DIV/0!</v>
      </c>
      <c r="H96" s="1689">
        <f t="shared" si="55"/>
        <v>0</v>
      </c>
      <c r="I96" s="1689"/>
      <c r="J96" s="1689"/>
      <c r="K96" s="1689">
        <f>IF(スコア表示!W96=0,0,1)</f>
        <v>0</v>
      </c>
      <c r="L96" s="1689">
        <f>IF(スコア表示!AA96=0,0,1)</f>
        <v>0</v>
      </c>
      <c r="M96" s="1689" t="e">
        <f t="shared" si="56"/>
        <v>#DIV/0!</v>
      </c>
      <c r="N96" s="1689"/>
      <c r="P96" s="1645">
        <f t="shared" si="76"/>
        <v>0</v>
      </c>
      <c r="Q96" s="1645" t="str">
        <f t="shared" si="77"/>
        <v xml:space="preserve"> Q</v>
      </c>
      <c r="R96" s="1735">
        <f t="shared" si="60"/>
        <v>0</v>
      </c>
      <c r="S96" s="1616">
        <f t="shared" si="61"/>
        <v>0</v>
      </c>
      <c r="T96" s="1616">
        <f t="shared" si="62"/>
        <v>0</v>
      </c>
      <c r="U96" s="1616">
        <f t="shared" si="63"/>
        <v>0</v>
      </c>
      <c r="V96" s="1616">
        <f t="shared" si="64"/>
        <v>0</v>
      </c>
      <c r="W96" s="1616">
        <f t="shared" si="65"/>
        <v>0</v>
      </c>
      <c r="X96" s="1616">
        <f t="shared" si="66"/>
        <v>0</v>
      </c>
      <c r="Y96" s="1616">
        <f t="shared" si="67"/>
        <v>0</v>
      </c>
      <c r="Z96" s="1624">
        <f t="shared" si="68"/>
        <v>0</v>
      </c>
      <c r="AA96" s="1616">
        <f t="shared" si="69"/>
        <v>0</v>
      </c>
      <c r="AB96" s="1616">
        <f t="shared" si="70"/>
        <v>0</v>
      </c>
      <c r="AC96" s="1617">
        <f t="shared" si="71"/>
        <v>0</v>
      </c>
      <c r="AD96" s="1616">
        <f t="shared" si="72"/>
        <v>0</v>
      </c>
      <c r="AE96" s="1616">
        <f t="shared" si="73"/>
        <v>0</v>
      </c>
      <c r="AG96" s="1645"/>
      <c r="AH96" s="1691" t="s">
        <v>270</v>
      </c>
      <c r="AI96" s="2061"/>
      <c r="AJ96" s="1652">
        <v>0</v>
      </c>
      <c r="AK96" s="1652">
        <v>0</v>
      </c>
      <c r="AL96" s="1652">
        <v>0</v>
      </c>
      <c r="AM96" s="1652">
        <v>0</v>
      </c>
      <c r="AN96" s="1652">
        <v>0</v>
      </c>
      <c r="AO96" s="1652">
        <v>0</v>
      </c>
      <c r="AP96" s="1652">
        <v>0</v>
      </c>
      <c r="AQ96" s="1653">
        <v>0</v>
      </c>
      <c r="AR96" s="1652">
        <v>0</v>
      </c>
      <c r="AS96" s="1621"/>
      <c r="AT96" s="1623">
        <v>0</v>
      </c>
      <c r="AU96" s="1621">
        <v>0</v>
      </c>
      <c r="AV96" s="1621">
        <v>0</v>
      </c>
      <c r="AX96" s="1645"/>
      <c r="AY96" s="1691" t="s">
        <v>270</v>
      </c>
      <c r="AZ96" s="2061"/>
      <c r="BA96" s="1621"/>
      <c r="BB96" s="1621"/>
      <c r="BC96" s="1621"/>
      <c r="BD96" s="1621"/>
      <c r="BE96" s="1621"/>
      <c r="BF96" s="1621"/>
      <c r="BG96" s="1621"/>
      <c r="BH96" s="1622"/>
      <c r="BI96" s="1621"/>
      <c r="BJ96" s="1621"/>
      <c r="BK96" s="1623"/>
      <c r="BL96" s="1621"/>
      <c r="BM96" s="1621"/>
      <c r="BO96" s="1645"/>
      <c r="BP96" s="1691" t="s">
        <v>270</v>
      </c>
      <c r="BQ96" s="2061"/>
      <c r="BR96" s="1621"/>
      <c r="BS96" s="1621"/>
      <c r="BT96" s="1621"/>
      <c r="BU96" s="1621"/>
      <c r="BV96" s="1621"/>
      <c r="BW96" s="1621"/>
      <c r="BX96" s="1621"/>
      <c r="BY96" s="1622"/>
      <c r="BZ96" s="1621"/>
      <c r="CA96" s="1621"/>
      <c r="CB96" s="1623"/>
      <c r="CC96" s="1621"/>
      <c r="CD96" s="1621"/>
    </row>
    <row r="97" spans="1:83" s="1603" customFormat="1">
      <c r="A97"/>
      <c r="B97" s="1595">
        <f t="shared" si="74"/>
        <v>3</v>
      </c>
      <c r="C97" s="1655" t="str">
        <f t="shared" si="53"/>
        <v>対応性・更新性</v>
      </c>
      <c r="D97" s="2059" t="e">
        <f>IF(I$61=0,0,G97/I$61)</f>
        <v>#DIV/0!</v>
      </c>
      <c r="E97" s="1741" t="e">
        <f>IF(J$61=0,0,H97/J$61)</f>
        <v>#DIV/0!</v>
      </c>
      <c r="F97"/>
      <c r="G97" s="1741" t="e">
        <f t="shared" si="54"/>
        <v>#DIV/0!</v>
      </c>
      <c r="H97" s="1741" t="e">
        <f t="shared" si="55"/>
        <v>#DIV/0!</v>
      </c>
      <c r="I97" s="1741" t="e">
        <f>G98+G101+G102</f>
        <v>#DIV/0!</v>
      </c>
      <c r="J97" s="1741" t="e">
        <f>H98+H101+H102</f>
        <v>#DIV/0!</v>
      </c>
      <c r="K97" s="1741" t="e">
        <f>IF(スコア表示!W97=0,0,1)</f>
        <v>#DIV/0!</v>
      </c>
      <c r="L97" s="1741" t="e">
        <f>IF(スコア表示!AA97=0,0,1)</f>
        <v>#DIV/0!</v>
      </c>
      <c r="M97" s="1741" t="e">
        <f t="shared" si="56"/>
        <v>#DIV/0!</v>
      </c>
      <c r="N97" s="1741">
        <v>1</v>
      </c>
      <c r="O97"/>
      <c r="P97" s="1639">
        <f t="shared" si="76"/>
        <v>3</v>
      </c>
      <c r="Q97" s="1639" t="str">
        <f t="shared" si="77"/>
        <v xml:space="preserve"> Q2</v>
      </c>
      <c r="R97" s="1778" t="str">
        <f t="shared" si="60"/>
        <v>対応性・更新性</v>
      </c>
      <c r="S97" s="1608">
        <f t="shared" si="61"/>
        <v>0.3</v>
      </c>
      <c r="T97" s="1608">
        <f t="shared" si="62"/>
        <v>0.3</v>
      </c>
      <c r="U97" s="1608">
        <f t="shared" si="63"/>
        <v>0.3</v>
      </c>
      <c r="V97" s="1608">
        <f t="shared" si="64"/>
        <v>0.3</v>
      </c>
      <c r="W97" s="1608">
        <f t="shared" si="65"/>
        <v>0.3</v>
      </c>
      <c r="X97" s="1608">
        <f t="shared" si="66"/>
        <v>0.3</v>
      </c>
      <c r="Y97" s="1608">
        <f t="shared" si="67"/>
        <v>0.3</v>
      </c>
      <c r="Z97" s="1644">
        <f t="shared" si="68"/>
        <v>0.3</v>
      </c>
      <c r="AA97" s="1608">
        <f t="shared" si="69"/>
        <v>0.3</v>
      </c>
      <c r="AB97" s="1608">
        <f t="shared" si="70"/>
        <v>0.3</v>
      </c>
      <c r="AC97" s="1657">
        <f t="shared" si="71"/>
        <v>0</v>
      </c>
      <c r="AD97" s="1608">
        <f t="shared" si="72"/>
        <v>0</v>
      </c>
      <c r="AE97" s="1608">
        <f t="shared" si="73"/>
        <v>0</v>
      </c>
      <c r="AF97"/>
      <c r="AG97" s="1639">
        <v>3</v>
      </c>
      <c r="AH97" s="1742" t="s">
        <v>312</v>
      </c>
      <c r="AI97" s="1785" t="s">
        <v>349</v>
      </c>
      <c r="AJ97" s="1608">
        <v>0.3</v>
      </c>
      <c r="AK97" s="1608">
        <v>0.3</v>
      </c>
      <c r="AL97" s="1608">
        <v>0.3</v>
      </c>
      <c r="AM97" s="1608">
        <v>0.3</v>
      </c>
      <c r="AN97" s="1608">
        <v>0.3</v>
      </c>
      <c r="AO97" s="1608">
        <v>0.3</v>
      </c>
      <c r="AP97" s="1608">
        <v>0.3</v>
      </c>
      <c r="AQ97" s="1644">
        <v>0.3</v>
      </c>
      <c r="AR97" s="1608">
        <v>0.3</v>
      </c>
      <c r="AS97" s="1709">
        <v>0.3</v>
      </c>
      <c r="AT97" s="2060"/>
      <c r="AU97" s="1709"/>
      <c r="AV97" s="1709"/>
      <c r="AW97"/>
      <c r="AX97" s="1639">
        <v>3</v>
      </c>
      <c r="AY97" s="1742" t="s">
        <v>312</v>
      </c>
      <c r="AZ97" s="1785" t="s">
        <v>349</v>
      </c>
      <c r="BA97" s="1709">
        <v>0.3</v>
      </c>
      <c r="BB97" s="1709">
        <v>0.3</v>
      </c>
      <c r="BC97" s="1709">
        <v>0.3</v>
      </c>
      <c r="BD97" s="1709">
        <v>0.3</v>
      </c>
      <c r="BE97" s="1709">
        <v>0.3</v>
      </c>
      <c r="BF97" s="1709">
        <v>0.3</v>
      </c>
      <c r="BG97" s="1709">
        <v>0.3</v>
      </c>
      <c r="BH97" s="2080">
        <v>0.3</v>
      </c>
      <c r="BI97" s="1709">
        <v>0.3</v>
      </c>
      <c r="BJ97" s="1709">
        <v>0.3</v>
      </c>
      <c r="BK97" s="2060"/>
      <c r="BL97" s="1709"/>
      <c r="BM97" s="1709"/>
      <c r="BN97"/>
      <c r="BO97" s="1639">
        <v>3</v>
      </c>
      <c r="BP97" s="1742" t="s">
        <v>312</v>
      </c>
      <c r="BQ97" s="1785" t="s">
        <v>349</v>
      </c>
      <c r="BR97" s="1709">
        <v>0.3</v>
      </c>
      <c r="BS97" s="1709">
        <v>0.3</v>
      </c>
      <c r="BT97" s="1709">
        <v>0.3</v>
      </c>
      <c r="BU97" s="1709">
        <v>0.3</v>
      </c>
      <c r="BV97" s="1709">
        <v>0.3</v>
      </c>
      <c r="BW97" s="1709">
        <v>0.3</v>
      </c>
      <c r="BX97" s="1709">
        <v>0.3</v>
      </c>
      <c r="BY97" s="2080">
        <v>0.3</v>
      </c>
      <c r="BZ97" s="1709">
        <v>0.3</v>
      </c>
      <c r="CA97" s="1709">
        <v>0.3</v>
      </c>
      <c r="CB97" s="2060"/>
      <c r="CC97" s="1709"/>
      <c r="CD97" s="1709"/>
      <c r="CE97"/>
    </row>
    <row r="98" spans="1:83">
      <c r="B98" s="1595">
        <f t="shared" si="74"/>
        <v>3.1</v>
      </c>
      <c r="C98" s="1645" t="str">
        <f t="shared" si="53"/>
        <v>空間のゆとり</v>
      </c>
      <c r="D98" s="1714" t="e">
        <f>IF(I$97=0,0,G98/I$97)</f>
        <v>#DIV/0!</v>
      </c>
      <c r="E98" s="1689" t="e">
        <f>IF(J$97=0,0,H98/J$97)</f>
        <v>#DIV/0!</v>
      </c>
      <c r="G98" s="1689" t="e">
        <f t="shared" si="54"/>
        <v>#DIV/0!</v>
      </c>
      <c r="H98" s="1689" t="e">
        <f t="shared" si="55"/>
        <v>#DIV/0!</v>
      </c>
      <c r="I98" s="1689" t="e">
        <f>SUM(G99:G100)</f>
        <v>#DIV/0!</v>
      </c>
      <c r="J98" s="1689" t="e">
        <f>SUM(H99:H100)</f>
        <v>#DIV/0!</v>
      </c>
      <c r="K98" s="1689" t="e">
        <f>IF(スコア表示!W98=0,0,1)</f>
        <v>#DIV/0!</v>
      </c>
      <c r="L98" s="1689" t="e">
        <f>IF(スコア表示!AA98=0,0,1)</f>
        <v>#DIV/0!</v>
      </c>
      <c r="M98" s="1689" t="e">
        <f t="shared" si="56"/>
        <v>#DIV/0!</v>
      </c>
      <c r="N98" s="1689" t="e">
        <f t="shared" ref="N98:N114" si="80">(AC$7*AC98)+(AD$7*AD98)+(AE$7*AE98)</f>
        <v>#DIV/0!</v>
      </c>
      <c r="P98" s="1645">
        <f t="shared" si="76"/>
        <v>3.1</v>
      </c>
      <c r="Q98" s="1645" t="str">
        <f t="shared" si="77"/>
        <v xml:space="preserve"> Q2 3</v>
      </c>
      <c r="R98" s="1735" t="str">
        <f t="shared" si="60"/>
        <v>空間のゆとり</v>
      </c>
      <c r="S98" s="1616">
        <f t="shared" si="61"/>
        <v>0.3</v>
      </c>
      <c r="T98" s="1616">
        <f t="shared" si="62"/>
        <v>0.3</v>
      </c>
      <c r="U98" s="1616">
        <f t="shared" si="63"/>
        <v>0.3</v>
      </c>
      <c r="V98" s="1616">
        <f t="shared" si="64"/>
        <v>0.3</v>
      </c>
      <c r="W98" s="1616">
        <f t="shared" si="65"/>
        <v>0.3</v>
      </c>
      <c r="X98" s="1616">
        <f t="shared" si="66"/>
        <v>0</v>
      </c>
      <c r="Y98" s="1616">
        <f t="shared" si="67"/>
        <v>0</v>
      </c>
      <c r="Z98" s="1624">
        <f t="shared" si="68"/>
        <v>0.3</v>
      </c>
      <c r="AA98" s="1616">
        <f t="shared" si="69"/>
        <v>0.3</v>
      </c>
      <c r="AB98" s="1616">
        <f t="shared" si="70"/>
        <v>0.3</v>
      </c>
      <c r="AC98" s="1617">
        <f t="shared" si="71"/>
        <v>0.5</v>
      </c>
      <c r="AD98" s="1616">
        <f t="shared" si="72"/>
        <v>0.5</v>
      </c>
      <c r="AE98" s="1616">
        <f t="shared" si="73"/>
        <v>0.5</v>
      </c>
      <c r="AG98" s="1645">
        <v>3.1</v>
      </c>
      <c r="AH98" s="1691" t="s">
        <v>350</v>
      </c>
      <c r="AI98" s="1735" t="s">
        <v>720</v>
      </c>
      <c r="AJ98" s="1616">
        <v>0.3</v>
      </c>
      <c r="AK98" s="1616">
        <v>0.3</v>
      </c>
      <c r="AL98" s="1616">
        <v>0.3</v>
      </c>
      <c r="AM98" s="1616">
        <v>0.3</v>
      </c>
      <c r="AN98" s="1616">
        <v>0.3</v>
      </c>
      <c r="AO98" s="1616"/>
      <c r="AP98" s="1616"/>
      <c r="AQ98" s="1624">
        <v>0.3</v>
      </c>
      <c r="AR98" s="1616">
        <v>0.3</v>
      </c>
      <c r="AS98" s="1621">
        <v>0.3</v>
      </c>
      <c r="AT98" s="1623">
        <v>0.5</v>
      </c>
      <c r="AU98" s="1621">
        <v>0.5</v>
      </c>
      <c r="AV98" s="1621">
        <v>0.5</v>
      </c>
      <c r="AX98" s="1645">
        <v>3.1</v>
      </c>
      <c r="AY98" s="1691" t="s">
        <v>350</v>
      </c>
      <c r="AZ98" s="1735" t="s">
        <v>720</v>
      </c>
      <c r="BA98" s="1621">
        <v>0.3</v>
      </c>
      <c r="BB98" s="1621">
        <v>0.3</v>
      </c>
      <c r="BC98" s="1621">
        <v>0.3</v>
      </c>
      <c r="BD98" s="1621">
        <v>0.3</v>
      </c>
      <c r="BE98" s="1621">
        <v>0.3</v>
      </c>
      <c r="BF98" s="1621"/>
      <c r="BG98" s="1621"/>
      <c r="BH98" s="1622">
        <v>0.3</v>
      </c>
      <c r="BI98" s="1621">
        <v>0.3</v>
      </c>
      <c r="BJ98" s="1621">
        <v>0.3</v>
      </c>
      <c r="BK98" s="1623">
        <v>0.5</v>
      </c>
      <c r="BL98" s="1621">
        <v>0.5</v>
      </c>
      <c r="BM98" s="1621">
        <v>0.5</v>
      </c>
      <c r="BO98" s="1645">
        <v>3.1</v>
      </c>
      <c r="BP98" s="1691" t="s">
        <v>350</v>
      </c>
      <c r="BQ98" s="1735" t="s">
        <v>720</v>
      </c>
      <c r="BR98" s="1621">
        <v>0.3</v>
      </c>
      <c r="BS98" s="1621">
        <v>0.3</v>
      </c>
      <c r="BT98" s="1621">
        <v>0.3</v>
      </c>
      <c r="BU98" s="1621">
        <v>0.3</v>
      </c>
      <c r="BV98" s="1621">
        <v>0.3</v>
      </c>
      <c r="BW98" s="1621"/>
      <c r="BX98" s="1621"/>
      <c r="BY98" s="1622">
        <v>0.3</v>
      </c>
      <c r="BZ98" s="1621">
        <v>0.3</v>
      </c>
      <c r="CA98" s="1621">
        <v>0.3</v>
      </c>
      <c r="CB98" s="1623">
        <v>0.5</v>
      </c>
      <c r="CC98" s="1621">
        <v>0.5</v>
      </c>
      <c r="CD98" s="1621">
        <v>0.5</v>
      </c>
    </row>
    <row r="99" spans="1:83">
      <c r="B99" s="1595" t="str">
        <f t="shared" si="74"/>
        <v>3.1.1</v>
      </c>
      <c r="C99" s="1612" t="str">
        <f t="shared" si="53"/>
        <v>階高のゆとり</v>
      </c>
      <c r="D99" s="1719" t="e">
        <f>IF(I$98&gt;0,G99/I$98,0)</f>
        <v>#DIV/0!</v>
      </c>
      <c r="E99" s="1689" t="e">
        <f>IF(J$98&gt;0,H99/J$98,0)</f>
        <v>#DIV/0!</v>
      </c>
      <c r="G99" s="1689" t="e">
        <f t="shared" si="54"/>
        <v>#DIV/0!</v>
      </c>
      <c r="H99" s="1689" t="e">
        <f t="shared" si="55"/>
        <v>#DIV/0!</v>
      </c>
      <c r="I99" s="1689"/>
      <c r="J99" s="1689"/>
      <c r="K99" s="1689">
        <f>IF(スコア表示!W99=0,0,1)</f>
        <v>1</v>
      </c>
      <c r="L99" s="1689">
        <f>IF(スコア表示!AA99=0,0,1)</f>
        <v>1</v>
      </c>
      <c r="M99" s="1689" t="e">
        <f t="shared" si="56"/>
        <v>#DIV/0!</v>
      </c>
      <c r="N99" s="1689" t="e">
        <f t="shared" si="80"/>
        <v>#DIV/0!</v>
      </c>
      <c r="P99" s="1645" t="str">
        <f t="shared" si="76"/>
        <v>3.1.1</v>
      </c>
      <c r="Q99" s="1645" t="str">
        <f t="shared" si="77"/>
        <v xml:space="preserve"> Q2 3.1</v>
      </c>
      <c r="R99" s="1735" t="str">
        <f t="shared" si="60"/>
        <v>階高のゆとり</v>
      </c>
      <c r="S99" s="1616">
        <f t="shared" si="61"/>
        <v>0.6</v>
      </c>
      <c r="T99" s="1616">
        <f t="shared" si="62"/>
        <v>0.6</v>
      </c>
      <c r="U99" s="1616">
        <f t="shared" si="63"/>
        <v>0.6</v>
      </c>
      <c r="V99" s="1616">
        <f t="shared" si="64"/>
        <v>0.6</v>
      </c>
      <c r="W99" s="1616">
        <f t="shared" si="65"/>
        <v>0.6</v>
      </c>
      <c r="X99" s="1616">
        <f t="shared" si="66"/>
        <v>0</v>
      </c>
      <c r="Y99" s="1616">
        <f t="shared" si="67"/>
        <v>0</v>
      </c>
      <c r="Z99" s="1624">
        <f t="shared" si="68"/>
        <v>0</v>
      </c>
      <c r="AA99" s="1616">
        <f t="shared" si="69"/>
        <v>0.6</v>
      </c>
      <c r="AB99" s="1616">
        <f t="shared" si="70"/>
        <v>0.6</v>
      </c>
      <c r="AC99" s="1617">
        <f t="shared" si="71"/>
        <v>0.6</v>
      </c>
      <c r="AD99" s="1616">
        <f t="shared" si="72"/>
        <v>0.6</v>
      </c>
      <c r="AE99" s="1616">
        <f t="shared" si="73"/>
        <v>0.6</v>
      </c>
      <c r="AG99" s="1645" t="s">
        <v>1473</v>
      </c>
      <c r="AH99" s="1691" t="s">
        <v>351</v>
      </c>
      <c r="AI99" s="2061" t="s">
        <v>352</v>
      </c>
      <c r="AJ99" s="1616">
        <v>0.6</v>
      </c>
      <c r="AK99" s="1616">
        <v>0.6</v>
      </c>
      <c r="AL99" s="1616">
        <v>0.6</v>
      </c>
      <c r="AM99" s="1616">
        <v>0.6</v>
      </c>
      <c r="AN99" s="1616">
        <v>0.6</v>
      </c>
      <c r="AO99" s="1616"/>
      <c r="AP99" s="1616"/>
      <c r="AQ99" s="1624">
        <v>0</v>
      </c>
      <c r="AR99" s="1616">
        <v>0.6</v>
      </c>
      <c r="AS99" s="1621">
        <v>0.6</v>
      </c>
      <c r="AT99" s="1623">
        <v>0.6</v>
      </c>
      <c r="AU99" s="1621">
        <v>0.6</v>
      </c>
      <c r="AV99" s="1621">
        <v>0.6</v>
      </c>
      <c r="AX99" s="1645" t="s">
        <v>1473</v>
      </c>
      <c r="AY99" s="1691" t="s">
        <v>351</v>
      </c>
      <c r="AZ99" s="2061" t="s">
        <v>352</v>
      </c>
      <c r="BA99" s="1621">
        <v>0.6</v>
      </c>
      <c r="BB99" s="1621">
        <v>0.6</v>
      </c>
      <c r="BC99" s="1621">
        <v>0.6</v>
      </c>
      <c r="BD99" s="1621">
        <v>0.6</v>
      </c>
      <c r="BE99" s="1621">
        <v>0.6</v>
      </c>
      <c r="BF99" s="1621"/>
      <c r="BG99" s="1621"/>
      <c r="BH99" s="1622">
        <v>0</v>
      </c>
      <c r="BI99" s="1621">
        <v>0.6</v>
      </c>
      <c r="BJ99" s="1621">
        <v>0.6</v>
      </c>
      <c r="BK99" s="1623">
        <v>0.6</v>
      </c>
      <c r="BL99" s="1621">
        <v>0.6</v>
      </c>
      <c r="BM99" s="1621">
        <v>0.6</v>
      </c>
      <c r="BO99" s="1645" t="s">
        <v>1473</v>
      </c>
      <c r="BP99" s="1691" t="s">
        <v>351</v>
      </c>
      <c r="BQ99" s="2061" t="s">
        <v>352</v>
      </c>
      <c r="BR99" s="1621">
        <v>0.6</v>
      </c>
      <c r="BS99" s="1621">
        <v>0.6</v>
      </c>
      <c r="BT99" s="1621">
        <v>0.6</v>
      </c>
      <c r="BU99" s="1621">
        <v>0.6</v>
      </c>
      <c r="BV99" s="1621">
        <v>0.6</v>
      </c>
      <c r="BW99" s="1621"/>
      <c r="BX99" s="1621"/>
      <c r="BY99" s="1622">
        <v>0</v>
      </c>
      <c r="BZ99" s="1621">
        <v>0.6</v>
      </c>
      <c r="CA99" s="1621">
        <v>0.6</v>
      </c>
      <c r="CB99" s="1623">
        <v>0.6</v>
      </c>
      <c r="CC99" s="1621">
        <v>0.6</v>
      </c>
      <c r="CD99" s="1621">
        <v>0.6</v>
      </c>
    </row>
    <row r="100" spans="1:83">
      <c r="B100" s="1595" t="str">
        <f t="shared" si="74"/>
        <v>3.1.2</v>
      </c>
      <c r="C100" s="1612" t="str">
        <f t="shared" si="53"/>
        <v>空間の形状・自由さ</v>
      </c>
      <c r="D100" s="1719" t="e">
        <f>IF(I$98&gt;0,G100/I$98,0)</f>
        <v>#DIV/0!</v>
      </c>
      <c r="E100" s="1689" t="e">
        <f>IF(J$98&gt;0,H100/J$98,0)</f>
        <v>#DIV/0!</v>
      </c>
      <c r="G100" s="1689" t="e">
        <f t="shared" si="54"/>
        <v>#DIV/0!</v>
      </c>
      <c r="H100" s="1689" t="e">
        <f t="shared" si="55"/>
        <v>#DIV/0!</v>
      </c>
      <c r="I100" s="1689"/>
      <c r="J100" s="1689"/>
      <c r="K100" s="1689">
        <f>IF(スコア表示!W100=0,0,1)</f>
        <v>1</v>
      </c>
      <c r="L100" s="1689">
        <f>IF(スコア表示!AA100=0,0,1)</f>
        <v>1</v>
      </c>
      <c r="M100" s="1689" t="e">
        <f t="shared" si="56"/>
        <v>#DIV/0!</v>
      </c>
      <c r="N100" s="1689" t="e">
        <f t="shared" si="80"/>
        <v>#DIV/0!</v>
      </c>
      <c r="P100" s="1645" t="str">
        <f t="shared" si="76"/>
        <v>3.1.2</v>
      </c>
      <c r="Q100" s="1645" t="str">
        <f t="shared" si="77"/>
        <v xml:space="preserve"> Q2 3.1</v>
      </c>
      <c r="R100" s="1735" t="str">
        <f t="shared" si="60"/>
        <v>空間の形状・自由さ</v>
      </c>
      <c r="S100" s="1616">
        <f t="shared" si="61"/>
        <v>0.4</v>
      </c>
      <c r="T100" s="1616">
        <f t="shared" si="62"/>
        <v>0.4</v>
      </c>
      <c r="U100" s="1616">
        <f t="shared" si="63"/>
        <v>0.4</v>
      </c>
      <c r="V100" s="1616">
        <f t="shared" si="64"/>
        <v>0.4</v>
      </c>
      <c r="W100" s="1616">
        <f t="shared" si="65"/>
        <v>0.4</v>
      </c>
      <c r="X100" s="1616">
        <f t="shared" si="66"/>
        <v>0</v>
      </c>
      <c r="Y100" s="1616">
        <f t="shared" si="67"/>
        <v>0</v>
      </c>
      <c r="Z100" s="1624">
        <f t="shared" si="68"/>
        <v>1</v>
      </c>
      <c r="AA100" s="1616">
        <f t="shared" si="69"/>
        <v>0.4</v>
      </c>
      <c r="AB100" s="1616">
        <f t="shared" si="70"/>
        <v>0.4</v>
      </c>
      <c r="AC100" s="1617">
        <f t="shared" si="71"/>
        <v>0.4</v>
      </c>
      <c r="AD100" s="1616">
        <f t="shared" si="72"/>
        <v>0.4</v>
      </c>
      <c r="AE100" s="1616">
        <f t="shared" si="73"/>
        <v>0.4</v>
      </c>
      <c r="AG100" s="1645" t="s">
        <v>1422</v>
      </c>
      <c r="AH100" s="1691" t="s">
        <v>351</v>
      </c>
      <c r="AI100" s="2061" t="s">
        <v>353</v>
      </c>
      <c r="AJ100" s="1616">
        <v>0.4</v>
      </c>
      <c r="AK100" s="1616">
        <v>0.4</v>
      </c>
      <c r="AL100" s="1616">
        <v>0.4</v>
      </c>
      <c r="AM100" s="1616">
        <v>0.4</v>
      </c>
      <c r="AN100" s="1616">
        <v>0.4</v>
      </c>
      <c r="AO100" s="1616"/>
      <c r="AP100" s="1616"/>
      <c r="AQ100" s="1624">
        <v>1</v>
      </c>
      <c r="AR100" s="1616">
        <v>0.4</v>
      </c>
      <c r="AS100" s="1621">
        <v>0.4</v>
      </c>
      <c r="AT100" s="1623">
        <v>0.4</v>
      </c>
      <c r="AU100" s="1621">
        <v>0.4</v>
      </c>
      <c r="AV100" s="1621">
        <v>0.4</v>
      </c>
      <c r="AX100" s="1645" t="s">
        <v>1474</v>
      </c>
      <c r="AY100" s="1691" t="s">
        <v>351</v>
      </c>
      <c r="AZ100" s="2061" t="s">
        <v>353</v>
      </c>
      <c r="BA100" s="1621">
        <v>0.4</v>
      </c>
      <c r="BB100" s="1621">
        <v>0.4</v>
      </c>
      <c r="BC100" s="1621">
        <v>0.4</v>
      </c>
      <c r="BD100" s="1621">
        <v>0.4</v>
      </c>
      <c r="BE100" s="1621">
        <v>0.4</v>
      </c>
      <c r="BF100" s="1621"/>
      <c r="BG100" s="1621"/>
      <c r="BH100" s="1622">
        <v>1</v>
      </c>
      <c r="BI100" s="1621">
        <v>0.4</v>
      </c>
      <c r="BJ100" s="1621">
        <v>0.4</v>
      </c>
      <c r="BK100" s="1623">
        <v>0.4</v>
      </c>
      <c r="BL100" s="1621">
        <v>0.4</v>
      </c>
      <c r="BM100" s="1621">
        <v>0.4</v>
      </c>
      <c r="BO100" s="1645" t="s">
        <v>1474</v>
      </c>
      <c r="BP100" s="1691" t="s">
        <v>351</v>
      </c>
      <c r="BQ100" s="2061" t="s">
        <v>353</v>
      </c>
      <c r="BR100" s="1621">
        <v>0.4</v>
      </c>
      <c r="BS100" s="1621">
        <v>0.4</v>
      </c>
      <c r="BT100" s="1621">
        <v>0.4</v>
      </c>
      <c r="BU100" s="1621">
        <v>0.4</v>
      </c>
      <c r="BV100" s="1621">
        <v>0.4</v>
      </c>
      <c r="BW100" s="1621"/>
      <c r="BX100" s="1621"/>
      <c r="BY100" s="1622">
        <v>1</v>
      </c>
      <c r="BZ100" s="1621">
        <v>0.4</v>
      </c>
      <c r="CA100" s="1621">
        <v>0.4</v>
      </c>
      <c r="CB100" s="1623">
        <v>0.4</v>
      </c>
      <c r="CC100" s="1621">
        <v>0.4</v>
      </c>
      <c r="CD100" s="1621">
        <v>0.4</v>
      </c>
    </row>
    <row r="101" spans="1:83">
      <c r="B101" s="1595">
        <f t="shared" si="74"/>
        <v>3.2</v>
      </c>
      <c r="C101" s="1645" t="str">
        <f t="shared" si="53"/>
        <v>荷重のゆとり</v>
      </c>
      <c r="D101" s="1714" t="e">
        <f>IF(I$97=0,0,G101/I$97)</f>
        <v>#DIV/0!</v>
      </c>
      <c r="E101" s="1689" t="e">
        <f>IF(J$97=0,0,H101/J$97)</f>
        <v>#DIV/0!</v>
      </c>
      <c r="G101" s="1689" t="e">
        <f t="shared" si="54"/>
        <v>#DIV/0!</v>
      </c>
      <c r="H101" s="1689" t="e">
        <f t="shared" si="55"/>
        <v>#DIV/0!</v>
      </c>
      <c r="I101" s="1689"/>
      <c r="J101" s="1689"/>
      <c r="K101" s="1689">
        <f>IF(スコア表示!W101=0,0,1)</f>
        <v>1</v>
      </c>
      <c r="L101" s="1689">
        <f>IF(スコア表示!AA101=0,0,1)</f>
        <v>1</v>
      </c>
      <c r="M101" s="1689" t="e">
        <f t="shared" si="56"/>
        <v>#DIV/0!</v>
      </c>
      <c r="N101" s="1689" t="e">
        <f t="shared" si="80"/>
        <v>#DIV/0!</v>
      </c>
      <c r="P101" s="1645">
        <f t="shared" si="76"/>
        <v>3.2</v>
      </c>
      <c r="Q101" s="1645" t="str">
        <f t="shared" si="77"/>
        <v xml:space="preserve"> Q2 3</v>
      </c>
      <c r="R101" s="1735" t="str">
        <f t="shared" si="60"/>
        <v>荷重のゆとり</v>
      </c>
      <c r="S101" s="1616">
        <f t="shared" si="61"/>
        <v>0.3</v>
      </c>
      <c r="T101" s="1616">
        <f t="shared" si="62"/>
        <v>0.3</v>
      </c>
      <c r="U101" s="1616">
        <f t="shared" si="63"/>
        <v>0.3</v>
      </c>
      <c r="V101" s="1616">
        <f t="shared" si="64"/>
        <v>0.3</v>
      </c>
      <c r="W101" s="1616">
        <f t="shared" si="65"/>
        <v>0.3</v>
      </c>
      <c r="X101" s="1616">
        <f t="shared" si="66"/>
        <v>0</v>
      </c>
      <c r="Y101" s="1616">
        <f t="shared" si="67"/>
        <v>0</v>
      </c>
      <c r="Z101" s="1624">
        <f t="shared" si="68"/>
        <v>0.3</v>
      </c>
      <c r="AA101" s="1616">
        <f t="shared" si="69"/>
        <v>0.3</v>
      </c>
      <c r="AB101" s="1616">
        <f t="shared" si="70"/>
        <v>0.3</v>
      </c>
      <c r="AC101" s="1617">
        <f t="shared" si="71"/>
        <v>0.5</v>
      </c>
      <c r="AD101" s="1616">
        <f t="shared" si="72"/>
        <v>0.5</v>
      </c>
      <c r="AE101" s="1616">
        <f t="shared" si="73"/>
        <v>0.5</v>
      </c>
      <c r="AG101" s="1645">
        <v>3.2</v>
      </c>
      <c r="AH101" s="1691" t="s">
        <v>350</v>
      </c>
      <c r="AI101" s="1735" t="s">
        <v>724</v>
      </c>
      <c r="AJ101" s="1616">
        <v>0.3</v>
      </c>
      <c r="AK101" s="1616">
        <v>0.3</v>
      </c>
      <c r="AL101" s="1616">
        <v>0.3</v>
      </c>
      <c r="AM101" s="1616">
        <v>0.3</v>
      </c>
      <c r="AN101" s="1616">
        <v>0.3</v>
      </c>
      <c r="AO101" s="1616"/>
      <c r="AP101" s="1616"/>
      <c r="AQ101" s="1624">
        <v>0.3</v>
      </c>
      <c r="AR101" s="1616">
        <v>0.3</v>
      </c>
      <c r="AS101" s="1621">
        <v>0.3</v>
      </c>
      <c r="AT101" s="1623">
        <v>0.5</v>
      </c>
      <c r="AU101" s="1621">
        <v>0.5</v>
      </c>
      <c r="AV101" s="1621">
        <v>0.5</v>
      </c>
      <c r="AX101" s="1645">
        <v>3.2</v>
      </c>
      <c r="AY101" s="1691" t="s">
        <v>350</v>
      </c>
      <c r="AZ101" s="1735" t="s">
        <v>724</v>
      </c>
      <c r="BA101" s="1621">
        <v>0.3</v>
      </c>
      <c r="BB101" s="1621">
        <v>0.3</v>
      </c>
      <c r="BC101" s="1621">
        <v>0.3</v>
      </c>
      <c r="BD101" s="1621">
        <v>0.3</v>
      </c>
      <c r="BE101" s="1621">
        <v>0.3</v>
      </c>
      <c r="BF101" s="1621"/>
      <c r="BG101" s="1621"/>
      <c r="BH101" s="1622">
        <v>0.3</v>
      </c>
      <c r="BI101" s="1621">
        <v>0.3</v>
      </c>
      <c r="BJ101" s="1621">
        <v>0.3</v>
      </c>
      <c r="BK101" s="1623">
        <v>0.5</v>
      </c>
      <c r="BL101" s="1621">
        <v>0.5</v>
      </c>
      <c r="BM101" s="1621">
        <v>0.5</v>
      </c>
      <c r="BO101" s="1645">
        <v>3.2</v>
      </c>
      <c r="BP101" s="1691" t="s">
        <v>350</v>
      </c>
      <c r="BQ101" s="1735" t="s">
        <v>724</v>
      </c>
      <c r="BR101" s="1621">
        <v>0.3</v>
      </c>
      <c r="BS101" s="1621">
        <v>0.3</v>
      </c>
      <c r="BT101" s="1621">
        <v>0.3</v>
      </c>
      <c r="BU101" s="1621">
        <v>0.3</v>
      </c>
      <c r="BV101" s="1621">
        <v>0.3</v>
      </c>
      <c r="BW101" s="1621"/>
      <c r="BX101" s="1621"/>
      <c r="BY101" s="1622">
        <v>0.3</v>
      </c>
      <c r="BZ101" s="1621">
        <v>0.3</v>
      </c>
      <c r="CA101" s="1621">
        <v>0.3</v>
      </c>
      <c r="CB101" s="1623">
        <v>0.5</v>
      </c>
      <c r="CC101" s="1621">
        <v>0.5</v>
      </c>
      <c r="CD101" s="1621">
        <v>0.5</v>
      </c>
    </row>
    <row r="102" spans="1:83">
      <c r="B102" s="1595">
        <f t="shared" si="74"/>
        <v>3.3</v>
      </c>
      <c r="C102" s="1645" t="str">
        <f t="shared" si="53"/>
        <v>設備の更新性</v>
      </c>
      <c r="D102" s="1714" t="e">
        <f>IF(I$97=0,0,G102/I$97)</f>
        <v>#DIV/0!</v>
      </c>
      <c r="E102" s="1689" t="e">
        <f>IF(J$97=0,0,H102/J$97)</f>
        <v>#DIV/0!</v>
      </c>
      <c r="G102" s="1689" t="e">
        <f t="shared" si="54"/>
        <v>#DIV/0!</v>
      </c>
      <c r="H102" s="1689" t="e">
        <f t="shared" si="55"/>
        <v>#DIV/0!</v>
      </c>
      <c r="I102" s="1689" t="e">
        <f>SUM(G103:G108)</f>
        <v>#DIV/0!</v>
      </c>
      <c r="J102" s="1689" t="e">
        <f>SUM(H103:H108)</f>
        <v>#DIV/0!</v>
      </c>
      <c r="K102" s="1689" t="e">
        <f>IF(スコア表示!W102=0,0,1)</f>
        <v>#DIV/0!</v>
      </c>
      <c r="L102" s="1689" t="e">
        <f>IF(スコア表示!AA102=0,0,1)</f>
        <v>#DIV/0!</v>
      </c>
      <c r="M102" s="1689" t="e">
        <f t="shared" si="56"/>
        <v>#DIV/0!</v>
      </c>
      <c r="N102" s="1689" t="e">
        <f t="shared" si="80"/>
        <v>#DIV/0!</v>
      </c>
      <c r="P102" s="1645">
        <f t="shared" si="76"/>
        <v>3.3</v>
      </c>
      <c r="Q102" s="1645" t="str">
        <f t="shared" si="77"/>
        <v xml:space="preserve"> Q2 3</v>
      </c>
      <c r="R102" s="1735" t="str">
        <f t="shared" si="60"/>
        <v>設備の更新性</v>
      </c>
      <c r="S102" s="1616">
        <f t="shared" si="61"/>
        <v>0.4</v>
      </c>
      <c r="T102" s="1616">
        <f t="shared" si="62"/>
        <v>0.4</v>
      </c>
      <c r="U102" s="1616">
        <f t="shared" si="63"/>
        <v>0.4</v>
      </c>
      <c r="V102" s="1616">
        <f t="shared" si="64"/>
        <v>0.4</v>
      </c>
      <c r="W102" s="1616">
        <f t="shared" si="65"/>
        <v>0.4</v>
      </c>
      <c r="X102" s="1616">
        <f t="shared" si="66"/>
        <v>1</v>
      </c>
      <c r="Y102" s="1616">
        <f t="shared" si="67"/>
        <v>1</v>
      </c>
      <c r="Z102" s="1624">
        <f t="shared" si="68"/>
        <v>0.4</v>
      </c>
      <c r="AA102" s="1616">
        <f t="shared" si="69"/>
        <v>0.4</v>
      </c>
      <c r="AB102" s="1616">
        <f t="shared" si="70"/>
        <v>0.4</v>
      </c>
      <c r="AC102" s="1617">
        <f t="shared" si="71"/>
        <v>0</v>
      </c>
      <c r="AD102" s="1616">
        <f t="shared" si="72"/>
        <v>0</v>
      </c>
      <c r="AE102" s="1616">
        <f t="shared" si="73"/>
        <v>0</v>
      </c>
      <c r="AG102" s="1645">
        <v>3.3</v>
      </c>
      <c r="AH102" s="1691" t="s">
        <v>350</v>
      </c>
      <c r="AI102" s="1735" t="s">
        <v>725</v>
      </c>
      <c r="AJ102" s="1616">
        <v>0.4</v>
      </c>
      <c r="AK102" s="1616">
        <v>0.4</v>
      </c>
      <c r="AL102" s="1616">
        <v>0.4</v>
      </c>
      <c r="AM102" s="1616">
        <v>0.4</v>
      </c>
      <c r="AN102" s="1616">
        <v>0.4</v>
      </c>
      <c r="AO102" s="1616">
        <v>1</v>
      </c>
      <c r="AP102" s="1616">
        <v>1</v>
      </c>
      <c r="AQ102" s="1624">
        <v>0.4</v>
      </c>
      <c r="AR102" s="1616">
        <v>0.4</v>
      </c>
      <c r="AS102" s="1621">
        <v>0.4</v>
      </c>
      <c r="AT102" s="1623"/>
      <c r="AU102" s="1621"/>
      <c r="AV102" s="1621"/>
      <c r="AX102" s="1645">
        <v>3.3</v>
      </c>
      <c r="AY102" s="1691" t="s">
        <v>350</v>
      </c>
      <c r="AZ102" s="1735" t="s">
        <v>725</v>
      </c>
      <c r="BA102" s="1621">
        <v>0.4</v>
      </c>
      <c r="BB102" s="1621">
        <v>0.4</v>
      </c>
      <c r="BC102" s="1621">
        <v>0.4</v>
      </c>
      <c r="BD102" s="1621">
        <v>0.4</v>
      </c>
      <c r="BE102" s="1621">
        <v>0.4</v>
      </c>
      <c r="BF102" s="1621">
        <v>1</v>
      </c>
      <c r="BG102" s="1621">
        <v>1</v>
      </c>
      <c r="BH102" s="1622">
        <v>0.4</v>
      </c>
      <c r="BI102" s="1621">
        <v>0.4</v>
      </c>
      <c r="BJ102" s="1621">
        <v>0.4</v>
      </c>
      <c r="BK102" s="1623"/>
      <c r="BL102" s="1621"/>
      <c r="BM102" s="1621"/>
      <c r="BO102" s="1645">
        <v>3.3</v>
      </c>
      <c r="BP102" s="1691" t="s">
        <v>350</v>
      </c>
      <c r="BQ102" s="1735" t="s">
        <v>725</v>
      </c>
      <c r="BR102" s="1621">
        <v>0.4</v>
      </c>
      <c r="BS102" s="1621">
        <v>0.4</v>
      </c>
      <c r="BT102" s="1621">
        <v>0.4</v>
      </c>
      <c r="BU102" s="1621">
        <v>0.4</v>
      </c>
      <c r="BV102" s="1621">
        <v>0.4</v>
      </c>
      <c r="BW102" s="1621">
        <v>1</v>
      </c>
      <c r="BX102" s="1621">
        <v>1</v>
      </c>
      <c r="BY102" s="1622">
        <v>0.4</v>
      </c>
      <c r="BZ102" s="1621">
        <v>0.4</v>
      </c>
      <c r="CA102" s="1621">
        <v>0.4</v>
      </c>
      <c r="CB102" s="1623"/>
      <c r="CC102" s="1621"/>
      <c r="CD102" s="1621"/>
    </row>
    <row r="103" spans="1:83">
      <c r="B103" s="1595" t="str">
        <f t="shared" si="74"/>
        <v>3.3.1</v>
      </c>
      <c r="C103" s="1612" t="str">
        <f t="shared" si="53"/>
        <v>空調配管の更新性</v>
      </c>
      <c r="D103" s="1719" t="e">
        <f t="shared" ref="D103:E108" si="81">IF(I$102&gt;0,G103/I$102,0)</f>
        <v>#DIV/0!</v>
      </c>
      <c r="E103" s="1689" t="e">
        <f t="shared" si="81"/>
        <v>#DIV/0!</v>
      </c>
      <c r="G103" s="1689" t="e">
        <f t="shared" si="54"/>
        <v>#DIV/0!</v>
      </c>
      <c r="H103" s="1689" t="e">
        <f t="shared" si="55"/>
        <v>#DIV/0!</v>
      </c>
      <c r="I103" s="1689"/>
      <c r="J103" s="1689"/>
      <c r="K103" s="1689">
        <f>IF(スコア表示!W103=0,0,1)</f>
        <v>1</v>
      </c>
      <c r="L103" s="1689">
        <f>IF(スコア表示!AA103=0,0,1)</f>
        <v>0</v>
      </c>
      <c r="M103" s="1689" t="e">
        <f t="shared" si="56"/>
        <v>#DIV/0!</v>
      </c>
      <c r="N103" s="1689" t="e">
        <f t="shared" si="80"/>
        <v>#DIV/0!</v>
      </c>
      <c r="P103" s="1645" t="str">
        <f t="shared" si="76"/>
        <v>3.3.1</v>
      </c>
      <c r="Q103" s="1645" t="str">
        <f t="shared" si="77"/>
        <v xml:space="preserve"> Q2 3.3</v>
      </c>
      <c r="R103" s="1735" t="str">
        <f t="shared" si="60"/>
        <v>空調配管の更新性</v>
      </c>
      <c r="S103" s="1616">
        <f t="shared" si="61"/>
        <v>0.2</v>
      </c>
      <c r="T103" s="1616">
        <f t="shared" si="62"/>
        <v>0.2</v>
      </c>
      <c r="U103" s="1616">
        <f t="shared" si="63"/>
        <v>0.2</v>
      </c>
      <c r="V103" s="1616">
        <f t="shared" si="64"/>
        <v>0.2</v>
      </c>
      <c r="W103" s="1616">
        <f t="shared" si="65"/>
        <v>0.2</v>
      </c>
      <c r="X103" s="1616">
        <f t="shared" si="66"/>
        <v>0.2</v>
      </c>
      <c r="Y103" s="1616">
        <f t="shared" si="67"/>
        <v>0.2</v>
      </c>
      <c r="Z103" s="1624">
        <f t="shared" si="68"/>
        <v>0.2</v>
      </c>
      <c r="AA103" s="1616">
        <f t="shared" si="69"/>
        <v>0.2</v>
      </c>
      <c r="AB103" s="1616">
        <f t="shared" si="70"/>
        <v>0.2</v>
      </c>
      <c r="AC103" s="1617">
        <f t="shared" si="71"/>
        <v>0</v>
      </c>
      <c r="AD103" s="1616">
        <f t="shared" si="72"/>
        <v>0</v>
      </c>
      <c r="AE103" s="1616">
        <f t="shared" si="73"/>
        <v>0</v>
      </c>
      <c r="AG103" s="1645" t="s">
        <v>1430</v>
      </c>
      <c r="AH103" s="1691" t="s">
        <v>354</v>
      </c>
      <c r="AI103" s="2061" t="s">
        <v>355</v>
      </c>
      <c r="AJ103" s="1616">
        <v>0.2</v>
      </c>
      <c r="AK103" s="1616">
        <v>0.2</v>
      </c>
      <c r="AL103" s="1616">
        <v>0.2</v>
      </c>
      <c r="AM103" s="1616">
        <v>0.2</v>
      </c>
      <c r="AN103" s="1616">
        <v>0.2</v>
      </c>
      <c r="AO103" s="1616">
        <v>0.2</v>
      </c>
      <c r="AP103" s="1616">
        <v>0.2</v>
      </c>
      <c r="AQ103" s="1624">
        <v>0.2</v>
      </c>
      <c r="AR103" s="1616">
        <v>0.2</v>
      </c>
      <c r="AS103" s="1621">
        <v>0.2</v>
      </c>
      <c r="AT103" s="1623"/>
      <c r="AU103" s="1621"/>
      <c r="AV103" s="1621"/>
      <c r="AX103" s="1645" t="s">
        <v>1475</v>
      </c>
      <c r="AY103" s="1691" t="s">
        <v>354</v>
      </c>
      <c r="AZ103" s="2061" t="s">
        <v>355</v>
      </c>
      <c r="BA103" s="1621">
        <v>0.2</v>
      </c>
      <c r="BB103" s="1621">
        <v>0.2</v>
      </c>
      <c r="BC103" s="1621">
        <v>0.2</v>
      </c>
      <c r="BD103" s="1621">
        <v>0.2</v>
      </c>
      <c r="BE103" s="1621">
        <v>0.2</v>
      </c>
      <c r="BF103" s="1621">
        <v>0.2</v>
      </c>
      <c r="BG103" s="1621">
        <v>0.2</v>
      </c>
      <c r="BH103" s="1622">
        <v>0.2</v>
      </c>
      <c r="BI103" s="1621">
        <v>0.2</v>
      </c>
      <c r="BJ103" s="1621">
        <v>0.2</v>
      </c>
      <c r="BK103" s="1623"/>
      <c r="BL103" s="1621"/>
      <c r="BM103" s="1621"/>
      <c r="BO103" s="1645" t="s">
        <v>1475</v>
      </c>
      <c r="BP103" s="1691" t="s">
        <v>354</v>
      </c>
      <c r="BQ103" s="2061" t="s">
        <v>355</v>
      </c>
      <c r="BR103" s="1621">
        <v>0.2</v>
      </c>
      <c r="BS103" s="1621">
        <v>0.2</v>
      </c>
      <c r="BT103" s="1621">
        <v>0.2</v>
      </c>
      <c r="BU103" s="1621">
        <v>0.2</v>
      </c>
      <c r="BV103" s="1621">
        <v>0.2</v>
      </c>
      <c r="BW103" s="1621">
        <v>0.2</v>
      </c>
      <c r="BX103" s="1621">
        <v>0.2</v>
      </c>
      <c r="BY103" s="1622">
        <v>0.2</v>
      </c>
      <c r="BZ103" s="1621">
        <v>0.2</v>
      </c>
      <c r="CA103" s="1621">
        <v>0.2</v>
      </c>
      <c r="CB103" s="1623"/>
      <c r="CC103" s="1621"/>
      <c r="CD103" s="1621"/>
    </row>
    <row r="104" spans="1:83">
      <c r="B104" s="1595" t="str">
        <f t="shared" si="74"/>
        <v>3.3.2</v>
      </c>
      <c r="C104" s="1612" t="str">
        <f t="shared" si="53"/>
        <v>給排水管の更新性</v>
      </c>
      <c r="D104" s="1719" t="e">
        <f t="shared" si="81"/>
        <v>#DIV/0!</v>
      </c>
      <c r="E104" s="1689" t="e">
        <f t="shared" si="81"/>
        <v>#DIV/0!</v>
      </c>
      <c r="G104" s="1689" t="e">
        <f t="shared" si="54"/>
        <v>#DIV/0!</v>
      </c>
      <c r="H104" s="1689" t="e">
        <f t="shared" si="55"/>
        <v>#DIV/0!</v>
      </c>
      <c r="I104" s="1689"/>
      <c r="J104" s="1689"/>
      <c r="K104" s="1689">
        <f>IF(スコア表示!W104=0,0,1)</f>
        <v>1</v>
      </c>
      <c r="L104" s="1689">
        <f>IF(スコア表示!AA104=0,0,1)</f>
        <v>0</v>
      </c>
      <c r="M104" s="1689" t="e">
        <f t="shared" si="56"/>
        <v>#DIV/0!</v>
      </c>
      <c r="N104" s="1689" t="e">
        <f t="shared" si="80"/>
        <v>#DIV/0!</v>
      </c>
      <c r="P104" s="1645" t="str">
        <f t="shared" si="76"/>
        <v>3.3.2</v>
      </c>
      <c r="Q104" s="1645" t="str">
        <f t="shared" si="77"/>
        <v xml:space="preserve"> Q2 3.3</v>
      </c>
      <c r="R104" s="1735" t="str">
        <f t="shared" si="60"/>
        <v>給排水管の更新性</v>
      </c>
      <c r="S104" s="1616">
        <f t="shared" si="61"/>
        <v>0.2</v>
      </c>
      <c r="T104" s="1616">
        <f t="shared" si="62"/>
        <v>0.2</v>
      </c>
      <c r="U104" s="1616">
        <f t="shared" si="63"/>
        <v>0.2</v>
      </c>
      <c r="V104" s="1616">
        <f t="shared" si="64"/>
        <v>0.2</v>
      </c>
      <c r="W104" s="1616">
        <f t="shared" si="65"/>
        <v>0.2</v>
      </c>
      <c r="X104" s="1616">
        <f t="shared" si="66"/>
        <v>0.2</v>
      </c>
      <c r="Y104" s="1616">
        <f t="shared" si="67"/>
        <v>0.2</v>
      </c>
      <c r="Z104" s="1624">
        <f t="shared" si="68"/>
        <v>0.2</v>
      </c>
      <c r="AA104" s="1616">
        <f t="shared" si="69"/>
        <v>0.2</v>
      </c>
      <c r="AB104" s="1616">
        <f t="shared" si="70"/>
        <v>0.2</v>
      </c>
      <c r="AC104" s="1617">
        <f t="shared" si="71"/>
        <v>0</v>
      </c>
      <c r="AD104" s="1616">
        <f t="shared" si="72"/>
        <v>0</v>
      </c>
      <c r="AE104" s="1616">
        <f t="shared" si="73"/>
        <v>0</v>
      </c>
      <c r="AG104" s="1645" t="s">
        <v>1476</v>
      </c>
      <c r="AH104" s="1691" t="s">
        <v>354</v>
      </c>
      <c r="AI104" s="2061" t="s">
        <v>356</v>
      </c>
      <c r="AJ104" s="1616">
        <v>0.2</v>
      </c>
      <c r="AK104" s="1616">
        <v>0.2</v>
      </c>
      <c r="AL104" s="1616">
        <v>0.2</v>
      </c>
      <c r="AM104" s="1616">
        <v>0.2</v>
      </c>
      <c r="AN104" s="1616">
        <v>0.2</v>
      </c>
      <c r="AO104" s="1616">
        <v>0.2</v>
      </c>
      <c r="AP104" s="1616">
        <v>0.2</v>
      </c>
      <c r="AQ104" s="1624">
        <v>0.2</v>
      </c>
      <c r="AR104" s="1616">
        <v>0.2</v>
      </c>
      <c r="AS104" s="1621">
        <v>0.2</v>
      </c>
      <c r="AT104" s="1623"/>
      <c r="AU104" s="1621"/>
      <c r="AV104" s="1621"/>
      <c r="AX104" s="1645" t="s">
        <v>1477</v>
      </c>
      <c r="AY104" s="1691" t="s">
        <v>354</v>
      </c>
      <c r="AZ104" s="2061" t="s">
        <v>356</v>
      </c>
      <c r="BA104" s="1621">
        <v>0.2</v>
      </c>
      <c r="BB104" s="1621">
        <v>0.2</v>
      </c>
      <c r="BC104" s="1621">
        <v>0.2</v>
      </c>
      <c r="BD104" s="1621">
        <v>0.2</v>
      </c>
      <c r="BE104" s="1621">
        <v>0.2</v>
      </c>
      <c r="BF104" s="1621">
        <v>0.2</v>
      </c>
      <c r="BG104" s="1621">
        <v>0.2</v>
      </c>
      <c r="BH104" s="1622">
        <v>0.2</v>
      </c>
      <c r="BI104" s="1621">
        <v>0.2</v>
      </c>
      <c r="BJ104" s="1621">
        <v>0.2</v>
      </c>
      <c r="BK104" s="1623"/>
      <c r="BL104" s="1621"/>
      <c r="BM104" s="1621"/>
      <c r="BO104" s="1645" t="s">
        <v>1477</v>
      </c>
      <c r="BP104" s="1691" t="s">
        <v>354</v>
      </c>
      <c r="BQ104" s="2061" t="s">
        <v>356</v>
      </c>
      <c r="BR104" s="1621">
        <v>0.2</v>
      </c>
      <c r="BS104" s="1621">
        <v>0.2</v>
      </c>
      <c r="BT104" s="1621">
        <v>0.2</v>
      </c>
      <c r="BU104" s="1621">
        <v>0.2</v>
      </c>
      <c r="BV104" s="1621">
        <v>0.2</v>
      </c>
      <c r="BW104" s="1621">
        <v>0.2</v>
      </c>
      <c r="BX104" s="1621">
        <v>0.2</v>
      </c>
      <c r="BY104" s="1622">
        <v>0.2</v>
      </c>
      <c r="BZ104" s="1621">
        <v>0.2</v>
      </c>
      <c r="CA104" s="1621">
        <v>0.2</v>
      </c>
      <c r="CB104" s="1623"/>
      <c r="CC104" s="1621"/>
      <c r="CD104" s="1621"/>
    </row>
    <row r="105" spans="1:83">
      <c r="B105" s="1595" t="str">
        <f t="shared" si="74"/>
        <v>3.3.3</v>
      </c>
      <c r="C105" s="1612" t="str">
        <f t="shared" ref="C105:C140" si="82">R105</f>
        <v>電気配線の更新性</v>
      </c>
      <c r="D105" s="1719" t="e">
        <f t="shared" si="81"/>
        <v>#DIV/0!</v>
      </c>
      <c r="E105" s="1689" t="e">
        <f t="shared" si="81"/>
        <v>#DIV/0!</v>
      </c>
      <c r="G105" s="1689" t="e">
        <f t="shared" ref="G105:G136" si="83">K105*M105</f>
        <v>#DIV/0!</v>
      </c>
      <c r="H105" s="1689" t="e">
        <f t="shared" ref="H105:H136" si="84">L105*N105</f>
        <v>#DIV/0!</v>
      </c>
      <c r="I105" s="1689"/>
      <c r="J105" s="1689"/>
      <c r="K105" s="1689">
        <f>IF(スコア表示!W105=0,0,1)</f>
        <v>1</v>
      </c>
      <c r="L105" s="1689">
        <f>IF(スコア表示!AA105=0,0,1)</f>
        <v>0</v>
      </c>
      <c r="M105" s="1689" t="e">
        <f t="shared" ref="M105:M140" si="85">SUMPRODUCT($S$7:$AB$7,S105:AB105)</f>
        <v>#DIV/0!</v>
      </c>
      <c r="N105" s="1689" t="e">
        <f t="shared" si="80"/>
        <v>#DIV/0!</v>
      </c>
      <c r="P105" s="1645" t="str">
        <f t="shared" si="76"/>
        <v>3.3.3</v>
      </c>
      <c r="Q105" s="1645" t="str">
        <f t="shared" si="77"/>
        <v xml:space="preserve"> Q2 3.3</v>
      </c>
      <c r="R105" s="1735" t="str">
        <f t="shared" ref="R105:R140" si="86">AI105</f>
        <v>電気配線の更新性</v>
      </c>
      <c r="S105" s="1616">
        <f t="shared" ref="S105:S119" si="87">IF($P$3=1,BA105,IF($P$3=2,BR105,AJ105))</f>
        <v>0.1</v>
      </c>
      <c r="T105" s="1616">
        <f t="shared" ref="T105:T119" si="88">IF($P$3=1,BB105,IF($P$3=2,BS105,AK105))</f>
        <v>0.1</v>
      </c>
      <c r="U105" s="1616">
        <f t="shared" ref="U105:U119" si="89">IF($P$3=1,BC105,IF($P$3=2,BT105,AL105))</f>
        <v>0.1</v>
      </c>
      <c r="V105" s="1616">
        <f t="shared" ref="V105:V119" si="90">IF($P$3=1,BD105,IF($P$3=2,BU105,AM105))</f>
        <v>0.1</v>
      </c>
      <c r="W105" s="1616">
        <f t="shared" ref="W105:W119" si="91">IF($P$3=1,BE105,IF($P$3=2,BV105,AN105))</f>
        <v>0.1</v>
      </c>
      <c r="X105" s="1616">
        <f t="shared" ref="X105:X119" si="92">IF($P$3=1,BF105,IF($P$3=2,BW105,AO105))</f>
        <v>0.1</v>
      </c>
      <c r="Y105" s="1616">
        <f t="shared" ref="Y105:Y119" si="93">IF($P$3=1,BG105,IF($P$3=2,BX105,AP105))</f>
        <v>0.1</v>
      </c>
      <c r="Z105" s="1624">
        <f t="shared" ref="Z105:Z119" si="94">IF($P$3=1,BH105,IF($P$3=2,BY105,AQ105))</f>
        <v>0.1</v>
      </c>
      <c r="AA105" s="1616">
        <f t="shared" ref="AA105:AA119" si="95">IF($P$3=1,BI105,IF($P$3=2,BZ105,AR105))</f>
        <v>0.1</v>
      </c>
      <c r="AB105" s="1616">
        <f t="shared" ref="AB105:AB119" si="96">IF($P$3=1,BJ105,IF($P$3=2,CA105,AS105))</f>
        <v>0.1</v>
      </c>
      <c r="AC105" s="1617">
        <f t="shared" ref="AC105:AC119" si="97">IF($P$3=1,BK105,IF($P$3=2,CB105,AT105))</f>
        <v>0</v>
      </c>
      <c r="AD105" s="1616">
        <f t="shared" ref="AD105:AD119" si="98">IF($P$3=1,BL105,IF($P$3=2,CC105,AU105))</f>
        <v>0</v>
      </c>
      <c r="AE105" s="1616">
        <f t="shared" ref="AE105:AE119" si="99">IF($P$3=1,BM105,IF($P$3=2,CD105,AV105))</f>
        <v>0</v>
      </c>
      <c r="AG105" s="1645" t="s">
        <v>1478</v>
      </c>
      <c r="AH105" s="1691" t="s">
        <v>354</v>
      </c>
      <c r="AI105" s="2061" t="s">
        <v>357</v>
      </c>
      <c r="AJ105" s="1616">
        <v>0.1</v>
      </c>
      <c r="AK105" s="1616">
        <v>0.1</v>
      </c>
      <c r="AL105" s="1616">
        <v>0.1</v>
      </c>
      <c r="AM105" s="1616">
        <v>0.1</v>
      </c>
      <c r="AN105" s="1616">
        <v>0.1</v>
      </c>
      <c r="AO105" s="1616">
        <v>0.1</v>
      </c>
      <c r="AP105" s="1616">
        <v>0.1</v>
      </c>
      <c r="AQ105" s="1624">
        <v>0.1</v>
      </c>
      <c r="AR105" s="1616">
        <v>0.1</v>
      </c>
      <c r="AS105" s="1621">
        <v>0.1</v>
      </c>
      <c r="AT105" s="1623"/>
      <c r="AU105" s="1621"/>
      <c r="AV105" s="1621"/>
      <c r="AX105" s="1645" t="s">
        <v>1479</v>
      </c>
      <c r="AY105" s="1691" t="s">
        <v>354</v>
      </c>
      <c r="AZ105" s="2061" t="s">
        <v>357</v>
      </c>
      <c r="BA105" s="1621">
        <v>0.1</v>
      </c>
      <c r="BB105" s="1621">
        <v>0.1</v>
      </c>
      <c r="BC105" s="1621">
        <v>0.1</v>
      </c>
      <c r="BD105" s="1621">
        <v>0.1</v>
      </c>
      <c r="BE105" s="1621">
        <v>0.1</v>
      </c>
      <c r="BF105" s="1621">
        <v>0.1</v>
      </c>
      <c r="BG105" s="1621">
        <v>0.1</v>
      </c>
      <c r="BH105" s="1622">
        <v>0.1</v>
      </c>
      <c r="BI105" s="1621">
        <v>0.1</v>
      </c>
      <c r="BJ105" s="1621">
        <v>0.1</v>
      </c>
      <c r="BK105" s="1623"/>
      <c r="BL105" s="1621"/>
      <c r="BM105" s="1621"/>
      <c r="BO105" s="1645" t="s">
        <v>1479</v>
      </c>
      <c r="BP105" s="1691" t="s">
        <v>354</v>
      </c>
      <c r="BQ105" s="2061" t="s">
        <v>357</v>
      </c>
      <c r="BR105" s="1621">
        <v>0.1</v>
      </c>
      <c r="BS105" s="1621">
        <v>0.1</v>
      </c>
      <c r="BT105" s="1621">
        <v>0.1</v>
      </c>
      <c r="BU105" s="1621">
        <v>0.1</v>
      </c>
      <c r="BV105" s="1621">
        <v>0.1</v>
      </c>
      <c r="BW105" s="1621">
        <v>0.1</v>
      </c>
      <c r="BX105" s="1621">
        <v>0.1</v>
      </c>
      <c r="BY105" s="1622">
        <v>0.1</v>
      </c>
      <c r="BZ105" s="1621">
        <v>0.1</v>
      </c>
      <c r="CA105" s="1621">
        <v>0.1</v>
      </c>
      <c r="CB105" s="1623"/>
      <c r="CC105" s="1621"/>
      <c r="CD105" s="1621"/>
    </row>
    <row r="106" spans="1:83">
      <c r="B106" s="1595" t="str">
        <f t="shared" si="74"/>
        <v>3.3.4</v>
      </c>
      <c r="C106" s="1612" t="str">
        <f t="shared" si="82"/>
        <v>通信配線の更新性</v>
      </c>
      <c r="D106" s="1719" t="e">
        <f t="shared" si="81"/>
        <v>#DIV/0!</v>
      </c>
      <c r="E106" s="1689" t="e">
        <f t="shared" si="81"/>
        <v>#DIV/0!</v>
      </c>
      <c r="G106" s="1689" t="e">
        <f t="shared" si="83"/>
        <v>#DIV/0!</v>
      </c>
      <c r="H106" s="1689" t="e">
        <f t="shared" si="84"/>
        <v>#DIV/0!</v>
      </c>
      <c r="I106" s="1689"/>
      <c r="J106" s="1689"/>
      <c r="K106" s="1689">
        <f>IF(スコア表示!W106=0,0,1)</f>
        <v>1</v>
      </c>
      <c r="L106" s="1689">
        <f>IF(スコア表示!AA106=0,0,1)</f>
        <v>0</v>
      </c>
      <c r="M106" s="1689" t="e">
        <f t="shared" si="85"/>
        <v>#DIV/0!</v>
      </c>
      <c r="N106" s="1689" t="e">
        <f t="shared" si="80"/>
        <v>#DIV/0!</v>
      </c>
      <c r="P106" s="1645" t="str">
        <f t="shared" si="76"/>
        <v>3.3.4</v>
      </c>
      <c r="Q106" s="1645" t="str">
        <f t="shared" si="77"/>
        <v xml:space="preserve"> Q2 3.3</v>
      </c>
      <c r="R106" s="1735" t="str">
        <f t="shared" si="86"/>
        <v>通信配線の更新性</v>
      </c>
      <c r="S106" s="1616">
        <f t="shared" si="87"/>
        <v>0.1</v>
      </c>
      <c r="T106" s="1616">
        <f t="shared" si="88"/>
        <v>0.1</v>
      </c>
      <c r="U106" s="1616">
        <f t="shared" si="89"/>
        <v>0.1</v>
      </c>
      <c r="V106" s="1616">
        <f t="shared" si="90"/>
        <v>0.1</v>
      </c>
      <c r="W106" s="1616">
        <f t="shared" si="91"/>
        <v>0.1</v>
      </c>
      <c r="X106" s="1616">
        <f t="shared" si="92"/>
        <v>0.1</v>
      </c>
      <c r="Y106" s="1616">
        <f t="shared" si="93"/>
        <v>0.1</v>
      </c>
      <c r="Z106" s="1624">
        <f t="shared" si="94"/>
        <v>0.1</v>
      </c>
      <c r="AA106" s="1616">
        <f t="shared" si="95"/>
        <v>0.1</v>
      </c>
      <c r="AB106" s="1616">
        <f t="shared" si="96"/>
        <v>0.1</v>
      </c>
      <c r="AC106" s="1617">
        <f t="shared" si="97"/>
        <v>0</v>
      </c>
      <c r="AD106" s="1616">
        <f t="shared" si="98"/>
        <v>0</v>
      </c>
      <c r="AE106" s="1616">
        <f t="shared" si="99"/>
        <v>0</v>
      </c>
      <c r="AG106" s="1645" t="s">
        <v>1643</v>
      </c>
      <c r="AH106" s="1691" t="s">
        <v>354</v>
      </c>
      <c r="AI106" s="2061" t="s">
        <v>358</v>
      </c>
      <c r="AJ106" s="1616">
        <v>0.1</v>
      </c>
      <c r="AK106" s="1616">
        <v>0.1</v>
      </c>
      <c r="AL106" s="1616">
        <v>0.1</v>
      </c>
      <c r="AM106" s="1616">
        <v>0.1</v>
      </c>
      <c r="AN106" s="1616">
        <v>0.1</v>
      </c>
      <c r="AO106" s="1616">
        <v>0.1</v>
      </c>
      <c r="AP106" s="1616">
        <v>0.1</v>
      </c>
      <c r="AQ106" s="1624">
        <v>0.1</v>
      </c>
      <c r="AR106" s="1616">
        <v>0.1</v>
      </c>
      <c r="AS106" s="1621">
        <v>0.1</v>
      </c>
      <c r="AT106" s="1623"/>
      <c r="AU106" s="1621"/>
      <c r="AV106" s="1621"/>
      <c r="AX106" s="1645" t="s">
        <v>1480</v>
      </c>
      <c r="AY106" s="1691" t="s">
        <v>354</v>
      </c>
      <c r="AZ106" s="2061" t="s">
        <v>358</v>
      </c>
      <c r="BA106" s="1621">
        <v>0.1</v>
      </c>
      <c r="BB106" s="1621">
        <v>0.1</v>
      </c>
      <c r="BC106" s="1621">
        <v>0.1</v>
      </c>
      <c r="BD106" s="1621">
        <v>0.1</v>
      </c>
      <c r="BE106" s="1621">
        <v>0.1</v>
      </c>
      <c r="BF106" s="1621">
        <v>0.1</v>
      </c>
      <c r="BG106" s="1621">
        <v>0.1</v>
      </c>
      <c r="BH106" s="1622">
        <v>0.1</v>
      </c>
      <c r="BI106" s="1621">
        <v>0.1</v>
      </c>
      <c r="BJ106" s="1621">
        <v>0.1</v>
      </c>
      <c r="BK106" s="1623"/>
      <c r="BL106" s="1621"/>
      <c r="BM106" s="1621"/>
      <c r="BO106" s="1645" t="s">
        <v>1480</v>
      </c>
      <c r="BP106" s="1691" t="s">
        <v>354</v>
      </c>
      <c r="BQ106" s="2061" t="s">
        <v>358</v>
      </c>
      <c r="BR106" s="1621">
        <v>0.1</v>
      </c>
      <c r="BS106" s="1621">
        <v>0.1</v>
      </c>
      <c r="BT106" s="1621">
        <v>0.1</v>
      </c>
      <c r="BU106" s="1621">
        <v>0.1</v>
      </c>
      <c r="BV106" s="1621">
        <v>0.1</v>
      </c>
      <c r="BW106" s="1621">
        <v>0.1</v>
      </c>
      <c r="BX106" s="1621">
        <v>0.1</v>
      </c>
      <c r="BY106" s="1622">
        <v>0.1</v>
      </c>
      <c r="BZ106" s="1621">
        <v>0.1</v>
      </c>
      <c r="CA106" s="1621">
        <v>0.1</v>
      </c>
      <c r="CB106" s="1623"/>
      <c r="CC106" s="1621"/>
      <c r="CD106" s="1621"/>
    </row>
    <row r="107" spans="1:83">
      <c r="B107" s="1595" t="str">
        <f t="shared" ref="B107:B142" si="100">P107</f>
        <v>3.3.5</v>
      </c>
      <c r="C107" s="1612" t="str">
        <f t="shared" si="82"/>
        <v>設備機器の更新性</v>
      </c>
      <c r="D107" s="1719" t="e">
        <f t="shared" si="81"/>
        <v>#DIV/0!</v>
      </c>
      <c r="E107" s="1689" t="e">
        <f t="shared" si="81"/>
        <v>#DIV/0!</v>
      </c>
      <c r="G107" s="1689" t="e">
        <f t="shared" si="83"/>
        <v>#DIV/0!</v>
      </c>
      <c r="H107" s="1689" t="e">
        <f t="shared" si="84"/>
        <v>#DIV/0!</v>
      </c>
      <c r="I107" s="1689"/>
      <c r="J107" s="1689"/>
      <c r="K107" s="1689">
        <f>IF(スコア表示!W107=0,0,1)</f>
        <v>1</v>
      </c>
      <c r="L107" s="1689">
        <f>IF(スコア表示!AA107=0,0,1)</f>
        <v>0</v>
      </c>
      <c r="M107" s="1689" t="e">
        <f t="shared" si="85"/>
        <v>#DIV/0!</v>
      </c>
      <c r="N107" s="1689" t="e">
        <f t="shared" si="80"/>
        <v>#DIV/0!</v>
      </c>
      <c r="P107" s="1645" t="str">
        <f t="shared" si="76"/>
        <v>3.3.5</v>
      </c>
      <c r="Q107" s="1645" t="str">
        <f t="shared" si="77"/>
        <v xml:space="preserve"> Q2 3.3</v>
      </c>
      <c r="R107" s="1735" t="str">
        <f t="shared" si="86"/>
        <v>設備機器の更新性</v>
      </c>
      <c r="S107" s="1616">
        <f t="shared" si="87"/>
        <v>0.2</v>
      </c>
      <c r="T107" s="1616">
        <f t="shared" si="88"/>
        <v>0.2</v>
      </c>
      <c r="U107" s="1616">
        <f t="shared" si="89"/>
        <v>0.2</v>
      </c>
      <c r="V107" s="1616">
        <f t="shared" si="90"/>
        <v>0.2</v>
      </c>
      <c r="W107" s="1616">
        <f t="shared" si="91"/>
        <v>0.2</v>
      </c>
      <c r="X107" s="1616">
        <f t="shared" si="92"/>
        <v>0.2</v>
      </c>
      <c r="Y107" s="1616">
        <f t="shared" si="93"/>
        <v>0.2</v>
      </c>
      <c r="Z107" s="1624">
        <f t="shared" si="94"/>
        <v>0.2</v>
      </c>
      <c r="AA107" s="1616">
        <f t="shared" si="95"/>
        <v>0.2</v>
      </c>
      <c r="AB107" s="1616">
        <f t="shared" si="96"/>
        <v>0.2</v>
      </c>
      <c r="AC107" s="1617">
        <f t="shared" si="97"/>
        <v>0</v>
      </c>
      <c r="AD107" s="1616">
        <f t="shared" si="98"/>
        <v>0</v>
      </c>
      <c r="AE107" s="1616">
        <f t="shared" si="99"/>
        <v>0</v>
      </c>
      <c r="AG107" s="1645" t="s">
        <v>1481</v>
      </c>
      <c r="AH107" s="1691" t="s">
        <v>354</v>
      </c>
      <c r="AI107" s="2061" t="s">
        <v>359</v>
      </c>
      <c r="AJ107" s="1616">
        <v>0.2</v>
      </c>
      <c r="AK107" s="1616">
        <v>0.2</v>
      </c>
      <c r="AL107" s="1616">
        <v>0.2</v>
      </c>
      <c r="AM107" s="1616">
        <v>0.2</v>
      </c>
      <c r="AN107" s="1616">
        <v>0.2</v>
      </c>
      <c r="AO107" s="1616">
        <v>0.2</v>
      </c>
      <c r="AP107" s="1616">
        <v>0.2</v>
      </c>
      <c r="AQ107" s="1624">
        <v>0.2</v>
      </c>
      <c r="AR107" s="1616">
        <v>0.2</v>
      </c>
      <c r="AS107" s="1621">
        <v>0.2</v>
      </c>
      <c r="AT107" s="1623"/>
      <c r="AU107" s="1621"/>
      <c r="AV107" s="1621"/>
      <c r="AX107" s="1645" t="s">
        <v>1482</v>
      </c>
      <c r="AY107" s="1691" t="s">
        <v>354</v>
      </c>
      <c r="AZ107" s="2061" t="s">
        <v>359</v>
      </c>
      <c r="BA107" s="1621">
        <v>0.2</v>
      </c>
      <c r="BB107" s="1621">
        <v>0.2</v>
      </c>
      <c r="BC107" s="1621">
        <v>0.2</v>
      </c>
      <c r="BD107" s="1621">
        <v>0.2</v>
      </c>
      <c r="BE107" s="1621">
        <v>0.2</v>
      </c>
      <c r="BF107" s="1621">
        <v>0.2</v>
      </c>
      <c r="BG107" s="1621">
        <v>0.2</v>
      </c>
      <c r="BH107" s="1622">
        <v>0.2</v>
      </c>
      <c r="BI107" s="1621">
        <v>0.2</v>
      </c>
      <c r="BJ107" s="1621">
        <v>0.2</v>
      </c>
      <c r="BK107" s="1623"/>
      <c r="BL107" s="1621"/>
      <c r="BM107" s="1621"/>
      <c r="BO107" s="1645" t="s">
        <v>1482</v>
      </c>
      <c r="BP107" s="1691" t="s">
        <v>354</v>
      </c>
      <c r="BQ107" s="2061" t="s">
        <v>359</v>
      </c>
      <c r="BR107" s="1621">
        <v>0.2</v>
      </c>
      <c r="BS107" s="1621">
        <v>0.2</v>
      </c>
      <c r="BT107" s="1621">
        <v>0.2</v>
      </c>
      <c r="BU107" s="1621">
        <v>0.2</v>
      </c>
      <c r="BV107" s="1621">
        <v>0.2</v>
      </c>
      <c r="BW107" s="1621">
        <v>0.2</v>
      </c>
      <c r="BX107" s="1621">
        <v>0.2</v>
      </c>
      <c r="BY107" s="1622">
        <v>0.2</v>
      </c>
      <c r="BZ107" s="1621">
        <v>0.2</v>
      </c>
      <c r="CA107" s="1621">
        <v>0.2</v>
      </c>
      <c r="CB107" s="1623"/>
      <c r="CC107" s="1621"/>
      <c r="CD107" s="1621"/>
    </row>
    <row r="108" spans="1:83">
      <c r="B108" s="1595" t="str">
        <f t="shared" si="100"/>
        <v>3.3.6</v>
      </c>
      <c r="C108" s="1612" t="str">
        <f t="shared" si="82"/>
        <v>バックアップスペースの確保</v>
      </c>
      <c r="D108" s="1719" t="e">
        <f t="shared" si="81"/>
        <v>#DIV/0!</v>
      </c>
      <c r="E108" s="1689" t="e">
        <f t="shared" si="81"/>
        <v>#DIV/0!</v>
      </c>
      <c r="G108" s="1689" t="e">
        <f t="shared" si="83"/>
        <v>#DIV/0!</v>
      </c>
      <c r="H108" s="1689" t="e">
        <f t="shared" si="84"/>
        <v>#DIV/0!</v>
      </c>
      <c r="I108" s="1689"/>
      <c r="J108" s="1689"/>
      <c r="K108" s="1689">
        <f>IF(スコア表示!W108=0,0,1)</f>
        <v>1</v>
      </c>
      <c r="L108" s="1689">
        <f>IF(スコア表示!AA108=0,0,1)</f>
        <v>0</v>
      </c>
      <c r="M108" s="1689" t="e">
        <f t="shared" si="85"/>
        <v>#DIV/0!</v>
      </c>
      <c r="N108" s="1689" t="e">
        <f t="shared" si="80"/>
        <v>#DIV/0!</v>
      </c>
      <c r="P108" s="1645" t="str">
        <f t="shared" si="76"/>
        <v>3.3.6</v>
      </c>
      <c r="Q108" s="1645" t="str">
        <f t="shared" si="77"/>
        <v xml:space="preserve"> Q2 3.3</v>
      </c>
      <c r="R108" s="1735" t="str">
        <f t="shared" si="86"/>
        <v>バックアップスペースの確保</v>
      </c>
      <c r="S108" s="1616">
        <f t="shared" si="87"/>
        <v>0.2</v>
      </c>
      <c r="T108" s="1616">
        <f t="shared" si="88"/>
        <v>0.2</v>
      </c>
      <c r="U108" s="1616">
        <f t="shared" si="89"/>
        <v>0.2</v>
      </c>
      <c r="V108" s="1616">
        <f t="shared" si="90"/>
        <v>0.2</v>
      </c>
      <c r="W108" s="1616">
        <f t="shared" si="91"/>
        <v>0.2</v>
      </c>
      <c r="X108" s="1616">
        <f t="shared" si="92"/>
        <v>0.2</v>
      </c>
      <c r="Y108" s="1616">
        <f t="shared" si="93"/>
        <v>0.2</v>
      </c>
      <c r="Z108" s="1624">
        <f t="shared" si="94"/>
        <v>0.2</v>
      </c>
      <c r="AA108" s="1616">
        <f t="shared" si="95"/>
        <v>0.2</v>
      </c>
      <c r="AB108" s="1616">
        <f t="shared" si="96"/>
        <v>0.2</v>
      </c>
      <c r="AC108" s="1617">
        <f t="shared" si="97"/>
        <v>0</v>
      </c>
      <c r="AD108" s="1616">
        <f t="shared" si="98"/>
        <v>0</v>
      </c>
      <c r="AE108" s="1616">
        <f t="shared" si="99"/>
        <v>0</v>
      </c>
      <c r="AG108" s="1645" t="s">
        <v>1644</v>
      </c>
      <c r="AH108" s="1691" t="s">
        <v>354</v>
      </c>
      <c r="AI108" s="2061" t="s">
        <v>733</v>
      </c>
      <c r="AJ108" s="1616">
        <v>0.2</v>
      </c>
      <c r="AK108" s="1616">
        <v>0.2</v>
      </c>
      <c r="AL108" s="1616">
        <v>0.2</v>
      </c>
      <c r="AM108" s="1616">
        <v>0.2</v>
      </c>
      <c r="AN108" s="1616">
        <v>0.2</v>
      </c>
      <c r="AO108" s="1616">
        <v>0.2</v>
      </c>
      <c r="AP108" s="1616">
        <v>0.2</v>
      </c>
      <c r="AQ108" s="1624">
        <v>0.2</v>
      </c>
      <c r="AR108" s="1616">
        <v>0.2</v>
      </c>
      <c r="AS108" s="1621">
        <v>0.2</v>
      </c>
      <c r="AT108" s="1623"/>
      <c r="AU108" s="1621"/>
      <c r="AV108" s="1621"/>
      <c r="AX108" s="1645" t="s">
        <v>1483</v>
      </c>
      <c r="AY108" s="1691" t="s">
        <v>354</v>
      </c>
      <c r="AZ108" s="2061" t="s">
        <v>733</v>
      </c>
      <c r="BA108" s="1621">
        <v>0.2</v>
      </c>
      <c r="BB108" s="1621">
        <v>0.2</v>
      </c>
      <c r="BC108" s="1621">
        <v>0.2</v>
      </c>
      <c r="BD108" s="1621">
        <v>0.2</v>
      </c>
      <c r="BE108" s="1621">
        <v>0.2</v>
      </c>
      <c r="BF108" s="1621">
        <v>0.2</v>
      </c>
      <c r="BG108" s="1621">
        <v>0.2</v>
      </c>
      <c r="BH108" s="1622">
        <v>0.2</v>
      </c>
      <c r="BI108" s="1621">
        <v>0.2</v>
      </c>
      <c r="BJ108" s="1621">
        <v>0.2</v>
      </c>
      <c r="BK108" s="1623"/>
      <c r="BL108" s="1621"/>
      <c r="BM108" s="1621"/>
      <c r="BO108" s="1645" t="s">
        <v>1483</v>
      </c>
      <c r="BP108" s="1691" t="s">
        <v>354</v>
      </c>
      <c r="BQ108" s="2061" t="s">
        <v>733</v>
      </c>
      <c r="BR108" s="1621">
        <v>0.2</v>
      </c>
      <c r="BS108" s="1621">
        <v>0.2</v>
      </c>
      <c r="BT108" s="1621">
        <v>0.2</v>
      </c>
      <c r="BU108" s="1621">
        <v>0.2</v>
      </c>
      <c r="BV108" s="1621">
        <v>0.2</v>
      </c>
      <c r="BW108" s="1621">
        <v>0.2</v>
      </c>
      <c r="BX108" s="1621">
        <v>0.2</v>
      </c>
      <c r="BY108" s="1622">
        <v>0.2</v>
      </c>
      <c r="BZ108" s="1621">
        <v>0.2</v>
      </c>
      <c r="CA108" s="1621">
        <v>0.2</v>
      </c>
      <c r="CB108" s="1623"/>
      <c r="CC108" s="1621"/>
      <c r="CD108" s="1621"/>
    </row>
    <row r="109" spans="1:83" s="1603" customFormat="1">
      <c r="A109"/>
      <c r="B109" s="1595" t="str">
        <f t="shared" si="100"/>
        <v>Q3</v>
      </c>
      <c r="C109" s="1595" t="str">
        <f t="shared" si="82"/>
        <v>室外環境（敷地内）</v>
      </c>
      <c r="D109" s="2053" t="e">
        <f>IF(I$8=0,0,G109/I$8)</f>
        <v>#DIV/0!</v>
      </c>
      <c r="E109" s="2054" t="e">
        <f>IF(J$8=0,0,H109/J$8)</f>
        <v>#DIV/0!</v>
      </c>
      <c r="F109"/>
      <c r="G109" s="2054" t="e">
        <f t="shared" si="83"/>
        <v>#DIV/0!</v>
      </c>
      <c r="H109" s="2054" t="e">
        <f t="shared" si="84"/>
        <v>#DIV/0!</v>
      </c>
      <c r="I109" s="2054" t="e">
        <f>G110+G111+G112</f>
        <v>#DIV/0!</v>
      </c>
      <c r="J109" s="2054" t="e">
        <f>H110+H111+H112</f>
        <v>#DIV/0!</v>
      </c>
      <c r="K109" s="2054" t="e">
        <f>IF(スコア表示!W109=0,0,1)</f>
        <v>#DIV/0!</v>
      </c>
      <c r="L109" s="2054">
        <f>IF(スコア表示!AA109=0,0,1)</f>
        <v>0</v>
      </c>
      <c r="M109" s="2054" t="e">
        <f t="shared" si="85"/>
        <v>#DIV/0!</v>
      </c>
      <c r="N109" s="2054" t="e">
        <f t="shared" si="80"/>
        <v>#DIV/0!</v>
      </c>
      <c r="O109"/>
      <c r="P109" s="1595" t="str">
        <f t="shared" si="76"/>
        <v>Q3</v>
      </c>
      <c r="Q109" s="1595" t="str">
        <f t="shared" si="77"/>
        <v xml:space="preserve"> Q</v>
      </c>
      <c r="R109" s="2055" t="str">
        <f t="shared" si="86"/>
        <v>室外環境（敷地内）</v>
      </c>
      <c r="S109" s="1601">
        <f t="shared" si="87"/>
        <v>0.3</v>
      </c>
      <c r="T109" s="1601">
        <f t="shared" si="88"/>
        <v>0.3</v>
      </c>
      <c r="U109" s="1601">
        <f t="shared" si="89"/>
        <v>0.3</v>
      </c>
      <c r="V109" s="1601">
        <f t="shared" si="90"/>
        <v>0.3</v>
      </c>
      <c r="W109" s="1601">
        <f t="shared" si="91"/>
        <v>0.3</v>
      </c>
      <c r="X109" s="1601">
        <f t="shared" si="92"/>
        <v>0.3</v>
      </c>
      <c r="Y109" s="1601">
        <f t="shared" si="93"/>
        <v>0.3</v>
      </c>
      <c r="Z109" s="1601">
        <f t="shared" si="94"/>
        <v>0.3</v>
      </c>
      <c r="AA109" s="1601">
        <f t="shared" si="95"/>
        <v>0.4</v>
      </c>
      <c r="AB109" s="1601">
        <f t="shared" si="96"/>
        <v>0.3</v>
      </c>
      <c r="AC109" s="1656">
        <f t="shared" si="97"/>
        <v>0</v>
      </c>
      <c r="AD109" s="1601">
        <f t="shared" si="98"/>
        <v>0</v>
      </c>
      <c r="AE109" s="1601">
        <f t="shared" si="99"/>
        <v>0</v>
      </c>
      <c r="AF109"/>
      <c r="AG109" s="1595" t="s">
        <v>1484</v>
      </c>
      <c r="AH109" s="2056" t="s">
        <v>270</v>
      </c>
      <c r="AI109" s="2055" t="s">
        <v>1486</v>
      </c>
      <c r="AJ109" s="1601">
        <v>0.3</v>
      </c>
      <c r="AK109" s="1601">
        <v>0.3</v>
      </c>
      <c r="AL109" s="1601">
        <v>0.3</v>
      </c>
      <c r="AM109" s="1601">
        <v>0.3</v>
      </c>
      <c r="AN109" s="1601">
        <v>0.3</v>
      </c>
      <c r="AO109" s="1601">
        <v>0.3</v>
      </c>
      <c r="AP109" s="1601">
        <v>0.3</v>
      </c>
      <c r="AQ109" s="1601">
        <v>0.3</v>
      </c>
      <c r="AR109" s="1601">
        <v>0.4</v>
      </c>
      <c r="AS109" s="2057">
        <v>0.3</v>
      </c>
      <c r="AT109" s="2058">
        <v>0</v>
      </c>
      <c r="AU109" s="2057">
        <v>0</v>
      </c>
      <c r="AV109" s="2057">
        <v>0</v>
      </c>
      <c r="AW109"/>
      <c r="AX109" s="1595" t="s">
        <v>1485</v>
      </c>
      <c r="AY109" s="2056" t="s">
        <v>270</v>
      </c>
      <c r="AZ109" s="2055" t="s">
        <v>1487</v>
      </c>
      <c r="BA109" s="2057">
        <v>0.3</v>
      </c>
      <c r="BB109" s="2057">
        <v>0.3</v>
      </c>
      <c r="BC109" s="2057">
        <v>0.3</v>
      </c>
      <c r="BD109" s="2057">
        <v>0.3</v>
      </c>
      <c r="BE109" s="2057">
        <v>0.3</v>
      </c>
      <c r="BF109" s="2057">
        <v>0.3</v>
      </c>
      <c r="BG109" s="2057">
        <v>0.3</v>
      </c>
      <c r="BH109" s="2057">
        <v>0.3</v>
      </c>
      <c r="BI109" s="2057">
        <v>0.4</v>
      </c>
      <c r="BJ109" s="2057">
        <v>0.3</v>
      </c>
      <c r="BK109" s="2058"/>
      <c r="BL109" s="2057"/>
      <c r="BM109" s="2057"/>
      <c r="BN109"/>
      <c r="BO109" s="1595" t="s">
        <v>1485</v>
      </c>
      <c r="BP109" s="2056" t="s">
        <v>270</v>
      </c>
      <c r="BQ109" s="2055" t="s">
        <v>1487</v>
      </c>
      <c r="BR109" s="2057">
        <v>0.3</v>
      </c>
      <c r="BS109" s="2057">
        <v>0.3</v>
      </c>
      <c r="BT109" s="2057">
        <v>0.3</v>
      </c>
      <c r="BU109" s="2057">
        <v>0.3</v>
      </c>
      <c r="BV109" s="2057">
        <v>0.3</v>
      </c>
      <c r="BW109" s="2057">
        <v>0.3</v>
      </c>
      <c r="BX109" s="2057">
        <v>0.3</v>
      </c>
      <c r="BY109" s="2057">
        <v>0.3</v>
      </c>
      <c r="BZ109" s="2057">
        <v>0.4</v>
      </c>
      <c r="CA109" s="2057">
        <v>0.3</v>
      </c>
      <c r="CB109" s="2058"/>
      <c r="CC109" s="2057"/>
      <c r="CD109" s="2057"/>
      <c r="CE109"/>
    </row>
    <row r="110" spans="1:83" s="1603" customFormat="1">
      <c r="A110"/>
      <c r="B110" s="1595">
        <f t="shared" si="100"/>
        <v>1</v>
      </c>
      <c r="C110" s="1626" t="str">
        <f t="shared" si="82"/>
        <v>生物資源の保全と創出</v>
      </c>
      <c r="D110" s="2059" t="e">
        <f t="shared" ref="D110:E112" si="101">IF(I$109=0,0,G110/I$109)</f>
        <v>#DIV/0!</v>
      </c>
      <c r="E110" s="1741" t="e">
        <f t="shared" si="101"/>
        <v>#DIV/0!</v>
      </c>
      <c r="F110"/>
      <c r="G110" s="1741" t="e">
        <f t="shared" si="83"/>
        <v>#DIV/0!</v>
      </c>
      <c r="H110" s="1741" t="e">
        <f t="shared" si="84"/>
        <v>#DIV/0!</v>
      </c>
      <c r="I110" s="1741"/>
      <c r="J110" s="1741"/>
      <c r="K110" s="1741">
        <f>IF(スコア表示!W110=0,0,1)</f>
        <v>1</v>
      </c>
      <c r="L110" s="1741">
        <f>IF(スコア表示!AA110=0,0,1)</f>
        <v>0</v>
      </c>
      <c r="M110" s="1741" t="e">
        <f t="shared" si="85"/>
        <v>#DIV/0!</v>
      </c>
      <c r="N110" s="1741" t="e">
        <f t="shared" si="80"/>
        <v>#DIV/0!</v>
      </c>
      <c r="O110"/>
      <c r="P110" s="1639">
        <f t="shared" si="76"/>
        <v>1</v>
      </c>
      <c r="Q110" s="1639" t="str">
        <f t="shared" si="77"/>
        <v xml:space="preserve"> Q3</v>
      </c>
      <c r="R110" s="1778" t="str">
        <f t="shared" si="86"/>
        <v>生物資源の保全と創出</v>
      </c>
      <c r="S110" s="1608">
        <f t="shared" si="87"/>
        <v>0.3</v>
      </c>
      <c r="T110" s="1608">
        <f t="shared" si="88"/>
        <v>0.3</v>
      </c>
      <c r="U110" s="1608">
        <f t="shared" si="89"/>
        <v>0.3</v>
      </c>
      <c r="V110" s="1608">
        <f t="shared" si="90"/>
        <v>0.3</v>
      </c>
      <c r="W110" s="1608">
        <f t="shared" si="91"/>
        <v>0.3</v>
      </c>
      <c r="X110" s="1608">
        <f t="shared" si="92"/>
        <v>0.3</v>
      </c>
      <c r="Y110" s="1608">
        <f t="shared" si="93"/>
        <v>0.3</v>
      </c>
      <c r="Z110" s="1644">
        <f t="shared" si="94"/>
        <v>0.3</v>
      </c>
      <c r="AA110" s="1608">
        <f t="shared" si="95"/>
        <v>0.3</v>
      </c>
      <c r="AB110" s="1608">
        <f t="shared" si="96"/>
        <v>0.3</v>
      </c>
      <c r="AC110" s="1657">
        <f t="shared" si="97"/>
        <v>0</v>
      </c>
      <c r="AD110" s="1608">
        <f t="shared" si="98"/>
        <v>0</v>
      </c>
      <c r="AE110" s="1608">
        <f t="shared" si="99"/>
        <v>0</v>
      </c>
      <c r="AF110"/>
      <c r="AG110" s="1639">
        <v>1</v>
      </c>
      <c r="AH110" s="1742" t="s">
        <v>360</v>
      </c>
      <c r="AI110" s="1785" t="s">
        <v>900</v>
      </c>
      <c r="AJ110" s="1608">
        <v>0.3</v>
      </c>
      <c r="AK110" s="1608">
        <v>0.3</v>
      </c>
      <c r="AL110" s="1608">
        <v>0.3</v>
      </c>
      <c r="AM110" s="1608">
        <v>0.3</v>
      </c>
      <c r="AN110" s="1608">
        <v>0.3</v>
      </c>
      <c r="AO110" s="1608">
        <v>0.3</v>
      </c>
      <c r="AP110" s="1608">
        <v>0.3</v>
      </c>
      <c r="AQ110" s="1644">
        <v>0.3</v>
      </c>
      <c r="AR110" s="1608">
        <v>0.3</v>
      </c>
      <c r="AS110" s="1709">
        <v>0.3</v>
      </c>
      <c r="AT110" s="2060">
        <v>0</v>
      </c>
      <c r="AU110" s="1709">
        <v>0</v>
      </c>
      <c r="AV110" s="1709">
        <v>0</v>
      </c>
      <c r="AW110"/>
      <c r="AX110" s="1639">
        <v>1</v>
      </c>
      <c r="AY110" s="1742" t="s">
        <v>360</v>
      </c>
      <c r="AZ110" s="1785" t="s">
        <v>900</v>
      </c>
      <c r="BA110" s="1709">
        <v>0.3</v>
      </c>
      <c r="BB110" s="1709">
        <v>0.3</v>
      </c>
      <c r="BC110" s="1709">
        <v>0.3</v>
      </c>
      <c r="BD110" s="1709">
        <v>0.3</v>
      </c>
      <c r="BE110" s="1709">
        <v>0.3</v>
      </c>
      <c r="BF110" s="1709">
        <v>0.3</v>
      </c>
      <c r="BG110" s="1709">
        <v>0.3</v>
      </c>
      <c r="BH110" s="2080">
        <v>0.3</v>
      </c>
      <c r="BI110" s="1709">
        <v>0.3</v>
      </c>
      <c r="BJ110" s="1709">
        <v>0.3</v>
      </c>
      <c r="BK110" s="2060"/>
      <c r="BL110" s="1709"/>
      <c r="BM110" s="1709"/>
      <c r="BN110"/>
      <c r="BO110" s="1639">
        <v>1</v>
      </c>
      <c r="BP110" s="1742" t="s">
        <v>360</v>
      </c>
      <c r="BQ110" s="1785" t="s">
        <v>900</v>
      </c>
      <c r="BR110" s="1709">
        <v>0.3</v>
      </c>
      <c r="BS110" s="1709">
        <v>0.3</v>
      </c>
      <c r="BT110" s="1709">
        <v>0.3</v>
      </c>
      <c r="BU110" s="1709">
        <v>0.3</v>
      </c>
      <c r="BV110" s="1709">
        <v>0.3</v>
      </c>
      <c r="BW110" s="1709">
        <v>0.3</v>
      </c>
      <c r="BX110" s="1709">
        <v>0.3</v>
      </c>
      <c r="BY110" s="2080">
        <v>0.3</v>
      </c>
      <c r="BZ110" s="1709">
        <v>0.3</v>
      </c>
      <c r="CA110" s="1709">
        <v>0.3</v>
      </c>
      <c r="CB110" s="2060"/>
      <c r="CC110" s="1709"/>
      <c r="CD110" s="1709"/>
      <c r="CE110"/>
    </row>
    <row r="111" spans="1:83" s="1603" customFormat="1">
      <c r="A111"/>
      <c r="B111" s="1595">
        <f t="shared" si="100"/>
        <v>2</v>
      </c>
      <c r="C111" s="1626" t="str">
        <f t="shared" si="82"/>
        <v>まちなみ・景観への配慮</v>
      </c>
      <c r="D111" s="2059" t="e">
        <f t="shared" si="101"/>
        <v>#DIV/0!</v>
      </c>
      <c r="E111" s="1741" t="e">
        <f t="shared" si="101"/>
        <v>#DIV/0!</v>
      </c>
      <c r="F111"/>
      <c r="G111" s="1741" t="e">
        <f t="shared" si="83"/>
        <v>#DIV/0!</v>
      </c>
      <c r="H111" s="1741" t="e">
        <f t="shared" si="84"/>
        <v>#DIV/0!</v>
      </c>
      <c r="I111" s="1741"/>
      <c r="J111" s="1741"/>
      <c r="K111" s="1741">
        <f>IF(スコア表示!W111=0,0,1)</f>
        <v>1</v>
      </c>
      <c r="L111" s="1741">
        <f>IF(スコア表示!AA111=0,0,1)</f>
        <v>0</v>
      </c>
      <c r="M111" s="1741" t="e">
        <f t="shared" si="85"/>
        <v>#DIV/0!</v>
      </c>
      <c r="N111" s="1741" t="e">
        <f t="shared" si="80"/>
        <v>#DIV/0!</v>
      </c>
      <c r="O111"/>
      <c r="P111" s="1639">
        <f t="shared" si="76"/>
        <v>2</v>
      </c>
      <c r="Q111" s="1639" t="str">
        <f t="shared" si="77"/>
        <v xml:space="preserve"> Q3</v>
      </c>
      <c r="R111" s="1778" t="str">
        <f t="shared" si="86"/>
        <v>まちなみ・景観への配慮</v>
      </c>
      <c r="S111" s="1608">
        <f t="shared" si="87"/>
        <v>0.4</v>
      </c>
      <c r="T111" s="1608">
        <f t="shared" si="88"/>
        <v>0.4</v>
      </c>
      <c r="U111" s="1608">
        <f t="shared" si="89"/>
        <v>0.4</v>
      </c>
      <c r="V111" s="1608">
        <f t="shared" si="90"/>
        <v>0.4</v>
      </c>
      <c r="W111" s="1608">
        <f t="shared" si="91"/>
        <v>0.4</v>
      </c>
      <c r="X111" s="1608">
        <f t="shared" si="92"/>
        <v>0.4</v>
      </c>
      <c r="Y111" s="1608">
        <f t="shared" si="93"/>
        <v>0.4</v>
      </c>
      <c r="Z111" s="1644">
        <f t="shared" si="94"/>
        <v>0.4</v>
      </c>
      <c r="AA111" s="1608">
        <f t="shared" si="95"/>
        <v>0.4</v>
      </c>
      <c r="AB111" s="1608">
        <f t="shared" si="96"/>
        <v>0.4</v>
      </c>
      <c r="AC111" s="1657">
        <f t="shared" si="97"/>
        <v>0</v>
      </c>
      <c r="AD111" s="1608">
        <f t="shared" si="98"/>
        <v>0</v>
      </c>
      <c r="AE111" s="1608">
        <f t="shared" si="99"/>
        <v>0</v>
      </c>
      <c r="AF111"/>
      <c r="AG111" s="1639">
        <v>2</v>
      </c>
      <c r="AH111" s="1742" t="s">
        <v>360</v>
      </c>
      <c r="AI111" s="1785" t="s">
        <v>1488</v>
      </c>
      <c r="AJ111" s="1608">
        <v>0.4</v>
      </c>
      <c r="AK111" s="1608">
        <v>0.4</v>
      </c>
      <c r="AL111" s="1608">
        <v>0.4</v>
      </c>
      <c r="AM111" s="1608">
        <v>0.4</v>
      </c>
      <c r="AN111" s="1608">
        <v>0.4</v>
      </c>
      <c r="AO111" s="1608">
        <v>0.4</v>
      </c>
      <c r="AP111" s="1608">
        <v>0.4</v>
      </c>
      <c r="AQ111" s="1644">
        <v>0.4</v>
      </c>
      <c r="AR111" s="1608">
        <v>0.4</v>
      </c>
      <c r="AS111" s="1709">
        <v>0.4</v>
      </c>
      <c r="AT111" s="2060">
        <v>0</v>
      </c>
      <c r="AU111" s="1709">
        <v>0</v>
      </c>
      <c r="AV111" s="1709">
        <v>0</v>
      </c>
      <c r="AW111"/>
      <c r="AX111" s="1639">
        <v>2</v>
      </c>
      <c r="AY111" s="1742" t="s">
        <v>360</v>
      </c>
      <c r="AZ111" s="1785" t="s">
        <v>1489</v>
      </c>
      <c r="BA111" s="1709">
        <v>0.4</v>
      </c>
      <c r="BB111" s="1709">
        <v>0.4</v>
      </c>
      <c r="BC111" s="1709">
        <v>0.4</v>
      </c>
      <c r="BD111" s="1709">
        <v>0.4</v>
      </c>
      <c r="BE111" s="1709">
        <v>0.4</v>
      </c>
      <c r="BF111" s="1709">
        <v>0.4</v>
      </c>
      <c r="BG111" s="1709">
        <v>0.4</v>
      </c>
      <c r="BH111" s="2080">
        <v>0.4</v>
      </c>
      <c r="BI111" s="1709">
        <v>0.4</v>
      </c>
      <c r="BJ111" s="1709">
        <v>0.4</v>
      </c>
      <c r="BK111" s="2060"/>
      <c r="BL111" s="1709"/>
      <c r="BM111" s="1709"/>
      <c r="BN111"/>
      <c r="BO111" s="1639">
        <v>2</v>
      </c>
      <c r="BP111" s="1742" t="s">
        <v>360</v>
      </c>
      <c r="BQ111" s="1785" t="s">
        <v>1489</v>
      </c>
      <c r="BR111" s="1709">
        <v>0.4</v>
      </c>
      <c r="BS111" s="1709">
        <v>0.4</v>
      </c>
      <c r="BT111" s="1709">
        <v>0.4</v>
      </c>
      <c r="BU111" s="1709">
        <v>0.4</v>
      </c>
      <c r="BV111" s="1709">
        <v>0.4</v>
      </c>
      <c r="BW111" s="1709">
        <v>0.4</v>
      </c>
      <c r="BX111" s="1709">
        <v>0.4</v>
      </c>
      <c r="BY111" s="2080">
        <v>0.4</v>
      </c>
      <c r="BZ111" s="1709">
        <v>0.4</v>
      </c>
      <c r="CA111" s="1709">
        <v>0.4</v>
      </c>
      <c r="CB111" s="2060"/>
      <c r="CC111" s="1709"/>
      <c r="CD111" s="1709"/>
      <c r="CE111"/>
    </row>
    <row r="112" spans="1:83" s="1603" customFormat="1">
      <c r="A112"/>
      <c r="B112" s="1595">
        <f t="shared" si="100"/>
        <v>3</v>
      </c>
      <c r="C112" s="1626" t="str">
        <f t="shared" si="82"/>
        <v>地域性・アメニティへの配慮</v>
      </c>
      <c r="D112" s="2059" t="e">
        <f t="shared" si="101"/>
        <v>#DIV/0!</v>
      </c>
      <c r="E112" s="1741" t="e">
        <f t="shared" si="101"/>
        <v>#DIV/0!</v>
      </c>
      <c r="F112"/>
      <c r="G112" s="1741" t="e">
        <f t="shared" si="83"/>
        <v>#DIV/0!</v>
      </c>
      <c r="H112" s="1741" t="e">
        <f t="shared" si="84"/>
        <v>#DIV/0!</v>
      </c>
      <c r="I112" s="1723" t="e">
        <f>SUM(G113:G114)</f>
        <v>#DIV/0!</v>
      </c>
      <c r="J112" s="1723" t="e">
        <f>SUM(H113:H114)</f>
        <v>#DIV/0!</v>
      </c>
      <c r="K112" s="1741" t="e">
        <f>IF(スコア表示!W112=0,0,1)</f>
        <v>#DIV/0!</v>
      </c>
      <c r="L112" s="1741" t="e">
        <f>IF(スコア表示!AA112=0,0,1)</f>
        <v>#DIV/0!</v>
      </c>
      <c r="M112" s="1741" t="e">
        <f t="shared" si="85"/>
        <v>#DIV/0!</v>
      </c>
      <c r="N112" s="1741" t="e">
        <f t="shared" si="80"/>
        <v>#DIV/0!</v>
      </c>
      <c r="O112"/>
      <c r="P112" s="1639">
        <f t="shared" si="76"/>
        <v>3</v>
      </c>
      <c r="Q112" s="1639" t="str">
        <f t="shared" si="77"/>
        <v xml:space="preserve"> Q3</v>
      </c>
      <c r="R112" s="1778" t="str">
        <f t="shared" si="86"/>
        <v>地域性・アメニティへの配慮</v>
      </c>
      <c r="S112" s="1608">
        <f t="shared" si="87"/>
        <v>0.3</v>
      </c>
      <c r="T112" s="1608">
        <f t="shared" si="88"/>
        <v>0.3</v>
      </c>
      <c r="U112" s="1608">
        <f t="shared" si="89"/>
        <v>0.3</v>
      </c>
      <c r="V112" s="1608">
        <f t="shared" si="90"/>
        <v>0.3</v>
      </c>
      <c r="W112" s="1608">
        <f t="shared" si="91"/>
        <v>0.3</v>
      </c>
      <c r="X112" s="1608">
        <f t="shared" si="92"/>
        <v>0.3</v>
      </c>
      <c r="Y112" s="1608">
        <f t="shared" si="93"/>
        <v>0.3</v>
      </c>
      <c r="Z112" s="1644">
        <f t="shared" si="94"/>
        <v>0.3</v>
      </c>
      <c r="AA112" s="1608">
        <f t="shared" si="95"/>
        <v>0.3</v>
      </c>
      <c r="AB112" s="1608">
        <f t="shared" si="96"/>
        <v>0.3</v>
      </c>
      <c r="AC112" s="1657">
        <f t="shared" si="97"/>
        <v>0</v>
      </c>
      <c r="AD112" s="1608">
        <f t="shared" si="98"/>
        <v>0</v>
      </c>
      <c r="AE112" s="1608">
        <f t="shared" si="99"/>
        <v>0</v>
      </c>
      <c r="AF112"/>
      <c r="AG112" s="1639">
        <v>3</v>
      </c>
      <c r="AH112" s="1742" t="s">
        <v>360</v>
      </c>
      <c r="AI112" s="1785" t="s">
        <v>1645</v>
      </c>
      <c r="AJ112" s="1608">
        <v>0.3</v>
      </c>
      <c r="AK112" s="1608">
        <v>0.3</v>
      </c>
      <c r="AL112" s="1608">
        <v>0.3</v>
      </c>
      <c r="AM112" s="1608">
        <v>0.3</v>
      </c>
      <c r="AN112" s="1608">
        <v>0.3</v>
      </c>
      <c r="AO112" s="1608">
        <v>0.3</v>
      </c>
      <c r="AP112" s="1608">
        <v>0.3</v>
      </c>
      <c r="AQ112" s="1644">
        <v>0.3</v>
      </c>
      <c r="AR112" s="1608">
        <v>0.3</v>
      </c>
      <c r="AS112" s="1709">
        <v>0.3</v>
      </c>
      <c r="AT112" s="2060">
        <v>0</v>
      </c>
      <c r="AU112" s="1709">
        <v>0</v>
      </c>
      <c r="AV112" s="1709">
        <v>0</v>
      </c>
      <c r="AW112"/>
      <c r="AX112" s="1639">
        <v>3</v>
      </c>
      <c r="AY112" s="1742" t="s">
        <v>360</v>
      </c>
      <c r="AZ112" s="1785" t="s">
        <v>1490</v>
      </c>
      <c r="BA112" s="1709">
        <v>0.3</v>
      </c>
      <c r="BB112" s="1709">
        <v>0.3</v>
      </c>
      <c r="BC112" s="1709">
        <v>0.3</v>
      </c>
      <c r="BD112" s="1709">
        <v>0.3</v>
      </c>
      <c r="BE112" s="1709">
        <v>0.3</v>
      </c>
      <c r="BF112" s="1709">
        <v>0.3</v>
      </c>
      <c r="BG112" s="1709">
        <v>0.3</v>
      </c>
      <c r="BH112" s="2080">
        <v>0.3</v>
      </c>
      <c r="BI112" s="1709">
        <v>0.3</v>
      </c>
      <c r="BJ112" s="1709">
        <v>0.3</v>
      </c>
      <c r="BK112" s="2060"/>
      <c r="BL112" s="1709"/>
      <c r="BM112" s="1709"/>
      <c r="BN112"/>
      <c r="BO112" s="1639">
        <v>3</v>
      </c>
      <c r="BP112" s="1742" t="s">
        <v>360</v>
      </c>
      <c r="BQ112" s="1785" t="s">
        <v>1490</v>
      </c>
      <c r="BR112" s="1709">
        <v>0.3</v>
      </c>
      <c r="BS112" s="1709">
        <v>0.3</v>
      </c>
      <c r="BT112" s="1709">
        <v>0.3</v>
      </c>
      <c r="BU112" s="1709">
        <v>0.3</v>
      </c>
      <c r="BV112" s="1709">
        <v>0.3</v>
      </c>
      <c r="BW112" s="1709">
        <v>0.3</v>
      </c>
      <c r="BX112" s="1709">
        <v>0.3</v>
      </c>
      <c r="BY112" s="2080">
        <v>0.3</v>
      </c>
      <c r="BZ112" s="1709">
        <v>0.3</v>
      </c>
      <c r="CA112" s="1709">
        <v>0.3</v>
      </c>
      <c r="CB112" s="2060"/>
      <c r="CC112" s="1709"/>
      <c r="CD112" s="1709"/>
      <c r="CE112"/>
    </row>
    <row r="113" spans="1:83" s="1603" customFormat="1">
      <c r="A113"/>
      <c r="B113" s="1595" t="str">
        <f t="shared" si="100"/>
        <v>3.1</v>
      </c>
      <c r="C113" s="1658" t="str">
        <f t="shared" si="82"/>
        <v>地域性への配慮，快適性の向上</v>
      </c>
      <c r="D113" s="1714" t="e">
        <f>IF(I$112=0,0,G113/I$112)</f>
        <v>#DIV/0!</v>
      </c>
      <c r="E113" s="1689" t="e">
        <f>IF(J$112=0,0,H113/J$112)</f>
        <v>#DIV/0!</v>
      </c>
      <c r="F113"/>
      <c r="G113" s="1689" t="e">
        <f t="shared" si="83"/>
        <v>#DIV/0!</v>
      </c>
      <c r="H113" s="1689" t="e">
        <f t="shared" si="84"/>
        <v>#DIV/0!</v>
      </c>
      <c r="I113" s="514"/>
      <c r="J113" s="1689"/>
      <c r="K113" s="1689">
        <f>IF(スコア表示!W113=0,0,1)</f>
        <v>1</v>
      </c>
      <c r="L113" s="1689">
        <f>IF(スコア表示!AA113=0,0,1)</f>
        <v>0</v>
      </c>
      <c r="M113" s="1689" t="e">
        <f t="shared" si="85"/>
        <v>#DIV/0!</v>
      </c>
      <c r="N113" s="1689" t="e">
        <f t="shared" si="80"/>
        <v>#DIV/0!</v>
      </c>
      <c r="O113"/>
      <c r="P113" s="1645" t="str">
        <f t="shared" si="76"/>
        <v>3.1</v>
      </c>
      <c r="Q113" s="1645" t="str">
        <f t="shared" si="77"/>
        <v xml:space="preserve"> Q3 3</v>
      </c>
      <c r="R113" s="1735" t="str">
        <f t="shared" si="86"/>
        <v>地域性への配慮，快適性の向上</v>
      </c>
      <c r="S113" s="1659">
        <f t="shared" si="87"/>
        <v>0.5</v>
      </c>
      <c r="T113" s="1659">
        <f t="shared" si="88"/>
        <v>0.5</v>
      </c>
      <c r="U113" s="1659">
        <f t="shared" si="89"/>
        <v>0.5</v>
      </c>
      <c r="V113" s="1659">
        <f t="shared" si="90"/>
        <v>0.5</v>
      </c>
      <c r="W113" s="1659">
        <f t="shared" si="91"/>
        <v>0.5</v>
      </c>
      <c r="X113" s="1659">
        <f t="shared" si="92"/>
        <v>0.5</v>
      </c>
      <c r="Y113" s="1659">
        <f t="shared" si="93"/>
        <v>0.5</v>
      </c>
      <c r="Z113" s="1659">
        <f t="shared" si="94"/>
        <v>0.5</v>
      </c>
      <c r="AA113" s="1659">
        <f t="shared" si="95"/>
        <v>0.5</v>
      </c>
      <c r="AB113" s="1659">
        <f t="shared" si="96"/>
        <v>0.5</v>
      </c>
      <c r="AC113" s="1660">
        <f t="shared" si="97"/>
        <v>0</v>
      </c>
      <c r="AD113" s="1659">
        <f t="shared" si="98"/>
        <v>0</v>
      </c>
      <c r="AE113" s="1659">
        <f t="shared" si="99"/>
        <v>0</v>
      </c>
      <c r="AF113"/>
      <c r="AG113" s="1645" t="s">
        <v>1491</v>
      </c>
      <c r="AH113" s="1691" t="s">
        <v>361</v>
      </c>
      <c r="AI113" s="2083" t="s">
        <v>1826</v>
      </c>
      <c r="AJ113" s="1659">
        <v>0.5</v>
      </c>
      <c r="AK113" s="1659">
        <v>0.5</v>
      </c>
      <c r="AL113" s="1659">
        <v>0.5</v>
      </c>
      <c r="AM113" s="1659">
        <v>0.5</v>
      </c>
      <c r="AN113" s="1659">
        <v>0.5</v>
      </c>
      <c r="AO113" s="1659">
        <v>0.5</v>
      </c>
      <c r="AP113" s="1659">
        <v>0.5</v>
      </c>
      <c r="AQ113" s="1659">
        <v>0.5</v>
      </c>
      <c r="AR113" s="1659">
        <v>0.5</v>
      </c>
      <c r="AS113" s="2084">
        <v>0.5</v>
      </c>
      <c r="AT113" s="2085">
        <v>0</v>
      </c>
      <c r="AU113" s="2084">
        <v>0</v>
      </c>
      <c r="AV113" s="2084">
        <v>0</v>
      </c>
      <c r="AW113"/>
      <c r="AX113" s="1645" t="s">
        <v>1492</v>
      </c>
      <c r="AY113" s="1691" t="s">
        <v>361</v>
      </c>
      <c r="AZ113" s="2083" t="s">
        <v>1826</v>
      </c>
      <c r="BA113" s="2084">
        <v>0.5</v>
      </c>
      <c r="BB113" s="2084">
        <v>0.5</v>
      </c>
      <c r="BC113" s="2084">
        <v>0.5</v>
      </c>
      <c r="BD113" s="2084">
        <v>0.5</v>
      </c>
      <c r="BE113" s="2084">
        <v>0.5</v>
      </c>
      <c r="BF113" s="2084">
        <v>0.5</v>
      </c>
      <c r="BG113" s="2084">
        <v>0.5</v>
      </c>
      <c r="BH113" s="2084">
        <v>0.5</v>
      </c>
      <c r="BI113" s="2084">
        <v>0.5</v>
      </c>
      <c r="BJ113" s="2084">
        <v>0.5</v>
      </c>
      <c r="BK113" s="2085"/>
      <c r="BL113" s="2084"/>
      <c r="BM113" s="2084"/>
      <c r="BN113"/>
      <c r="BO113" s="1645" t="s">
        <v>1492</v>
      </c>
      <c r="BP113" s="1691" t="s">
        <v>361</v>
      </c>
      <c r="BQ113" s="2083" t="s">
        <v>1826</v>
      </c>
      <c r="BR113" s="2084">
        <v>0.5</v>
      </c>
      <c r="BS113" s="2084">
        <v>0.5</v>
      </c>
      <c r="BT113" s="2084">
        <v>0.5</v>
      </c>
      <c r="BU113" s="2084">
        <v>0.5</v>
      </c>
      <c r="BV113" s="2084">
        <v>0.5</v>
      </c>
      <c r="BW113" s="2084">
        <v>0.5</v>
      </c>
      <c r="BX113" s="2084">
        <v>0.5</v>
      </c>
      <c r="BY113" s="2084">
        <v>0.5</v>
      </c>
      <c r="BZ113" s="2084">
        <v>0.5</v>
      </c>
      <c r="CA113" s="2084">
        <v>0.5</v>
      </c>
      <c r="CB113" s="2085"/>
      <c r="CC113" s="2084"/>
      <c r="CD113" s="2084"/>
      <c r="CE113"/>
    </row>
    <row r="114" spans="1:83" s="1603" customFormat="1">
      <c r="A114"/>
      <c r="B114" s="1595" t="str">
        <f t="shared" si="100"/>
        <v>3.2</v>
      </c>
      <c r="C114" s="1658" t="str">
        <f t="shared" si="82"/>
        <v>敷地内温熱環境の向上</v>
      </c>
      <c r="D114" s="1714" t="e">
        <f>IF(I$112=0,0,G114/I$112)</f>
        <v>#DIV/0!</v>
      </c>
      <c r="E114" s="1689" t="e">
        <f>IF(J$112=0,0,H114/J$112)</f>
        <v>#DIV/0!</v>
      </c>
      <c r="F114"/>
      <c r="G114" s="1689" t="e">
        <f t="shared" si="83"/>
        <v>#DIV/0!</v>
      </c>
      <c r="H114" s="1689" t="e">
        <f t="shared" si="84"/>
        <v>#DIV/0!</v>
      </c>
      <c r="I114" s="514"/>
      <c r="J114" s="1689"/>
      <c r="K114" s="1689">
        <f>IF(スコア表示!W114=0,0,1)</f>
        <v>1</v>
      </c>
      <c r="L114" s="1689">
        <f>IF(スコア表示!AA114=0,0,1)</f>
        <v>0</v>
      </c>
      <c r="M114" s="1689" t="e">
        <f t="shared" si="85"/>
        <v>#DIV/0!</v>
      </c>
      <c r="N114" s="1689" t="e">
        <f t="shared" si="80"/>
        <v>#DIV/0!</v>
      </c>
      <c r="O114"/>
      <c r="P114" s="1645" t="str">
        <f t="shared" si="76"/>
        <v>3.2</v>
      </c>
      <c r="Q114" s="1645" t="str">
        <f t="shared" si="77"/>
        <v xml:space="preserve"> Q3 3</v>
      </c>
      <c r="R114" s="1735" t="str">
        <f t="shared" si="86"/>
        <v>敷地内温熱環境の向上</v>
      </c>
      <c r="S114" s="1659">
        <f t="shared" si="87"/>
        <v>0.5</v>
      </c>
      <c r="T114" s="1659">
        <f t="shared" si="88"/>
        <v>0.5</v>
      </c>
      <c r="U114" s="1659">
        <f t="shared" si="89"/>
        <v>0.5</v>
      </c>
      <c r="V114" s="1659">
        <f t="shared" si="90"/>
        <v>0.5</v>
      </c>
      <c r="W114" s="1659">
        <f t="shared" si="91"/>
        <v>0.5</v>
      </c>
      <c r="X114" s="1659">
        <f t="shared" si="92"/>
        <v>0.5</v>
      </c>
      <c r="Y114" s="1659">
        <f t="shared" si="93"/>
        <v>0.5</v>
      </c>
      <c r="Z114" s="1659">
        <f t="shared" si="94"/>
        <v>0.5</v>
      </c>
      <c r="AA114" s="1659">
        <f t="shared" si="95"/>
        <v>0.5</v>
      </c>
      <c r="AB114" s="1659">
        <f t="shared" si="96"/>
        <v>0.5</v>
      </c>
      <c r="AC114" s="1660">
        <f t="shared" si="97"/>
        <v>0</v>
      </c>
      <c r="AD114" s="1659">
        <f t="shared" si="98"/>
        <v>0</v>
      </c>
      <c r="AE114" s="1659">
        <f t="shared" si="99"/>
        <v>0</v>
      </c>
      <c r="AF114"/>
      <c r="AG114" s="1645" t="s">
        <v>1493</v>
      </c>
      <c r="AH114" s="1691" t="s">
        <v>361</v>
      </c>
      <c r="AI114" s="2083" t="s">
        <v>1495</v>
      </c>
      <c r="AJ114" s="1659">
        <v>0.5</v>
      </c>
      <c r="AK114" s="1659">
        <v>0.5</v>
      </c>
      <c r="AL114" s="1659">
        <v>0.5</v>
      </c>
      <c r="AM114" s="1659">
        <v>0.5</v>
      </c>
      <c r="AN114" s="1659">
        <v>0.5</v>
      </c>
      <c r="AO114" s="1659">
        <v>0.5</v>
      </c>
      <c r="AP114" s="1659">
        <v>0.5</v>
      </c>
      <c r="AQ114" s="1659">
        <v>0.5</v>
      </c>
      <c r="AR114" s="1659">
        <v>0.5</v>
      </c>
      <c r="AS114" s="2084">
        <v>0.5</v>
      </c>
      <c r="AT114" s="2085">
        <v>0</v>
      </c>
      <c r="AU114" s="2084">
        <v>0</v>
      </c>
      <c r="AV114" s="2084">
        <v>0</v>
      </c>
      <c r="AW114"/>
      <c r="AX114" s="1645" t="s">
        <v>1494</v>
      </c>
      <c r="AY114" s="1691" t="s">
        <v>361</v>
      </c>
      <c r="AZ114" s="2083" t="s">
        <v>1496</v>
      </c>
      <c r="BA114" s="2084">
        <v>0.5</v>
      </c>
      <c r="BB114" s="2084">
        <v>0.5</v>
      </c>
      <c r="BC114" s="2084">
        <v>0.5</v>
      </c>
      <c r="BD114" s="2084">
        <v>0.5</v>
      </c>
      <c r="BE114" s="2084">
        <v>0.5</v>
      </c>
      <c r="BF114" s="2084">
        <v>0.5</v>
      </c>
      <c r="BG114" s="2084">
        <v>0.5</v>
      </c>
      <c r="BH114" s="2084">
        <v>0.5</v>
      </c>
      <c r="BI114" s="2084">
        <v>0.5</v>
      </c>
      <c r="BJ114" s="2084">
        <v>0.5</v>
      </c>
      <c r="BK114" s="2085"/>
      <c r="BL114" s="2084"/>
      <c r="BM114" s="2084"/>
      <c r="BN114"/>
      <c r="BO114" s="1645" t="s">
        <v>1494</v>
      </c>
      <c r="BP114" s="1691" t="s">
        <v>361</v>
      </c>
      <c r="BQ114" s="2083" t="s">
        <v>1496</v>
      </c>
      <c r="BR114" s="2084">
        <v>0.5</v>
      </c>
      <c r="BS114" s="2084">
        <v>0.5</v>
      </c>
      <c r="BT114" s="2084">
        <v>0.5</v>
      </c>
      <c r="BU114" s="2084">
        <v>0.5</v>
      </c>
      <c r="BV114" s="2084">
        <v>0.5</v>
      </c>
      <c r="BW114" s="2084">
        <v>0.5</v>
      </c>
      <c r="BX114" s="2084">
        <v>0.5</v>
      </c>
      <c r="BY114" s="2084">
        <v>0.5</v>
      </c>
      <c r="BZ114" s="2084">
        <v>0.5</v>
      </c>
      <c r="CA114" s="2084">
        <v>0.5</v>
      </c>
      <c r="CB114" s="2085"/>
      <c r="CC114" s="2084"/>
      <c r="CD114" s="2084"/>
      <c r="CE114"/>
    </row>
    <row r="115" spans="1:83" s="1603" customFormat="1" hidden="1">
      <c r="A115"/>
      <c r="B115" s="1595">
        <f t="shared" si="100"/>
        <v>0</v>
      </c>
      <c r="C115" s="1662">
        <f t="shared" si="82"/>
        <v>0</v>
      </c>
      <c r="D115" s="2059"/>
      <c r="E115" s="1741"/>
      <c r="F115"/>
      <c r="G115" s="1741" t="e">
        <f t="shared" si="83"/>
        <v>#DIV/0!</v>
      </c>
      <c r="H115" s="1741">
        <f t="shared" si="84"/>
        <v>0</v>
      </c>
      <c r="I115" s="1741"/>
      <c r="J115" s="1741"/>
      <c r="K115" s="1741">
        <f>IF(スコア表示!W115=0,0,1)</f>
        <v>0</v>
      </c>
      <c r="L115" s="1741">
        <f>IF(スコア表示!AA115=0,0,1)</f>
        <v>0</v>
      </c>
      <c r="M115" s="1741" t="e">
        <f t="shared" si="85"/>
        <v>#DIV/0!</v>
      </c>
      <c r="N115" s="1741"/>
      <c r="O115"/>
      <c r="P115" s="1639">
        <f t="shared" si="76"/>
        <v>0</v>
      </c>
      <c r="Q115" s="1639" t="str">
        <f t="shared" si="77"/>
        <v xml:space="preserve"> Q</v>
      </c>
      <c r="R115" s="1778">
        <f t="shared" si="86"/>
        <v>0</v>
      </c>
      <c r="S115" s="1608">
        <f t="shared" si="87"/>
        <v>0</v>
      </c>
      <c r="T115" s="1608">
        <f t="shared" si="88"/>
        <v>0</v>
      </c>
      <c r="U115" s="1608">
        <f t="shared" si="89"/>
        <v>0</v>
      </c>
      <c r="V115" s="1608">
        <f t="shared" si="90"/>
        <v>0</v>
      </c>
      <c r="W115" s="1608">
        <f t="shared" si="91"/>
        <v>0</v>
      </c>
      <c r="X115" s="1608">
        <f t="shared" si="92"/>
        <v>0</v>
      </c>
      <c r="Y115" s="1608">
        <f t="shared" si="93"/>
        <v>0</v>
      </c>
      <c r="Z115" s="1644">
        <f t="shared" si="94"/>
        <v>0</v>
      </c>
      <c r="AA115" s="1608">
        <f t="shared" si="95"/>
        <v>0</v>
      </c>
      <c r="AB115" s="1608">
        <f t="shared" si="96"/>
        <v>0</v>
      </c>
      <c r="AC115" s="1657">
        <f t="shared" si="97"/>
        <v>0</v>
      </c>
      <c r="AD115" s="1608">
        <f t="shared" si="98"/>
        <v>0</v>
      </c>
      <c r="AE115" s="1608">
        <f t="shared" si="99"/>
        <v>0</v>
      </c>
      <c r="AF115"/>
      <c r="AG115" s="1639"/>
      <c r="AH115" s="1742" t="s">
        <v>270</v>
      </c>
      <c r="AI115" s="1785"/>
      <c r="AJ115" s="1709">
        <v>0</v>
      </c>
      <c r="AK115" s="1709">
        <v>0</v>
      </c>
      <c r="AL115" s="1709">
        <v>0</v>
      </c>
      <c r="AM115" s="1709">
        <v>0</v>
      </c>
      <c r="AN115" s="1709">
        <v>0</v>
      </c>
      <c r="AO115" s="1709">
        <v>0</v>
      </c>
      <c r="AP115" s="1709">
        <v>0</v>
      </c>
      <c r="AQ115" s="2080">
        <v>0</v>
      </c>
      <c r="AR115" s="1709">
        <v>0</v>
      </c>
      <c r="AS115" s="1709">
        <v>0</v>
      </c>
      <c r="AT115" s="2060">
        <v>0</v>
      </c>
      <c r="AU115" s="1709">
        <v>0</v>
      </c>
      <c r="AV115" s="1709">
        <v>0</v>
      </c>
      <c r="AW115"/>
      <c r="AX115" s="1639"/>
      <c r="AY115" s="1742" t="s">
        <v>270</v>
      </c>
      <c r="AZ115" s="1785"/>
      <c r="BA115" s="1709"/>
      <c r="BB115" s="1709"/>
      <c r="BC115" s="1709"/>
      <c r="BD115" s="1709"/>
      <c r="BE115" s="1709"/>
      <c r="BF115" s="1709"/>
      <c r="BG115" s="1709"/>
      <c r="BH115" s="2080"/>
      <c r="BI115" s="1709"/>
      <c r="BJ115" s="1709"/>
      <c r="BK115" s="2060"/>
      <c r="BL115" s="1709"/>
      <c r="BM115" s="1709"/>
      <c r="BN115"/>
      <c r="BO115" s="1639"/>
      <c r="BP115" s="1742" t="s">
        <v>270</v>
      </c>
      <c r="BQ115" s="1785"/>
      <c r="BR115" s="1709"/>
      <c r="BS115" s="1709"/>
      <c r="BT115" s="1709"/>
      <c r="BU115" s="1709"/>
      <c r="BV115" s="1709"/>
      <c r="BW115" s="1709"/>
      <c r="BX115" s="1709"/>
      <c r="BY115" s="2080"/>
      <c r="BZ115" s="1709"/>
      <c r="CA115" s="1709"/>
      <c r="CB115" s="2060"/>
      <c r="CC115" s="1709"/>
      <c r="CD115" s="1709"/>
      <c r="CE115"/>
    </row>
    <row r="116" spans="1:83" s="1603" customFormat="1" ht="14.25">
      <c r="A116"/>
      <c r="B116" s="2086" t="str">
        <f t="shared" si="100"/>
        <v>LR</v>
      </c>
      <c r="C116" s="1585" t="str">
        <f t="shared" si="82"/>
        <v>建築物の環境負荷低減性</v>
      </c>
      <c r="D116" s="2044"/>
      <c r="E116" s="2045"/>
      <c r="F116"/>
      <c r="G116" s="2045" t="e">
        <f t="shared" si="83"/>
        <v>#VALUE!</v>
      </c>
      <c r="H116" s="2045" t="e">
        <f t="shared" si="84"/>
        <v>#DIV/0!</v>
      </c>
      <c r="I116" s="2045" t="e">
        <f>G117+G140+G159</f>
        <v>#VALUE!</v>
      </c>
      <c r="J116" s="2045" t="e">
        <f>H117+H140+H159</f>
        <v>#DIV/0!</v>
      </c>
      <c r="K116" s="2045" t="e">
        <f>IF(スコア表示!W116=0,0,1)</f>
        <v>#VALUE!</v>
      </c>
      <c r="L116" s="2045">
        <f>IF(スコア表示!AA116=0,0,1)</f>
        <v>0</v>
      </c>
      <c r="M116" s="2045" t="e">
        <f t="shared" si="85"/>
        <v>#DIV/0!</v>
      </c>
      <c r="N116" s="2045" t="e">
        <f t="shared" ref="N116:N151" si="102">(AC$7*AC116)+(AD$7*AD116)+(AE$7*AE116)</f>
        <v>#DIV/0!</v>
      </c>
      <c r="O116"/>
      <c r="P116" s="2046" t="str">
        <f t="shared" ref="P116:P151" si="103">IF($P$3=1,AX116,BO116)</f>
        <v>LR</v>
      </c>
      <c r="Q116" s="2046" t="str">
        <f t="shared" si="77"/>
        <v xml:space="preserve"> </v>
      </c>
      <c r="R116" s="2087" t="str">
        <f t="shared" si="86"/>
        <v>建築物の環境負荷低減性</v>
      </c>
      <c r="S116" s="1667">
        <f t="shared" si="87"/>
        <v>0</v>
      </c>
      <c r="T116" s="1667">
        <f t="shared" si="88"/>
        <v>0</v>
      </c>
      <c r="U116" s="1667">
        <f t="shared" si="89"/>
        <v>0</v>
      </c>
      <c r="V116" s="1667">
        <f t="shared" si="90"/>
        <v>0</v>
      </c>
      <c r="W116" s="1667">
        <f t="shared" si="91"/>
        <v>0</v>
      </c>
      <c r="X116" s="1667">
        <f t="shared" si="92"/>
        <v>0</v>
      </c>
      <c r="Y116" s="1667">
        <f t="shared" si="93"/>
        <v>0</v>
      </c>
      <c r="Z116" s="1668">
        <f t="shared" si="94"/>
        <v>0</v>
      </c>
      <c r="AA116" s="1667">
        <f t="shared" si="95"/>
        <v>0</v>
      </c>
      <c r="AB116" s="1667">
        <f t="shared" si="96"/>
        <v>0</v>
      </c>
      <c r="AC116" s="1669">
        <f t="shared" si="97"/>
        <v>0</v>
      </c>
      <c r="AD116" s="1670">
        <f t="shared" si="98"/>
        <v>0</v>
      </c>
      <c r="AE116" s="1670">
        <f t="shared" si="99"/>
        <v>0</v>
      </c>
      <c r="AF116"/>
      <c r="AG116" s="2046" t="s">
        <v>1646</v>
      </c>
      <c r="AH116" s="2042" t="s">
        <v>419</v>
      </c>
      <c r="AI116" s="2043" t="s">
        <v>420</v>
      </c>
      <c r="AJ116" s="2048">
        <v>0</v>
      </c>
      <c r="AK116" s="2048">
        <v>0</v>
      </c>
      <c r="AL116" s="2048">
        <v>0</v>
      </c>
      <c r="AM116" s="2048">
        <v>0</v>
      </c>
      <c r="AN116" s="2048">
        <v>0</v>
      </c>
      <c r="AO116" s="2048">
        <v>0</v>
      </c>
      <c r="AP116" s="2048">
        <v>0</v>
      </c>
      <c r="AQ116" s="2049">
        <v>0</v>
      </c>
      <c r="AR116" s="2048">
        <v>0</v>
      </c>
      <c r="AS116" s="2048">
        <v>0</v>
      </c>
      <c r="AT116" s="2050">
        <v>0</v>
      </c>
      <c r="AU116" s="2051">
        <v>0</v>
      </c>
      <c r="AV116" s="2051">
        <v>0</v>
      </c>
      <c r="AW116"/>
      <c r="AX116" s="2046" t="s">
        <v>1497</v>
      </c>
      <c r="AY116" s="2042" t="s">
        <v>419</v>
      </c>
      <c r="AZ116" s="2043" t="s">
        <v>420</v>
      </c>
      <c r="BA116" s="2048"/>
      <c r="BB116" s="2048"/>
      <c r="BC116" s="2048"/>
      <c r="BD116" s="2048"/>
      <c r="BE116" s="2048"/>
      <c r="BF116" s="2048"/>
      <c r="BG116" s="2048"/>
      <c r="BH116" s="2049"/>
      <c r="BI116" s="2048"/>
      <c r="BJ116" s="2048"/>
      <c r="BK116" s="2050"/>
      <c r="BL116" s="2051"/>
      <c r="BM116" s="2051"/>
      <c r="BN116"/>
      <c r="BO116" s="2046" t="s">
        <v>1497</v>
      </c>
      <c r="BP116" s="2042" t="s">
        <v>419</v>
      </c>
      <c r="BQ116" s="2043" t="s">
        <v>420</v>
      </c>
      <c r="BR116" s="2048"/>
      <c r="BS116" s="2048"/>
      <c r="BT116" s="2048"/>
      <c r="BU116" s="2048"/>
      <c r="BV116" s="2048"/>
      <c r="BW116" s="2048"/>
      <c r="BX116" s="2048"/>
      <c r="BY116" s="2049"/>
      <c r="BZ116" s="2048"/>
      <c r="CA116" s="2048"/>
      <c r="CB116" s="2050"/>
      <c r="CC116" s="2051"/>
      <c r="CD116" s="2051"/>
      <c r="CE116"/>
    </row>
    <row r="117" spans="1:83" s="1603" customFormat="1">
      <c r="A117"/>
      <c r="B117" s="1595" t="str">
        <f t="shared" si="100"/>
        <v>LR1</v>
      </c>
      <c r="C117" s="1595" t="str">
        <f t="shared" si="82"/>
        <v>エネルギー</v>
      </c>
      <c r="D117" s="2088" t="e">
        <f>IF(I$116=0,0,G117/I$116)</f>
        <v>#VALUE!</v>
      </c>
      <c r="E117" s="2054" t="e">
        <f>IF(J$116=0,0,H117/J$116)</f>
        <v>#DIV/0!</v>
      </c>
      <c r="F117"/>
      <c r="G117" s="2054" t="e">
        <f t="shared" si="83"/>
        <v>#VALUE!</v>
      </c>
      <c r="H117" s="2054" t="e">
        <f t="shared" si="84"/>
        <v>#DIV/0!</v>
      </c>
      <c r="I117" s="2054" t="e">
        <f>G118+G119+G124+G133</f>
        <v>#DIV/0!</v>
      </c>
      <c r="J117" s="2054" t="e">
        <f>H118+H119+H124+H133</f>
        <v>#DIV/0!</v>
      </c>
      <c r="K117" s="2054" t="e">
        <f>IF(スコア表示!W117=0,0,1)</f>
        <v>#VALUE!</v>
      </c>
      <c r="L117" s="2054">
        <f>IF(スコア表示!AA117=0,0,1)</f>
        <v>0</v>
      </c>
      <c r="M117" s="2054" t="e">
        <f t="shared" si="85"/>
        <v>#DIV/0!</v>
      </c>
      <c r="N117" s="2054" t="e">
        <f t="shared" si="102"/>
        <v>#DIV/0!</v>
      </c>
      <c r="O117"/>
      <c r="P117" s="1595" t="str">
        <f t="shared" si="103"/>
        <v>LR1</v>
      </c>
      <c r="Q117" s="1595" t="str">
        <f t="shared" ref="Q117:Q152" si="104">IF($P$3=1,AY117,BP117)</f>
        <v>LR</v>
      </c>
      <c r="R117" s="2055" t="str">
        <f t="shared" si="86"/>
        <v>エネルギー</v>
      </c>
      <c r="S117" s="1601">
        <f t="shared" si="87"/>
        <v>0.4</v>
      </c>
      <c r="T117" s="1601">
        <f t="shared" si="88"/>
        <v>0.4</v>
      </c>
      <c r="U117" s="1601">
        <f t="shared" si="89"/>
        <v>0.4</v>
      </c>
      <c r="V117" s="1601">
        <f t="shared" si="90"/>
        <v>0.4</v>
      </c>
      <c r="W117" s="1601">
        <f t="shared" si="91"/>
        <v>0.4</v>
      </c>
      <c r="X117" s="1601">
        <f t="shared" si="92"/>
        <v>0.4</v>
      </c>
      <c r="Y117" s="1601">
        <f t="shared" si="93"/>
        <v>0.4</v>
      </c>
      <c r="Z117" s="1601">
        <f t="shared" si="94"/>
        <v>0.4</v>
      </c>
      <c r="AA117" s="1601">
        <f t="shared" si="95"/>
        <v>0.4</v>
      </c>
      <c r="AB117" s="1601">
        <f t="shared" si="96"/>
        <v>0.4</v>
      </c>
      <c r="AC117" s="1656">
        <f t="shared" si="97"/>
        <v>0</v>
      </c>
      <c r="AD117" s="1601">
        <f t="shared" si="98"/>
        <v>0</v>
      </c>
      <c r="AE117" s="1601">
        <f t="shared" si="99"/>
        <v>0</v>
      </c>
      <c r="AF117"/>
      <c r="AG117" s="1595" t="s">
        <v>1647</v>
      </c>
      <c r="AH117" s="2056" t="s">
        <v>1499</v>
      </c>
      <c r="AI117" s="2055" t="s">
        <v>1501</v>
      </c>
      <c r="AJ117" s="2057">
        <v>0.4</v>
      </c>
      <c r="AK117" s="2057">
        <v>0.4</v>
      </c>
      <c r="AL117" s="2057">
        <v>0.4</v>
      </c>
      <c r="AM117" s="2057">
        <v>0.4</v>
      </c>
      <c r="AN117" s="2057">
        <v>0.4</v>
      </c>
      <c r="AO117" s="2057">
        <v>0.4</v>
      </c>
      <c r="AP117" s="2057">
        <v>0.4</v>
      </c>
      <c r="AQ117" s="2057">
        <v>0.4</v>
      </c>
      <c r="AR117" s="2057">
        <v>0.4</v>
      </c>
      <c r="AS117" s="2057">
        <v>0.4</v>
      </c>
      <c r="AT117" s="2058"/>
      <c r="AU117" s="2057"/>
      <c r="AV117" s="2057"/>
      <c r="AW117"/>
      <c r="AX117" s="1595" t="s">
        <v>1498</v>
      </c>
      <c r="AY117" s="2056" t="s">
        <v>1500</v>
      </c>
      <c r="AZ117" s="2055" t="s">
        <v>1502</v>
      </c>
      <c r="BA117" s="2057">
        <v>0.4</v>
      </c>
      <c r="BB117" s="2057">
        <v>0.4</v>
      </c>
      <c r="BC117" s="2057">
        <v>0.4</v>
      </c>
      <c r="BD117" s="2057">
        <v>0.4</v>
      </c>
      <c r="BE117" s="2057">
        <v>0.4</v>
      </c>
      <c r="BF117" s="2057">
        <v>0.4</v>
      </c>
      <c r="BG117" s="2057">
        <v>0.4</v>
      </c>
      <c r="BH117" s="2057">
        <v>0.4</v>
      </c>
      <c r="BI117" s="2057">
        <v>0.4</v>
      </c>
      <c r="BJ117" s="2057">
        <v>0.4</v>
      </c>
      <c r="BK117" s="2058"/>
      <c r="BL117" s="2057"/>
      <c r="BM117" s="2057"/>
      <c r="BN117"/>
      <c r="BO117" s="1595" t="s">
        <v>1498</v>
      </c>
      <c r="BP117" s="2056" t="s">
        <v>1500</v>
      </c>
      <c r="BQ117" s="2055" t="s">
        <v>1502</v>
      </c>
      <c r="BR117" s="2057">
        <v>0.4</v>
      </c>
      <c r="BS117" s="2057">
        <v>0.4</v>
      </c>
      <c r="BT117" s="2057">
        <v>0.4</v>
      </c>
      <c r="BU117" s="2057">
        <v>0.4</v>
      </c>
      <c r="BV117" s="2057">
        <v>0.4</v>
      </c>
      <c r="BW117" s="2057">
        <v>0.4</v>
      </c>
      <c r="BX117" s="2057">
        <v>0.4</v>
      </c>
      <c r="BY117" s="2057">
        <v>0.4</v>
      </c>
      <c r="BZ117" s="2057">
        <v>0.4</v>
      </c>
      <c r="CA117" s="2057">
        <v>0.4</v>
      </c>
      <c r="CB117" s="2058"/>
      <c r="CC117" s="2057"/>
      <c r="CD117" s="2057"/>
      <c r="CE117"/>
    </row>
    <row r="118" spans="1:83" s="1603" customFormat="1">
      <c r="A118"/>
      <c r="B118" s="1595">
        <f t="shared" si="100"/>
        <v>1</v>
      </c>
      <c r="C118" s="1639" t="str">
        <f t="shared" si="82"/>
        <v>建物外皮の熱負荷抑制</v>
      </c>
      <c r="D118" s="2059" t="e">
        <f>IF(I$117=0,0,G118/I$117)</f>
        <v>#DIV/0!</v>
      </c>
      <c r="E118" s="1741" t="e">
        <f>IF(J$117=0,0,H118/J$117)</f>
        <v>#DIV/0!</v>
      </c>
      <c r="F118"/>
      <c r="G118" s="1741" t="e">
        <f t="shared" si="83"/>
        <v>#DIV/0!</v>
      </c>
      <c r="H118" s="1741" t="e">
        <f t="shared" si="84"/>
        <v>#DIV/0!</v>
      </c>
      <c r="I118" s="1741"/>
      <c r="J118" s="1741"/>
      <c r="K118" s="1741">
        <f>IF(スコア表示!W118=0,0,1)</f>
        <v>0</v>
      </c>
      <c r="L118" s="1741">
        <f>IF(スコア表示!AA118=0,0,1)</f>
        <v>0</v>
      </c>
      <c r="M118" s="1741" t="e">
        <f t="shared" si="85"/>
        <v>#DIV/0!</v>
      </c>
      <c r="N118" s="1741" t="e">
        <f t="shared" si="102"/>
        <v>#DIV/0!</v>
      </c>
      <c r="O118"/>
      <c r="P118" s="1671">
        <f t="shared" si="103"/>
        <v>1</v>
      </c>
      <c r="Q118" s="1639" t="str">
        <f t="shared" si="104"/>
        <v>LR1</v>
      </c>
      <c r="R118" s="1778" t="str">
        <f t="shared" si="86"/>
        <v>建物外皮の熱負荷抑制</v>
      </c>
      <c r="S118" s="1641">
        <f t="shared" si="87"/>
        <v>0.2</v>
      </c>
      <c r="T118" s="1641">
        <f t="shared" si="88"/>
        <v>0.2</v>
      </c>
      <c r="U118" s="1641">
        <f t="shared" si="89"/>
        <v>0.2</v>
      </c>
      <c r="V118" s="1641">
        <f t="shared" si="90"/>
        <v>0.2</v>
      </c>
      <c r="W118" s="1641">
        <f t="shared" si="91"/>
        <v>0.2</v>
      </c>
      <c r="X118" s="1641">
        <f t="shared" si="92"/>
        <v>0.2</v>
      </c>
      <c r="Y118" s="1641">
        <f t="shared" si="93"/>
        <v>0.2</v>
      </c>
      <c r="Z118" s="1609">
        <f t="shared" si="94"/>
        <v>0.2</v>
      </c>
      <c r="AA118" s="1641">
        <f t="shared" si="95"/>
        <v>0</v>
      </c>
      <c r="AB118" s="1641">
        <f t="shared" si="96"/>
        <v>0.2</v>
      </c>
      <c r="AC118" s="1657">
        <f t="shared" si="97"/>
        <v>0</v>
      </c>
      <c r="AD118" s="1608">
        <f t="shared" si="98"/>
        <v>0</v>
      </c>
      <c r="AE118" s="1608">
        <f t="shared" si="99"/>
        <v>0</v>
      </c>
      <c r="AF118"/>
      <c r="AG118" s="1671">
        <v>1</v>
      </c>
      <c r="AH118" s="1742" t="s">
        <v>363</v>
      </c>
      <c r="AI118" s="1778" t="s">
        <v>1503</v>
      </c>
      <c r="AJ118" s="2076">
        <v>0.2</v>
      </c>
      <c r="AK118" s="2076">
        <v>0.2</v>
      </c>
      <c r="AL118" s="2076">
        <v>0.2</v>
      </c>
      <c r="AM118" s="2076">
        <v>0.2</v>
      </c>
      <c r="AN118" s="2076">
        <v>0.2</v>
      </c>
      <c r="AO118" s="2076">
        <v>0.2</v>
      </c>
      <c r="AP118" s="2076">
        <v>0.2</v>
      </c>
      <c r="AQ118" s="2076">
        <v>0.2</v>
      </c>
      <c r="AR118" s="2076"/>
      <c r="AS118" s="2076">
        <v>0.2</v>
      </c>
      <c r="AT118" s="2060"/>
      <c r="AU118" s="1709"/>
      <c r="AV118" s="1709"/>
      <c r="AW118"/>
      <c r="AX118" s="1671">
        <v>1</v>
      </c>
      <c r="AY118" s="1742" t="s">
        <v>363</v>
      </c>
      <c r="AZ118" s="1778" t="s">
        <v>1503</v>
      </c>
      <c r="BA118" s="2076">
        <v>0.2</v>
      </c>
      <c r="BB118" s="2076">
        <v>0.2</v>
      </c>
      <c r="BC118" s="2076">
        <v>0.2</v>
      </c>
      <c r="BD118" s="2076">
        <v>0.2</v>
      </c>
      <c r="BE118" s="2076">
        <v>0.2</v>
      </c>
      <c r="BF118" s="2076">
        <v>0.2</v>
      </c>
      <c r="BG118" s="2076">
        <v>0.2</v>
      </c>
      <c r="BH118" s="2076">
        <v>0.2</v>
      </c>
      <c r="BI118" s="2076"/>
      <c r="BJ118" s="2076">
        <v>0.2</v>
      </c>
      <c r="BK118" s="2060"/>
      <c r="BL118" s="1709"/>
      <c r="BM118" s="1709"/>
      <c r="BN118"/>
      <c r="BO118" s="1671">
        <v>1</v>
      </c>
      <c r="BP118" s="1742" t="s">
        <v>363</v>
      </c>
      <c r="BQ118" s="1778" t="s">
        <v>1503</v>
      </c>
      <c r="BR118" s="2076">
        <v>0.2</v>
      </c>
      <c r="BS118" s="2076">
        <v>0.2</v>
      </c>
      <c r="BT118" s="2076">
        <v>0.2</v>
      </c>
      <c r="BU118" s="2076">
        <v>0.2</v>
      </c>
      <c r="BV118" s="2076">
        <v>0.2</v>
      </c>
      <c r="BW118" s="2076">
        <v>0.2</v>
      </c>
      <c r="BX118" s="2076">
        <v>0.2</v>
      </c>
      <c r="BY118" s="2076">
        <v>0.2</v>
      </c>
      <c r="BZ118" s="2076"/>
      <c r="CA118" s="2076">
        <v>0.2</v>
      </c>
      <c r="CB118" s="2060"/>
      <c r="CC118" s="1709"/>
      <c r="CD118" s="1709"/>
      <c r="CE118"/>
    </row>
    <row r="119" spans="1:83" s="1603" customFormat="1">
      <c r="A119"/>
      <c r="B119" s="1595">
        <f t="shared" si="100"/>
        <v>2</v>
      </c>
      <c r="C119" s="1639" t="str">
        <f t="shared" si="82"/>
        <v>自然エネルギー利用</v>
      </c>
      <c r="D119" s="2059" t="e">
        <f>IF(I$117=0,0,G119/I$117)</f>
        <v>#DIV/0!</v>
      </c>
      <c r="E119" s="1741" t="e">
        <f>IF(J$117=0,0,H119/J$117)</f>
        <v>#DIV/0!</v>
      </c>
      <c r="F119"/>
      <c r="G119" s="1741" t="e">
        <f t="shared" si="83"/>
        <v>#DIV/0!</v>
      </c>
      <c r="H119" s="1741" t="e">
        <f t="shared" si="84"/>
        <v>#DIV/0!</v>
      </c>
      <c r="I119" s="1722" t="e">
        <f>SUM(G120:G121)</f>
        <v>#DIV/0!</v>
      </c>
      <c r="J119" s="1722" t="e">
        <f>SUM(H120:H121)</f>
        <v>#DIV/0!</v>
      </c>
      <c r="K119" s="1741" t="e">
        <f>IF(スコア表示!W119=0,0,1)</f>
        <v>#DIV/0!</v>
      </c>
      <c r="L119" s="1741" t="e">
        <f>IF(スコア表示!AA119=0,0,1)</f>
        <v>#DIV/0!</v>
      </c>
      <c r="M119" s="1741" t="e">
        <f>SUMPRODUCT($S$7:$AB$7,S119:AB119)</f>
        <v>#DIV/0!</v>
      </c>
      <c r="N119" s="1741" t="e">
        <f t="shared" ref="N119:N120" si="105">(AC$7*AC119)+(AD$7*AD119)+(AE$7*AE119)</f>
        <v>#DIV/0!</v>
      </c>
      <c r="O119"/>
      <c r="P119" s="1639">
        <f t="shared" si="103"/>
        <v>2</v>
      </c>
      <c r="Q119" s="1639" t="str">
        <f t="shared" si="104"/>
        <v>LR1</v>
      </c>
      <c r="R119" s="1778" t="str">
        <f t="shared" si="86"/>
        <v>自然エネルギー利用</v>
      </c>
      <c r="S119" s="1641">
        <f t="shared" si="87"/>
        <v>0.1</v>
      </c>
      <c r="T119" s="1641">
        <f t="shared" si="88"/>
        <v>0.1</v>
      </c>
      <c r="U119" s="1641">
        <f t="shared" si="89"/>
        <v>0.1</v>
      </c>
      <c r="V119" s="1641">
        <f t="shared" si="90"/>
        <v>0.1</v>
      </c>
      <c r="W119" s="1641">
        <f t="shared" si="91"/>
        <v>0.1</v>
      </c>
      <c r="X119" s="1641">
        <f t="shared" si="92"/>
        <v>0.1</v>
      </c>
      <c r="Y119" s="1641">
        <f t="shared" si="93"/>
        <v>0.1</v>
      </c>
      <c r="Z119" s="1609">
        <f t="shared" si="94"/>
        <v>0.1</v>
      </c>
      <c r="AA119" s="1641">
        <f t="shared" si="95"/>
        <v>0.125</v>
      </c>
      <c r="AB119" s="1641">
        <f t="shared" si="96"/>
        <v>0.1</v>
      </c>
      <c r="AC119" s="1657">
        <f t="shared" si="97"/>
        <v>0</v>
      </c>
      <c r="AD119" s="1608">
        <f t="shared" si="98"/>
        <v>0</v>
      </c>
      <c r="AE119" s="1608">
        <f t="shared" si="99"/>
        <v>0</v>
      </c>
      <c r="AF119"/>
      <c r="AG119" s="1639">
        <v>2</v>
      </c>
      <c r="AH119" s="1742" t="s">
        <v>363</v>
      </c>
      <c r="AI119" s="1778" t="s">
        <v>745</v>
      </c>
      <c r="AJ119" s="2076">
        <v>0.1</v>
      </c>
      <c r="AK119" s="2076">
        <v>0.1</v>
      </c>
      <c r="AL119" s="2076">
        <v>0.1</v>
      </c>
      <c r="AM119" s="2076">
        <v>0.1</v>
      </c>
      <c r="AN119" s="2076">
        <v>0.1</v>
      </c>
      <c r="AO119" s="2076">
        <v>0.1</v>
      </c>
      <c r="AP119" s="2076">
        <v>0.1</v>
      </c>
      <c r="AQ119" s="2076">
        <v>0.1</v>
      </c>
      <c r="AR119" s="2343">
        <v>0.125</v>
      </c>
      <c r="AS119" s="2076">
        <v>0.1</v>
      </c>
      <c r="AT119" s="2060"/>
      <c r="AU119" s="1709"/>
      <c r="AV119" s="1709"/>
      <c r="AW119"/>
      <c r="AX119" s="1639">
        <v>2</v>
      </c>
      <c r="AY119" s="1742" t="s">
        <v>363</v>
      </c>
      <c r="AZ119" s="1778" t="s">
        <v>745</v>
      </c>
      <c r="BA119" s="2076">
        <v>0.1</v>
      </c>
      <c r="BB119" s="2076">
        <v>0.1</v>
      </c>
      <c r="BC119" s="2076">
        <v>0.1</v>
      </c>
      <c r="BD119" s="2076">
        <v>0.1</v>
      </c>
      <c r="BE119" s="2076">
        <v>0.1</v>
      </c>
      <c r="BF119" s="2076">
        <v>0.1</v>
      </c>
      <c r="BG119" s="2076">
        <v>0.1</v>
      </c>
      <c r="BH119" s="2076">
        <v>0.1</v>
      </c>
      <c r="BI119" s="2343">
        <v>0.125</v>
      </c>
      <c r="BJ119" s="2076">
        <v>0.1</v>
      </c>
      <c r="BK119" s="2060"/>
      <c r="BL119" s="1709"/>
      <c r="BM119" s="1709"/>
      <c r="BN119"/>
      <c r="BO119" s="1639">
        <v>2</v>
      </c>
      <c r="BP119" s="1742" t="s">
        <v>363</v>
      </c>
      <c r="BQ119" s="1778" t="s">
        <v>745</v>
      </c>
      <c r="BR119" s="2076">
        <v>0.1</v>
      </c>
      <c r="BS119" s="2076">
        <v>0.1</v>
      </c>
      <c r="BT119" s="2076">
        <v>0.1</v>
      </c>
      <c r="BU119" s="2076">
        <v>0.1</v>
      </c>
      <c r="BV119" s="2076">
        <v>0.1</v>
      </c>
      <c r="BW119" s="2076">
        <v>0.1</v>
      </c>
      <c r="BX119" s="2076">
        <v>0.1</v>
      </c>
      <c r="BY119" s="2076">
        <v>0.1</v>
      </c>
      <c r="BZ119" s="2343">
        <v>0.125</v>
      </c>
      <c r="CA119" s="2076">
        <v>0.1</v>
      </c>
      <c r="CB119" s="2060"/>
      <c r="CC119" s="1709"/>
      <c r="CD119" s="1709"/>
      <c r="CE119"/>
    </row>
    <row r="120" spans="1:83" s="1603" customFormat="1">
      <c r="A120"/>
      <c r="B120" s="1595" t="str">
        <f t="shared" si="100"/>
        <v>2a</v>
      </c>
      <c r="C120" s="1639" t="str">
        <f t="shared" si="82"/>
        <v>小中学校・集合住宅</v>
      </c>
      <c r="D120" s="1714" t="e">
        <f>IF(I$119=0,0,G120/I$119)</f>
        <v>#DIV/0!</v>
      </c>
      <c r="E120" s="1714" t="e">
        <f>IF(J$119=0,0,H120/J$119)</f>
        <v>#DIV/0!</v>
      </c>
      <c r="F120"/>
      <c r="G120" s="1741" t="e">
        <f t="shared" si="83"/>
        <v>#DIV/0!</v>
      </c>
      <c r="H120" s="1741" t="e">
        <f t="shared" si="84"/>
        <v>#DIV/0!</v>
      </c>
      <c r="I120" s="1741"/>
      <c r="J120" s="1741"/>
      <c r="K120" s="1741">
        <f>IF(スコア表示!W120=0,0,1)</f>
        <v>1</v>
      </c>
      <c r="L120" s="1741">
        <f>IF(スコア表示!AA120=0,0,1)</f>
        <v>0</v>
      </c>
      <c r="M120" s="1741" t="e">
        <f>SUMPRODUCT($S$7:$AB$7,S120:AB120)</f>
        <v>#DIV/0!</v>
      </c>
      <c r="N120" s="1741" t="e">
        <f t="shared" si="105"/>
        <v>#DIV/0!</v>
      </c>
      <c r="O120"/>
      <c r="P120" s="1639" t="str">
        <f t="shared" si="103"/>
        <v>2a</v>
      </c>
      <c r="Q120" s="1639" t="str">
        <f t="shared" si="104"/>
        <v>LR1 2</v>
      </c>
      <c r="R120" s="1778" t="str">
        <f t="shared" si="86"/>
        <v>小中学校・集合住宅</v>
      </c>
      <c r="S120" s="1641">
        <f t="shared" ref="S120:AB123" si="106">IF($S$3=1,BA120,IF($S$3=2,BR120,AJ120))</f>
        <v>0</v>
      </c>
      <c r="T120" s="1641">
        <f t="shared" si="106"/>
        <v>0</v>
      </c>
      <c r="U120" s="1641">
        <f t="shared" si="106"/>
        <v>0</v>
      </c>
      <c r="V120" s="1641">
        <f t="shared" si="106"/>
        <v>0</v>
      </c>
      <c r="W120" s="1641">
        <f t="shared" si="106"/>
        <v>0</v>
      </c>
      <c r="X120" s="1641">
        <f t="shared" si="106"/>
        <v>0</v>
      </c>
      <c r="Y120" s="1641">
        <f t="shared" si="106"/>
        <v>1</v>
      </c>
      <c r="Z120" s="1609">
        <f t="shared" si="106"/>
        <v>0</v>
      </c>
      <c r="AA120" s="1641">
        <f t="shared" si="106"/>
        <v>0</v>
      </c>
      <c r="AB120" s="1641">
        <f t="shared" si="106"/>
        <v>1</v>
      </c>
      <c r="AC120" s="1657">
        <f t="shared" ref="AC120:AC155" si="107">IF($P$3=1,BK120,IF($P$3=2,CB120,AT120))</f>
        <v>0</v>
      </c>
      <c r="AD120" s="1608">
        <f t="shared" ref="AD120:AD155" si="108">IF($P$3=1,BL120,IF($P$3=2,CC120,AU120))</f>
        <v>0</v>
      </c>
      <c r="AE120" s="1608">
        <f t="shared" ref="AE120:AE155" si="109">IF($P$3=1,BM120,IF($P$3=2,CD120,AV120))</f>
        <v>0</v>
      </c>
      <c r="AF120"/>
      <c r="AG120" s="1645" t="s">
        <v>1791</v>
      </c>
      <c r="AH120" s="1742" t="s">
        <v>1796</v>
      </c>
      <c r="AI120" s="1778" t="s">
        <v>1383</v>
      </c>
      <c r="AJ120" s="1734"/>
      <c r="AK120" s="1734"/>
      <c r="AL120" s="1734"/>
      <c r="AM120" s="1734"/>
      <c r="AN120" s="1734"/>
      <c r="AO120" s="1734"/>
      <c r="AP120" s="1734">
        <v>1</v>
      </c>
      <c r="AQ120" s="1734"/>
      <c r="AR120" s="1734"/>
      <c r="AS120" s="1734">
        <v>1</v>
      </c>
      <c r="AT120" s="2060"/>
      <c r="AU120" s="1709"/>
      <c r="AV120" s="1709"/>
      <c r="AW120"/>
      <c r="AX120" s="1645" t="s">
        <v>1791</v>
      </c>
      <c r="AY120" s="1742" t="s">
        <v>1796</v>
      </c>
      <c r="AZ120" s="1778" t="s">
        <v>1383</v>
      </c>
      <c r="BA120" s="1734"/>
      <c r="BB120" s="1734"/>
      <c r="BC120" s="1734"/>
      <c r="BD120" s="1734"/>
      <c r="BE120" s="1734"/>
      <c r="BF120" s="1734"/>
      <c r="BG120" s="1734">
        <v>1</v>
      </c>
      <c r="BH120" s="1734"/>
      <c r="BI120" s="1734"/>
      <c r="BJ120" s="1734">
        <v>1</v>
      </c>
      <c r="BK120" s="2060"/>
      <c r="BL120" s="1709"/>
      <c r="BM120" s="1709"/>
      <c r="BN120"/>
      <c r="BO120" s="1645" t="s">
        <v>1791</v>
      </c>
      <c r="BP120" s="1742" t="s">
        <v>1796</v>
      </c>
      <c r="BQ120" s="1778" t="s">
        <v>1383</v>
      </c>
      <c r="BR120" s="1734"/>
      <c r="BS120" s="1734"/>
      <c r="BT120" s="1734"/>
      <c r="BU120" s="1734"/>
      <c r="BV120" s="1734"/>
      <c r="BW120" s="1734"/>
      <c r="BX120" s="1734">
        <v>1</v>
      </c>
      <c r="BY120" s="1734"/>
      <c r="BZ120" s="1734"/>
      <c r="CA120" s="1734">
        <v>1</v>
      </c>
      <c r="CB120" s="2060"/>
      <c r="CC120" s="1709"/>
      <c r="CD120" s="1709"/>
      <c r="CE120"/>
    </row>
    <row r="121" spans="1:83" s="1603" customFormat="1">
      <c r="A121"/>
      <c r="B121" s="1595" t="str">
        <f t="shared" si="100"/>
        <v>2b</v>
      </c>
      <c r="C121" s="1639" t="str">
        <f t="shared" si="82"/>
        <v>上記以外</v>
      </c>
      <c r="D121" s="1714" t="e">
        <f>IF(I$119=0,0,G121/I$119)</f>
        <v>#DIV/0!</v>
      </c>
      <c r="E121" s="1714" t="e">
        <f>IF(J$119=0,0,H121/J$119)</f>
        <v>#DIV/0!</v>
      </c>
      <c r="F121"/>
      <c r="G121" s="1741" t="e">
        <f t="shared" si="83"/>
        <v>#DIV/0!</v>
      </c>
      <c r="H121" s="1741" t="e">
        <f t="shared" si="84"/>
        <v>#DIV/0!</v>
      </c>
      <c r="I121" s="1741"/>
      <c r="J121" s="1741"/>
      <c r="K121" s="1741">
        <f>IF(スコア表示!W121=0,0,1)</f>
        <v>1</v>
      </c>
      <c r="L121" s="1741">
        <f>IF(スコア表示!AA121=0,0,1)</f>
        <v>0</v>
      </c>
      <c r="M121" s="1741" t="e">
        <f>SUMPRODUCT($S$7:$AB$7,S121:AB121)</f>
        <v>#DIV/0!</v>
      </c>
      <c r="N121" s="1741" t="e">
        <f>(AC$7*AC121)+(AD$7*AD121)+(AE$7*AE121)</f>
        <v>#DIV/0!</v>
      </c>
      <c r="O121"/>
      <c r="P121" s="1639" t="str">
        <f t="shared" si="103"/>
        <v>2b</v>
      </c>
      <c r="Q121" s="1639" t="str">
        <f t="shared" si="104"/>
        <v>LR1 2</v>
      </c>
      <c r="R121" s="1778" t="str">
        <f t="shared" si="86"/>
        <v>上記以外</v>
      </c>
      <c r="S121" s="1616">
        <f t="shared" si="106"/>
        <v>1</v>
      </c>
      <c r="T121" s="1616">
        <f t="shared" si="106"/>
        <v>1</v>
      </c>
      <c r="U121" s="1616">
        <f t="shared" si="106"/>
        <v>1</v>
      </c>
      <c r="V121" s="1616">
        <f t="shared" si="106"/>
        <v>1</v>
      </c>
      <c r="W121" s="1616">
        <f t="shared" si="106"/>
        <v>1</v>
      </c>
      <c r="X121" s="1616">
        <f t="shared" si="106"/>
        <v>1</v>
      </c>
      <c r="Y121" s="1641">
        <f t="shared" si="106"/>
        <v>0</v>
      </c>
      <c r="Z121" s="1616">
        <f t="shared" si="106"/>
        <v>1</v>
      </c>
      <c r="AA121" s="1616">
        <f t="shared" si="106"/>
        <v>1</v>
      </c>
      <c r="AB121" s="1641">
        <f t="shared" si="106"/>
        <v>0</v>
      </c>
      <c r="AC121" s="1657">
        <f t="shared" si="107"/>
        <v>0</v>
      </c>
      <c r="AD121" s="1608">
        <f t="shared" si="108"/>
        <v>0</v>
      </c>
      <c r="AE121" s="1608">
        <f t="shared" si="109"/>
        <v>0</v>
      </c>
      <c r="AF121"/>
      <c r="AG121" s="1645" t="s">
        <v>1793</v>
      </c>
      <c r="AH121" s="1742" t="s">
        <v>1796</v>
      </c>
      <c r="AI121" s="1778" t="s">
        <v>1384</v>
      </c>
      <c r="AJ121" s="1734">
        <v>1</v>
      </c>
      <c r="AK121" s="1734">
        <v>1</v>
      </c>
      <c r="AL121" s="1734">
        <v>1</v>
      </c>
      <c r="AM121" s="1734">
        <v>1</v>
      </c>
      <c r="AN121" s="1734">
        <v>1</v>
      </c>
      <c r="AO121" s="1734">
        <v>1</v>
      </c>
      <c r="AP121" s="1734"/>
      <c r="AQ121" s="1734">
        <v>1</v>
      </c>
      <c r="AR121" s="1734">
        <v>1</v>
      </c>
      <c r="AS121" s="1734"/>
      <c r="AT121" s="2060"/>
      <c r="AU121" s="1709"/>
      <c r="AV121" s="1709"/>
      <c r="AW121"/>
      <c r="AX121" s="1645" t="s">
        <v>1793</v>
      </c>
      <c r="AY121" s="1742" t="s">
        <v>1796</v>
      </c>
      <c r="AZ121" s="1778" t="s">
        <v>1384</v>
      </c>
      <c r="BA121" s="1734">
        <v>1</v>
      </c>
      <c r="BB121" s="1734">
        <v>1</v>
      </c>
      <c r="BC121" s="1734">
        <v>1</v>
      </c>
      <c r="BD121" s="1734">
        <v>1</v>
      </c>
      <c r="BE121" s="1734">
        <v>1</v>
      </c>
      <c r="BF121" s="1734">
        <v>1</v>
      </c>
      <c r="BG121" s="1734"/>
      <c r="BH121" s="1734">
        <v>1</v>
      </c>
      <c r="BI121" s="1734">
        <v>1</v>
      </c>
      <c r="BJ121" s="1734"/>
      <c r="BK121" s="2060"/>
      <c r="BL121" s="1709"/>
      <c r="BM121" s="1709"/>
      <c r="BN121"/>
      <c r="BO121" s="1645" t="s">
        <v>1793</v>
      </c>
      <c r="BP121" s="1742" t="s">
        <v>1796</v>
      </c>
      <c r="BQ121" s="1778" t="s">
        <v>1384</v>
      </c>
      <c r="BR121" s="1734">
        <v>1</v>
      </c>
      <c r="BS121" s="1734">
        <v>1</v>
      </c>
      <c r="BT121" s="1734">
        <v>1</v>
      </c>
      <c r="BU121" s="1734">
        <v>1</v>
      </c>
      <c r="BV121" s="1734">
        <v>1</v>
      </c>
      <c r="BW121" s="1734">
        <v>1</v>
      </c>
      <c r="BX121" s="1734"/>
      <c r="BY121" s="1734">
        <v>1</v>
      </c>
      <c r="BZ121" s="1734">
        <v>1</v>
      </c>
      <c r="CA121" s="1734"/>
      <c r="CB121" s="2060"/>
      <c r="CC121" s="1709"/>
      <c r="CD121" s="1709"/>
      <c r="CE121"/>
    </row>
    <row r="122" spans="1:83" hidden="1">
      <c r="B122" s="1595" t="str">
        <f t="shared" si="100"/>
        <v>2.1</v>
      </c>
      <c r="C122" s="1645" t="str">
        <f t="shared" si="82"/>
        <v>自然エネルギーの直接利用</v>
      </c>
      <c r="D122" s="1714">
        <f>IF(I$121=0,0,G122/I$121)</f>
        <v>0</v>
      </c>
      <c r="E122" s="1714">
        <f>IF(J$121=0,0,H122/J$121)</f>
        <v>0</v>
      </c>
      <c r="G122" s="1689" t="e">
        <f t="shared" si="83"/>
        <v>#DIV/0!</v>
      </c>
      <c r="H122" s="1689" t="e">
        <f t="shared" si="84"/>
        <v>#DIV/0!</v>
      </c>
      <c r="I122" s="1689"/>
      <c r="J122" s="1689"/>
      <c r="K122" s="1689">
        <f>IF(スコア表示!W122=0,0,1)</f>
        <v>0</v>
      </c>
      <c r="L122" s="1689">
        <f>IF(スコア表示!AA122=0,0,1)</f>
        <v>0</v>
      </c>
      <c r="M122" s="1689" t="e">
        <f t="shared" si="85"/>
        <v>#DIV/0!</v>
      </c>
      <c r="N122" s="1689" t="e">
        <f t="shared" si="102"/>
        <v>#DIV/0!</v>
      </c>
      <c r="P122" s="1645" t="str">
        <f t="shared" si="103"/>
        <v>2.1</v>
      </c>
      <c r="Q122" s="1645" t="str">
        <f t="shared" si="104"/>
        <v>LR1 2</v>
      </c>
      <c r="R122" s="1735" t="str">
        <f t="shared" si="86"/>
        <v>自然エネルギーの直接利用</v>
      </c>
      <c r="S122" s="1616">
        <f t="shared" si="106"/>
        <v>0</v>
      </c>
      <c r="T122" s="1616">
        <f t="shared" si="106"/>
        <v>0</v>
      </c>
      <c r="U122" s="1616">
        <f t="shared" si="106"/>
        <v>0</v>
      </c>
      <c r="V122" s="1616">
        <f t="shared" si="106"/>
        <v>0</v>
      </c>
      <c r="W122" s="1616">
        <f t="shared" si="106"/>
        <v>0</v>
      </c>
      <c r="X122" s="1616">
        <f t="shared" si="106"/>
        <v>0</v>
      </c>
      <c r="Y122" s="1616">
        <f t="shared" si="106"/>
        <v>0</v>
      </c>
      <c r="Z122" s="1616">
        <f t="shared" si="106"/>
        <v>0</v>
      </c>
      <c r="AA122" s="1616">
        <f t="shared" si="106"/>
        <v>0</v>
      </c>
      <c r="AB122" s="1616">
        <f t="shared" si="106"/>
        <v>0</v>
      </c>
      <c r="AC122" s="1660">
        <f t="shared" si="107"/>
        <v>0</v>
      </c>
      <c r="AD122" s="1659">
        <f t="shared" si="108"/>
        <v>0</v>
      </c>
      <c r="AE122" s="1659">
        <f t="shared" si="109"/>
        <v>0</v>
      </c>
      <c r="AG122" s="1645" t="s">
        <v>1504</v>
      </c>
      <c r="AH122" s="1691" t="s">
        <v>364</v>
      </c>
      <c r="AI122" s="1735" t="s">
        <v>746</v>
      </c>
      <c r="AJ122" s="1621"/>
      <c r="AK122" s="1621"/>
      <c r="AL122" s="1621"/>
      <c r="AM122" s="1621"/>
      <c r="AN122" s="1621"/>
      <c r="AO122" s="1621"/>
      <c r="AP122" s="1621"/>
      <c r="AQ122" s="1621"/>
      <c r="AR122" s="1621"/>
      <c r="AS122" s="1621"/>
      <c r="AT122" s="2085"/>
      <c r="AU122" s="2084"/>
      <c r="AV122" s="2084"/>
      <c r="AX122" s="1645" t="s">
        <v>1505</v>
      </c>
      <c r="AY122" s="1691" t="s">
        <v>364</v>
      </c>
      <c r="AZ122" s="1735" t="s">
        <v>746</v>
      </c>
      <c r="BA122" s="1621"/>
      <c r="BB122" s="1621"/>
      <c r="BC122" s="1621"/>
      <c r="BD122" s="1621"/>
      <c r="BE122" s="1621"/>
      <c r="BF122" s="1621"/>
      <c r="BG122" s="1621"/>
      <c r="BH122" s="1621"/>
      <c r="BI122" s="1621"/>
      <c r="BJ122" s="1621"/>
      <c r="BK122" s="2085"/>
      <c r="BL122" s="2084"/>
      <c r="BM122" s="2084"/>
      <c r="BO122" s="1645" t="s">
        <v>1505</v>
      </c>
      <c r="BP122" s="1691" t="s">
        <v>364</v>
      </c>
      <c r="BQ122" s="1735" t="s">
        <v>746</v>
      </c>
      <c r="BR122" s="1621"/>
      <c r="BS122" s="1621"/>
      <c r="BT122" s="1621"/>
      <c r="BU122" s="1621"/>
      <c r="BV122" s="1621"/>
      <c r="BW122" s="1621"/>
      <c r="BX122" s="1621"/>
      <c r="BY122" s="1621"/>
      <c r="BZ122" s="1621"/>
      <c r="CA122" s="1621"/>
      <c r="CB122" s="2085"/>
      <c r="CC122" s="2084"/>
      <c r="CD122" s="2084"/>
    </row>
    <row r="123" spans="1:83" hidden="1">
      <c r="B123" s="1595" t="str">
        <f t="shared" si="100"/>
        <v>2.2</v>
      </c>
      <c r="C123" s="1645" t="str">
        <f t="shared" si="82"/>
        <v>自然エネルギーの変換利用</v>
      </c>
      <c r="D123" s="1714">
        <f>IF(I$121=0,0,G123/I$121)</f>
        <v>0</v>
      </c>
      <c r="E123" s="1714">
        <f>IF(J$121=0,0,H123/J$121)</f>
        <v>0</v>
      </c>
      <c r="G123" s="1689" t="e">
        <f t="shared" si="83"/>
        <v>#DIV/0!</v>
      </c>
      <c r="H123" s="1689" t="e">
        <f t="shared" si="84"/>
        <v>#DIV/0!</v>
      </c>
      <c r="I123" s="1689"/>
      <c r="J123" s="1689"/>
      <c r="K123" s="1689">
        <f>IF(スコア表示!W123=0,0,1)</f>
        <v>0</v>
      </c>
      <c r="L123" s="1689">
        <f>IF(スコア表示!AA123=0,0,1)</f>
        <v>0</v>
      </c>
      <c r="M123" s="1689" t="e">
        <f t="shared" si="85"/>
        <v>#DIV/0!</v>
      </c>
      <c r="N123" s="1689" t="e">
        <f t="shared" si="102"/>
        <v>#DIV/0!</v>
      </c>
      <c r="P123" s="1645" t="str">
        <f t="shared" si="103"/>
        <v>2.2</v>
      </c>
      <c r="Q123" s="1645" t="str">
        <f t="shared" si="104"/>
        <v>LR1 2</v>
      </c>
      <c r="R123" s="1735" t="str">
        <f t="shared" si="86"/>
        <v>自然エネルギーの変換利用</v>
      </c>
      <c r="S123" s="1616">
        <f t="shared" si="106"/>
        <v>0</v>
      </c>
      <c r="T123" s="1616">
        <f t="shared" si="106"/>
        <v>0</v>
      </c>
      <c r="U123" s="1616">
        <f t="shared" si="106"/>
        <v>0</v>
      </c>
      <c r="V123" s="1616">
        <f t="shared" si="106"/>
        <v>0</v>
      </c>
      <c r="W123" s="1616">
        <f t="shared" si="106"/>
        <v>0</v>
      </c>
      <c r="X123" s="1616">
        <f t="shared" si="106"/>
        <v>0</v>
      </c>
      <c r="Y123" s="1616">
        <f t="shared" si="106"/>
        <v>0</v>
      </c>
      <c r="Z123" s="1616">
        <f t="shared" si="106"/>
        <v>0</v>
      </c>
      <c r="AA123" s="1616">
        <f t="shared" si="106"/>
        <v>0</v>
      </c>
      <c r="AB123" s="1616">
        <f t="shared" si="106"/>
        <v>0</v>
      </c>
      <c r="AC123" s="1660">
        <f t="shared" si="107"/>
        <v>0</v>
      </c>
      <c r="AD123" s="1659">
        <f t="shared" si="108"/>
        <v>0</v>
      </c>
      <c r="AE123" s="1659">
        <f t="shared" si="109"/>
        <v>0</v>
      </c>
      <c r="AG123" s="1645" t="s">
        <v>1506</v>
      </c>
      <c r="AH123" s="1691" t="s">
        <v>364</v>
      </c>
      <c r="AI123" s="1735" t="s">
        <v>747</v>
      </c>
      <c r="AJ123" s="1621"/>
      <c r="AK123" s="1621"/>
      <c r="AL123" s="1621"/>
      <c r="AM123" s="1621"/>
      <c r="AN123" s="1621"/>
      <c r="AO123" s="1621"/>
      <c r="AP123" s="1621"/>
      <c r="AQ123" s="1621"/>
      <c r="AR123" s="1621"/>
      <c r="AS123" s="1621"/>
      <c r="AT123" s="2085"/>
      <c r="AU123" s="2084"/>
      <c r="AV123" s="2084"/>
      <c r="AX123" s="1645" t="s">
        <v>1507</v>
      </c>
      <c r="AY123" s="1691" t="s">
        <v>364</v>
      </c>
      <c r="AZ123" s="1735" t="s">
        <v>747</v>
      </c>
      <c r="BA123" s="1621"/>
      <c r="BB123" s="1621"/>
      <c r="BC123" s="1621"/>
      <c r="BD123" s="1621"/>
      <c r="BE123" s="1621"/>
      <c r="BF123" s="1621"/>
      <c r="BG123" s="1621"/>
      <c r="BH123" s="1621"/>
      <c r="BI123" s="1621"/>
      <c r="BJ123" s="1621"/>
      <c r="BK123" s="2085"/>
      <c r="BL123" s="2084"/>
      <c r="BM123" s="2084"/>
      <c r="BO123" s="1645" t="s">
        <v>1507</v>
      </c>
      <c r="BP123" s="1691" t="s">
        <v>364</v>
      </c>
      <c r="BQ123" s="1735" t="s">
        <v>747</v>
      </c>
      <c r="BR123" s="1621"/>
      <c r="BS123" s="1621"/>
      <c r="BT123" s="1621"/>
      <c r="BU123" s="1621"/>
      <c r="BV123" s="1621"/>
      <c r="BW123" s="1621"/>
      <c r="BX123" s="1621"/>
      <c r="BY123" s="1621"/>
      <c r="BZ123" s="1621"/>
      <c r="CA123" s="1621"/>
      <c r="CB123" s="2085"/>
      <c r="CC123" s="2084"/>
      <c r="CD123" s="2084"/>
    </row>
    <row r="124" spans="1:83" s="1603" customFormat="1">
      <c r="A124"/>
      <c r="B124" s="1595">
        <f t="shared" si="100"/>
        <v>3</v>
      </c>
      <c r="C124" s="1639" t="str">
        <f t="shared" si="82"/>
        <v>設備システムの高効率化</v>
      </c>
      <c r="D124" s="2059" t="e">
        <f>IF(I$117=0,0,G124/I$117)</f>
        <v>#DIV/0!</v>
      </c>
      <c r="E124" s="1741" t="e">
        <f>IF(J$117=0,0,H124/J$117)</f>
        <v>#DIV/0!</v>
      </c>
      <c r="F124"/>
      <c r="G124" s="1741" t="e">
        <f t="shared" si="83"/>
        <v>#DIV/0!</v>
      </c>
      <c r="H124" s="1741" t="e">
        <f t="shared" si="84"/>
        <v>#DIV/0!</v>
      </c>
      <c r="I124" s="1722" t="e">
        <f>SUM(G125:G126)</f>
        <v>#DIV/0!</v>
      </c>
      <c r="J124" s="1722" t="e">
        <f>SUM(H125:H126)</f>
        <v>#DIV/0!</v>
      </c>
      <c r="K124" s="1741" t="e">
        <f>IF(スコア表示!W124=0,0,1)</f>
        <v>#DIV/0!</v>
      </c>
      <c r="L124" s="1741" t="e">
        <f>IF(スコア表示!AA124=0,0,1)</f>
        <v>#DIV/0!</v>
      </c>
      <c r="M124" s="1741" t="e">
        <f t="shared" si="85"/>
        <v>#DIV/0!</v>
      </c>
      <c r="N124" s="1741" t="e">
        <f t="shared" si="102"/>
        <v>#DIV/0!</v>
      </c>
      <c r="O124"/>
      <c r="P124" s="1639">
        <f t="shared" si="103"/>
        <v>3</v>
      </c>
      <c r="Q124" s="1639" t="str">
        <f t="shared" si="104"/>
        <v>LR1</v>
      </c>
      <c r="R124" s="1778" t="str">
        <f t="shared" si="86"/>
        <v>設備システムの高効率化</v>
      </c>
      <c r="S124" s="1641">
        <f t="shared" ref="S124:S159" si="110">IF($P$3=1,BA124,IF($P$3=2,BR124,AJ124))</f>
        <v>0.5</v>
      </c>
      <c r="T124" s="1641">
        <f t="shared" ref="T124:T159" si="111">IF($P$3=1,BB124,IF($P$3=2,BS124,AK124))</f>
        <v>0.5</v>
      </c>
      <c r="U124" s="1641">
        <f t="shared" ref="U124:U159" si="112">IF($P$3=1,BC124,IF($P$3=2,BT124,AL124))</f>
        <v>0.5</v>
      </c>
      <c r="V124" s="1641">
        <f t="shared" ref="V124:V159" si="113">IF($P$3=1,BD124,IF($P$3=2,BU124,AM124))</f>
        <v>0.5</v>
      </c>
      <c r="W124" s="1641">
        <f t="shared" ref="W124:W159" si="114">IF($P$3=1,BE124,IF($P$3=2,BV124,AN124))</f>
        <v>0.5</v>
      </c>
      <c r="X124" s="1641">
        <f t="shared" ref="X124:X159" si="115">IF($P$3=1,BF124,IF($P$3=2,BW124,AO124))</f>
        <v>0.5</v>
      </c>
      <c r="Y124" s="1641">
        <f t="shared" ref="Y124:Y159" si="116">IF($P$3=1,BG124,IF($P$3=2,BX124,AP124))</f>
        <v>0.5</v>
      </c>
      <c r="Z124" s="1609">
        <f t="shared" ref="Z124:Z159" si="117">IF($P$3=1,BH124,IF($P$3=2,BY124,AQ124))</f>
        <v>0.5</v>
      </c>
      <c r="AA124" s="1641">
        <f t="shared" ref="AA124:AA159" si="118">IF($P$3=1,BI124,IF($P$3=2,BZ124,AR124))</f>
        <v>0.625</v>
      </c>
      <c r="AB124" s="1641">
        <f t="shared" ref="AB124:AB159" si="119">IF($P$3=1,BJ124,IF($P$3=2,CA124,AS124))</f>
        <v>0.5</v>
      </c>
      <c r="AC124" s="1657">
        <f t="shared" si="107"/>
        <v>0</v>
      </c>
      <c r="AD124" s="1608">
        <f t="shared" si="108"/>
        <v>0</v>
      </c>
      <c r="AE124" s="1608">
        <f t="shared" si="109"/>
        <v>0</v>
      </c>
      <c r="AF124"/>
      <c r="AG124" s="1639">
        <v>3</v>
      </c>
      <c r="AH124" s="1742" t="s">
        <v>363</v>
      </c>
      <c r="AI124" s="1778" t="s">
        <v>748</v>
      </c>
      <c r="AJ124" s="2076">
        <v>0.5</v>
      </c>
      <c r="AK124" s="2076">
        <v>0.5</v>
      </c>
      <c r="AL124" s="2076">
        <v>0.5</v>
      </c>
      <c r="AM124" s="2076">
        <v>0.5</v>
      </c>
      <c r="AN124" s="2076">
        <v>0.5</v>
      </c>
      <c r="AO124" s="2076">
        <v>0.5</v>
      </c>
      <c r="AP124" s="2076">
        <v>0.5</v>
      </c>
      <c r="AQ124" s="2076">
        <v>0.5</v>
      </c>
      <c r="AR124" s="2343">
        <v>0.625</v>
      </c>
      <c r="AS124" s="2076">
        <v>0.5</v>
      </c>
      <c r="AT124" s="2060"/>
      <c r="AU124" s="1709"/>
      <c r="AV124" s="1709"/>
      <c r="AW124"/>
      <c r="AX124" s="1639">
        <v>3</v>
      </c>
      <c r="AY124" s="1742" t="s">
        <v>363</v>
      </c>
      <c r="AZ124" s="1778" t="s">
        <v>748</v>
      </c>
      <c r="BA124" s="2076">
        <v>0.5</v>
      </c>
      <c r="BB124" s="2076">
        <v>0.5</v>
      </c>
      <c r="BC124" s="2076">
        <v>0.5</v>
      </c>
      <c r="BD124" s="2076">
        <v>0.5</v>
      </c>
      <c r="BE124" s="2076">
        <v>0.5</v>
      </c>
      <c r="BF124" s="2076">
        <v>0.5</v>
      </c>
      <c r="BG124" s="2076">
        <v>0.5</v>
      </c>
      <c r="BH124" s="2076">
        <v>0.5</v>
      </c>
      <c r="BI124" s="2343">
        <v>0.625</v>
      </c>
      <c r="BJ124" s="2076">
        <v>0.5</v>
      </c>
      <c r="BK124" s="2060"/>
      <c r="BL124" s="1709"/>
      <c r="BM124" s="1709"/>
      <c r="BN124"/>
      <c r="BO124" s="1639">
        <v>3</v>
      </c>
      <c r="BP124" s="1742" t="s">
        <v>363</v>
      </c>
      <c r="BQ124" s="1778" t="s">
        <v>748</v>
      </c>
      <c r="BR124" s="2076">
        <v>0.5</v>
      </c>
      <c r="BS124" s="2076">
        <v>0.5</v>
      </c>
      <c r="BT124" s="2076">
        <v>0.5</v>
      </c>
      <c r="BU124" s="2076">
        <v>0.5</v>
      </c>
      <c r="BV124" s="2076">
        <v>0.5</v>
      </c>
      <c r="BW124" s="2076">
        <v>0.5</v>
      </c>
      <c r="BX124" s="2076">
        <v>0.5</v>
      </c>
      <c r="BY124" s="2076">
        <v>0.5</v>
      </c>
      <c r="BZ124" s="2343">
        <v>0.625</v>
      </c>
      <c r="CA124" s="2076">
        <v>0.5</v>
      </c>
      <c r="CB124" s="2060"/>
      <c r="CC124" s="1709"/>
      <c r="CD124" s="1709"/>
      <c r="CE124"/>
    </row>
    <row r="125" spans="1:83" s="1603" customFormat="1">
      <c r="A125"/>
      <c r="B125" s="1595" t="str">
        <f t="shared" si="100"/>
        <v>3a.3b</v>
      </c>
      <c r="C125" s="1639" t="str">
        <f t="shared" si="82"/>
        <v>非住宅部分</v>
      </c>
      <c r="D125" s="2059" t="e">
        <f>IF(I$124=0,0,G125/I$124)</f>
        <v>#DIV/0!</v>
      </c>
      <c r="E125" s="1741" t="e">
        <f>IF(J$124=0,0,H125/J$124)</f>
        <v>#DIV/0!</v>
      </c>
      <c r="F125"/>
      <c r="G125" s="1741" t="e">
        <f t="shared" si="83"/>
        <v>#DIV/0!</v>
      </c>
      <c r="H125" s="1741" t="e">
        <f>L125*N125</f>
        <v>#DIV/0!</v>
      </c>
      <c r="I125" s="1741"/>
      <c r="J125" s="1741"/>
      <c r="K125" s="1741">
        <f>IF(スコア表示!W125=0,0,1)</f>
        <v>0</v>
      </c>
      <c r="L125" s="1741">
        <f>IF(スコア表示!AA125=0,0,1)</f>
        <v>0</v>
      </c>
      <c r="M125" s="1741" t="e">
        <f t="shared" si="85"/>
        <v>#DIV/0!</v>
      </c>
      <c r="N125" s="1741" t="e">
        <f t="shared" si="102"/>
        <v>#DIV/0!</v>
      </c>
      <c r="O125"/>
      <c r="P125" s="1639" t="str">
        <f t="shared" si="103"/>
        <v>3a.3b</v>
      </c>
      <c r="Q125" s="1639" t="str">
        <f t="shared" si="104"/>
        <v>LR1 3</v>
      </c>
      <c r="R125" s="1778" t="str">
        <f t="shared" si="86"/>
        <v>非住宅部分</v>
      </c>
      <c r="S125" s="1641">
        <f t="shared" si="110"/>
        <v>1</v>
      </c>
      <c r="T125" s="1641">
        <f t="shared" si="111"/>
        <v>1</v>
      </c>
      <c r="U125" s="1641">
        <f t="shared" si="112"/>
        <v>1</v>
      </c>
      <c r="V125" s="1641">
        <f t="shared" si="113"/>
        <v>1</v>
      </c>
      <c r="W125" s="1641">
        <f t="shared" si="114"/>
        <v>1</v>
      </c>
      <c r="X125" s="1641">
        <f t="shared" si="115"/>
        <v>1</v>
      </c>
      <c r="Y125" s="1641">
        <f t="shared" si="116"/>
        <v>0</v>
      </c>
      <c r="Z125" s="1641">
        <f t="shared" si="117"/>
        <v>1</v>
      </c>
      <c r="AA125" s="1641">
        <f t="shared" si="118"/>
        <v>1</v>
      </c>
      <c r="AB125" s="1641">
        <f t="shared" si="119"/>
        <v>1</v>
      </c>
      <c r="AC125" s="1657">
        <f t="shared" si="107"/>
        <v>0</v>
      </c>
      <c r="AD125" s="1608">
        <f t="shared" si="108"/>
        <v>0</v>
      </c>
      <c r="AE125" s="1608">
        <f t="shared" si="109"/>
        <v>0</v>
      </c>
      <c r="AF125"/>
      <c r="AG125" s="1639" t="s">
        <v>1648</v>
      </c>
      <c r="AH125" s="1742" t="s">
        <v>1649</v>
      </c>
      <c r="AI125" s="1778" t="s">
        <v>1510</v>
      </c>
      <c r="AJ125" s="1734">
        <v>1</v>
      </c>
      <c r="AK125" s="1734">
        <v>1</v>
      </c>
      <c r="AL125" s="1734">
        <v>1</v>
      </c>
      <c r="AM125" s="1734">
        <v>1</v>
      </c>
      <c r="AN125" s="1734">
        <v>1</v>
      </c>
      <c r="AO125" s="1734">
        <v>1</v>
      </c>
      <c r="AP125" s="1734"/>
      <c r="AQ125" s="1734">
        <v>1</v>
      </c>
      <c r="AR125" s="1734">
        <v>1</v>
      </c>
      <c r="AS125" s="1734">
        <v>1</v>
      </c>
      <c r="AT125" s="2060"/>
      <c r="AU125" s="1709"/>
      <c r="AV125" s="1709"/>
      <c r="AW125"/>
      <c r="AX125" s="1639" t="s">
        <v>1508</v>
      </c>
      <c r="AY125" s="1742" t="s">
        <v>1509</v>
      </c>
      <c r="AZ125" s="1778" t="s">
        <v>1510</v>
      </c>
      <c r="BA125" s="1734">
        <v>1</v>
      </c>
      <c r="BB125" s="1734">
        <v>1</v>
      </c>
      <c r="BC125" s="1734">
        <v>1</v>
      </c>
      <c r="BD125" s="1734">
        <v>1</v>
      </c>
      <c r="BE125" s="1734">
        <v>1</v>
      </c>
      <c r="BF125" s="1734">
        <v>1</v>
      </c>
      <c r="BG125" s="1734"/>
      <c r="BH125" s="1734">
        <v>1</v>
      </c>
      <c r="BI125" s="1734">
        <v>1</v>
      </c>
      <c r="BJ125" s="1734">
        <v>1</v>
      </c>
      <c r="BK125" s="2060"/>
      <c r="BL125" s="1709"/>
      <c r="BM125" s="1709"/>
      <c r="BN125"/>
      <c r="BO125" s="1639" t="s">
        <v>1508</v>
      </c>
      <c r="BP125" s="1742" t="s">
        <v>1509</v>
      </c>
      <c r="BQ125" s="1778" t="s">
        <v>1510</v>
      </c>
      <c r="BR125" s="1734">
        <v>1</v>
      </c>
      <c r="BS125" s="1734">
        <v>1</v>
      </c>
      <c r="BT125" s="1734">
        <v>1</v>
      </c>
      <c r="BU125" s="1734">
        <v>1</v>
      </c>
      <c r="BV125" s="1734">
        <v>1</v>
      </c>
      <c r="BW125" s="1734">
        <v>1</v>
      </c>
      <c r="BX125" s="1734"/>
      <c r="BY125" s="1734">
        <v>1</v>
      </c>
      <c r="BZ125" s="1734">
        <v>1</v>
      </c>
      <c r="CA125" s="1734">
        <v>1</v>
      </c>
      <c r="CB125" s="2060"/>
      <c r="CC125" s="1709"/>
      <c r="CD125" s="1709"/>
      <c r="CE125"/>
    </row>
    <row r="126" spans="1:83" s="1603" customFormat="1">
      <c r="A126"/>
      <c r="B126" s="1595" t="str">
        <f t="shared" si="100"/>
        <v>3b.c</v>
      </c>
      <c r="C126" s="1639" t="str">
        <f t="shared" si="82"/>
        <v>集合住宅の評価</v>
      </c>
      <c r="D126" s="2059" t="e">
        <f>IF(I$124=0,0,G126/I$124)</f>
        <v>#DIV/0!</v>
      </c>
      <c r="E126" s="1741" t="e">
        <f>IF(J$124=0,0,H126/J$124)</f>
        <v>#DIV/0!</v>
      </c>
      <c r="F126"/>
      <c r="G126" s="1741" t="e">
        <f t="shared" si="83"/>
        <v>#DIV/0!</v>
      </c>
      <c r="H126" s="1741" t="e">
        <f t="shared" si="84"/>
        <v>#DIV/0!</v>
      </c>
      <c r="I126" s="1741"/>
      <c r="J126" s="1741"/>
      <c r="K126" s="1741">
        <f>IF(スコア表示!W126=0,0,1)</f>
        <v>0</v>
      </c>
      <c r="L126" s="1741">
        <f>IF(スコア表示!AA126=0,0,1)</f>
        <v>0</v>
      </c>
      <c r="M126" s="1741" t="e">
        <f>SUMPRODUCT($S$7:$AB$7,S126:AB126)</f>
        <v>#DIV/0!</v>
      </c>
      <c r="N126" s="1741" t="e">
        <f t="shared" si="102"/>
        <v>#DIV/0!</v>
      </c>
      <c r="O126"/>
      <c r="P126" s="1639" t="str">
        <f t="shared" si="103"/>
        <v>3b.c</v>
      </c>
      <c r="Q126" s="1639" t="str">
        <f t="shared" si="104"/>
        <v>LR1 3</v>
      </c>
      <c r="R126" s="1778" t="str">
        <f t="shared" si="86"/>
        <v>集合住宅の評価</v>
      </c>
      <c r="S126" s="1641">
        <f t="shared" si="110"/>
        <v>0</v>
      </c>
      <c r="T126" s="1641">
        <f t="shared" si="111"/>
        <v>0</v>
      </c>
      <c r="U126" s="1641">
        <f t="shared" si="112"/>
        <v>0</v>
      </c>
      <c r="V126" s="1641">
        <f t="shared" si="113"/>
        <v>0</v>
      </c>
      <c r="W126" s="1641">
        <f t="shared" si="114"/>
        <v>0</v>
      </c>
      <c r="X126" s="1641">
        <f t="shared" si="115"/>
        <v>0</v>
      </c>
      <c r="Y126" s="1641">
        <f t="shared" si="116"/>
        <v>1</v>
      </c>
      <c r="Z126" s="1641">
        <f t="shared" si="117"/>
        <v>0</v>
      </c>
      <c r="AA126" s="1641">
        <f t="shared" si="118"/>
        <v>0</v>
      </c>
      <c r="AB126" s="1641">
        <f t="shared" si="119"/>
        <v>0</v>
      </c>
      <c r="AC126" s="1657">
        <f t="shared" si="107"/>
        <v>0</v>
      </c>
      <c r="AD126" s="1608">
        <f t="shared" si="108"/>
        <v>0</v>
      </c>
      <c r="AE126" s="1608">
        <f t="shared" si="109"/>
        <v>0</v>
      </c>
      <c r="AF126"/>
      <c r="AG126" s="1639" t="s">
        <v>1650</v>
      </c>
      <c r="AH126" s="1742" t="s">
        <v>1649</v>
      </c>
      <c r="AI126" s="1778" t="s">
        <v>136</v>
      </c>
      <c r="AJ126" s="1673"/>
      <c r="AK126" s="1673"/>
      <c r="AL126" s="1673"/>
      <c r="AM126" s="1673"/>
      <c r="AN126" s="1673"/>
      <c r="AO126" s="1673"/>
      <c r="AP126" s="1734">
        <v>1</v>
      </c>
      <c r="AQ126" s="1673"/>
      <c r="AR126" s="1673"/>
      <c r="AS126" s="1734"/>
      <c r="AT126" s="2060"/>
      <c r="AU126" s="1709"/>
      <c r="AV126" s="1709"/>
      <c r="AW126"/>
      <c r="AX126" s="1639" t="s">
        <v>1511</v>
      </c>
      <c r="AY126" s="1742" t="s">
        <v>1509</v>
      </c>
      <c r="AZ126" s="1778" t="s">
        <v>136</v>
      </c>
      <c r="BA126" s="1673"/>
      <c r="BB126" s="1673"/>
      <c r="BC126" s="1673"/>
      <c r="BD126" s="1673"/>
      <c r="BE126" s="1673"/>
      <c r="BF126" s="1673"/>
      <c r="BG126" s="1734">
        <v>1</v>
      </c>
      <c r="BH126" s="1673"/>
      <c r="BI126" s="1673"/>
      <c r="BJ126" s="1734"/>
      <c r="BK126" s="2060"/>
      <c r="BL126" s="1709"/>
      <c r="BM126" s="1709"/>
      <c r="BN126"/>
      <c r="BO126" s="1639" t="s">
        <v>1511</v>
      </c>
      <c r="BP126" s="1742" t="s">
        <v>1509</v>
      </c>
      <c r="BQ126" s="1778" t="s">
        <v>136</v>
      </c>
      <c r="BR126" s="1673"/>
      <c r="BS126" s="1673"/>
      <c r="BT126" s="1673"/>
      <c r="BU126" s="1673"/>
      <c r="BV126" s="1673"/>
      <c r="BW126" s="1673"/>
      <c r="BX126" s="1734">
        <v>1</v>
      </c>
      <c r="BY126" s="1673"/>
      <c r="BZ126" s="1673"/>
      <c r="CA126" s="1734"/>
      <c r="CB126" s="2060"/>
      <c r="CC126" s="1709"/>
      <c r="CD126" s="1709"/>
      <c r="CE126"/>
    </row>
    <row r="127" spans="1:83" hidden="1">
      <c r="B127" s="1595">
        <f t="shared" si="100"/>
        <v>3.1</v>
      </c>
      <c r="C127" s="1645" t="str">
        <f t="shared" si="82"/>
        <v>空調設備</v>
      </c>
      <c r="D127" s="1714">
        <f t="shared" ref="D127:E131" si="120">IF(I$126=0,0,G127/I$126)</f>
        <v>0</v>
      </c>
      <c r="E127" s="1689">
        <f t="shared" si="120"/>
        <v>0</v>
      </c>
      <c r="G127" s="1689" t="e">
        <f t="shared" si="83"/>
        <v>#DIV/0!</v>
      </c>
      <c r="H127" s="1689" t="e">
        <f t="shared" si="84"/>
        <v>#DIV/0!</v>
      </c>
      <c r="I127" s="1689"/>
      <c r="J127" s="1689"/>
      <c r="K127" s="1689">
        <f>IF(スコア表示!W127=0,0,1)</f>
        <v>0</v>
      </c>
      <c r="L127" s="1689">
        <f>IF(スコア表示!AA127=0,0,1)</f>
        <v>0</v>
      </c>
      <c r="M127" s="1689" t="e">
        <f t="shared" si="85"/>
        <v>#DIV/0!</v>
      </c>
      <c r="N127" s="1689" t="e">
        <f t="shared" si="102"/>
        <v>#DIV/0!</v>
      </c>
      <c r="P127" s="1645">
        <f t="shared" si="103"/>
        <v>3.1</v>
      </c>
      <c r="Q127" s="1645" t="str">
        <f t="shared" si="104"/>
        <v>LR1 3b</v>
      </c>
      <c r="R127" s="1735" t="str">
        <f t="shared" si="86"/>
        <v>空調設備</v>
      </c>
      <c r="S127" s="1616">
        <f t="shared" si="110"/>
        <v>0</v>
      </c>
      <c r="T127" s="1616">
        <f t="shared" si="111"/>
        <v>0</v>
      </c>
      <c r="U127" s="1616">
        <f t="shared" si="112"/>
        <v>0</v>
      </c>
      <c r="V127" s="1616">
        <f t="shared" si="113"/>
        <v>0</v>
      </c>
      <c r="W127" s="1616">
        <f t="shared" si="114"/>
        <v>0</v>
      </c>
      <c r="X127" s="1616">
        <f t="shared" si="115"/>
        <v>0</v>
      </c>
      <c r="Y127" s="1616">
        <f t="shared" si="116"/>
        <v>0</v>
      </c>
      <c r="Z127" s="1624">
        <f t="shared" si="117"/>
        <v>0</v>
      </c>
      <c r="AA127" s="1616">
        <f t="shared" si="118"/>
        <v>0</v>
      </c>
      <c r="AB127" s="1616">
        <f t="shared" si="119"/>
        <v>0.65</v>
      </c>
      <c r="AC127" s="1617">
        <f t="shared" si="107"/>
        <v>0</v>
      </c>
      <c r="AD127" s="1616">
        <f t="shared" si="108"/>
        <v>0</v>
      </c>
      <c r="AE127" s="1616">
        <f t="shared" si="109"/>
        <v>0</v>
      </c>
      <c r="AG127" s="1645">
        <v>3.1</v>
      </c>
      <c r="AH127" s="1691" t="s">
        <v>1512</v>
      </c>
      <c r="AI127" s="1735" t="s">
        <v>749</v>
      </c>
      <c r="AJ127" s="1621"/>
      <c r="AK127" s="1621"/>
      <c r="AL127" s="1621"/>
      <c r="AM127" s="1621"/>
      <c r="AN127" s="1621"/>
      <c r="AO127" s="1621"/>
      <c r="AP127" s="1621"/>
      <c r="AQ127" s="1622"/>
      <c r="AR127" s="1621"/>
      <c r="AS127" s="2348">
        <v>0.65</v>
      </c>
      <c r="AT127" s="1623"/>
      <c r="AU127" s="1621"/>
      <c r="AV127" s="1621"/>
      <c r="AX127" s="1645">
        <v>3.1</v>
      </c>
      <c r="AY127" s="1691" t="s">
        <v>1513</v>
      </c>
      <c r="AZ127" s="1735" t="s">
        <v>749</v>
      </c>
      <c r="BA127" s="1621"/>
      <c r="BB127" s="1621"/>
      <c r="BC127" s="1621"/>
      <c r="BD127" s="1621"/>
      <c r="BE127" s="1621"/>
      <c r="BF127" s="1621"/>
      <c r="BG127" s="1621"/>
      <c r="BH127" s="1622"/>
      <c r="BI127" s="1621"/>
      <c r="BJ127" s="1621"/>
      <c r="BK127" s="1623"/>
      <c r="BL127" s="1621"/>
      <c r="BM127" s="1621"/>
      <c r="BO127" s="1645">
        <v>3.1</v>
      </c>
      <c r="BP127" s="1691" t="s">
        <v>1513</v>
      </c>
      <c r="BQ127" s="1735" t="s">
        <v>749</v>
      </c>
      <c r="BR127" s="1621"/>
      <c r="BS127" s="1621"/>
      <c r="BT127" s="1621"/>
      <c r="BU127" s="1621"/>
      <c r="BV127" s="1621"/>
      <c r="BW127" s="1621"/>
      <c r="BX127" s="1621"/>
      <c r="BY127" s="1622"/>
      <c r="BZ127" s="1621"/>
      <c r="CA127" s="1621"/>
      <c r="CB127" s="1623"/>
      <c r="CC127" s="1621"/>
      <c r="CD127" s="1621"/>
      <c r="CE127">
        <f>ROWS($CE$5:CE126)</f>
        <v>122</v>
      </c>
    </row>
    <row r="128" spans="1:83" hidden="1">
      <c r="B128" s="1595">
        <f t="shared" si="100"/>
        <v>3.2</v>
      </c>
      <c r="C128" s="1645" t="str">
        <f t="shared" si="82"/>
        <v>換気設備</v>
      </c>
      <c r="D128" s="1714">
        <f t="shared" si="120"/>
        <v>0</v>
      </c>
      <c r="E128" s="1689">
        <f t="shared" si="120"/>
        <v>0</v>
      </c>
      <c r="G128" s="1689" t="e">
        <f t="shared" si="83"/>
        <v>#DIV/0!</v>
      </c>
      <c r="H128" s="1689" t="e">
        <f t="shared" si="84"/>
        <v>#DIV/0!</v>
      </c>
      <c r="I128" s="1689"/>
      <c r="J128" s="1689"/>
      <c r="K128" s="1689">
        <f>IF(スコア表示!W128=0,0,1)</f>
        <v>0</v>
      </c>
      <c r="L128" s="1689">
        <f>IF(スコア表示!AA128=0,0,1)</f>
        <v>0</v>
      </c>
      <c r="M128" s="1689" t="e">
        <f t="shared" si="85"/>
        <v>#DIV/0!</v>
      </c>
      <c r="N128" s="1689" t="e">
        <f t="shared" si="102"/>
        <v>#DIV/0!</v>
      </c>
      <c r="P128" s="1645">
        <f t="shared" si="103"/>
        <v>3.2</v>
      </c>
      <c r="Q128" s="1645" t="str">
        <f t="shared" si="104"/>
        <v>LR1 3b</v>
      </c>
      <c r="R128" s="1735" t="str">
        <f t="shared" si="86"/>
        <v>換気設備</v>
      </c>
      <c r="S128" s="1616">
        <f t="shared" si="110"/>
        <v>0</v>
      </c>
      <c r="T128" s="1616">
        <f t="shared" si="111"/>
        <v>0</v>
      </c>
      <c r="U128" s="1616">
        <f t="shared" si="112"/>
        <v>0</v>
      </c>
      <c r="V128" s="1616">
        <f t="shared" si="113"/>
        <v>0</v>
      </c>
      <c r="W128" s="1616">
        <f t="shared" si="114"/>
        <v>0</v>
      </c>
      <c r="X128" s="1616">
        <f t="shared" si="115"/>
        <v>0</v>
      </c>
      <c r="Y128" s="1616">
        <f t="shared" si="116"/>
        <v>0</v>
      </c>
      <c r="Z128" s="1624">
        <f t="shared" si="117"/>
        <v>0</v>
      </c>
      <c r="AA128" s="1616">
        <f t="shared" si="118"/>
        <v>0</v>
      </c>
      <c r="AB128" s="1616">
        <f t="shared" si="119"/>
        <v>0.1</v>
      </c>
      <c r="AC128" s="1617">
        <f t="shared" si="107"/>
        <v>0</v>
      </c>
      <c r="AD128" s="1616">
        <f t="shared" si="108"/>
        <v>0</v>
      </c>
      <c r="AE128" s="1616">
        <f t="shared" si="109"/>
        <v>0</v>
      </c>
      <c r="AG128" s="1645">
        <v>3.2</v>
      </c>
      <c r="AH128" s="1691" t="s">
        <v>1512</v>
      </c>
      <c r="AI128" s="1735" t="s">
        <v>750</v>
      </c>
      <c r="AJ128" s="1621"/>
      <c r="AK128" s="1621"/>
      <c r="AL128" s="1621"/>
      <c r="AM128" s="1621"/>
      <c r="AN128" s="1621"/>
      <c r="AO128" s="1621"/>
      <c r="AP128" s="1621"/>
      <c r="AQ128" s="1622"/>
      <c r="AR128" s="1621"/>
      <c r="AS128" s="2348">
        <v>0.1</v>
      </c>
      <c r="AT128" s="1623"/>
      <c r="AU128" s="1621"/>
      <c r="AV128" s="1621"/>
      <c r="AX128" s="1645">
        <v>3.2</v>
      </c>
      <c r="AY128" s="1691" t="s">
        <v>1513</v>
      </c>
      <c r="AZ128" s="1735" t="s">
        <v>750</v>
      </c>
      <c r="BA128" s="1621"/>
      <c r="BB128" s="1621"/>
      <c r="BC128" s="1621"/>
      <c r="BD128" s="1621"/>
      <c r="BE128" s="1621"/>
      <c r="BF128" s="1621"/>
      <c r="BG128" s="1621"/>
      <c r="BH128" s="1622"/>
      <c r="BI128" s="1621"/>
      <c r="BJ128" s="1621"/>
      <c r="BK128" s="1623"/>
      <c r="BL128" s="1621"/>
      <c r="BM128" s="1621"/>
      <c r="BO128" s="1645">
        <v>3.2</v>
      </c>
      <c r="BP128" s="1691" t="s">
        <v>1513</v>
      </c>
      <c r="BQ128" s="1735" t="s">
        <v>750</v>
      </c>
      <c r="BR128" s="1621"/>
      <c r="BS128" s="1621"/>
      <c r="BT128" s="1621"/>
      <c r="BU128" s="1621"/>
      <c r="BV128" s="1621"/>
      <c r="BW128" s="1621"/>
      <c r="BX128" s="1621"/>
      <c r="BY128" s="1622"/>
      <c r="BZ128" s="1621"/>
      <c r="CA128" s="1621"/>
      <c r="CB128" s="1623"/>
      <c r="CC128" s="1621"/>
      <c r="CD128" s="1621"/>
      <c r="CE128">
        <f>ROWS($CE$5:CE127)</f>
        <v>123</v>
      </c>
    </row>
    <row r="129" spans="1:83" hidden="1">
      <c r="B129" s="1595">
        <f t="shared" si="100"/>
        <v>3.3</v>
      </c>
      <c r="C129" s="1645" t="str">
        <f t="shared" si="82"/>
        <v>照明設備</v>
      </c>
      <c r="D129" s="1714">
        <f t="shared" si="120"/>
        <v>0</v>
      </c>
      <c r="E129" s="1689">
        <f t="shared" si="120"/>
        <v>0</v>
      </c>
      <c r="G129" s="1689" t="e">
        <f t="shared" si="83"/>
        <v>#DIV/0!</v>
      </c>
      <c r="H129" s="1689" t="e">
        <f t="shared" si="84"/>
        <v>#DIV/0!</v>
      </c>
      <c r="I129" s="1689"/>
      <c r="J129" s="1689"/>
      <c r="K129" s="1689">
        <f>IF(スコア表示!W129=0,0,1)</f>
        <v>0</v>
      </c>
      <c r="L129" s="1689">
        <f>IF(スコア表示!AA129=0,0,1)</f>
        <v>0</v>
      </c>
      <c r="M129" s="1689" t="e">
        <f t="shared" si="85"/>
        <v>#DIV/0!</v>
      </c>
      <c r="N129" s="1689" t="e">
        <f t="shared" si="102"/>
        <v>#DIV/0!</v>
      </c>
      <c r="P129" s="1645">
        <f t="shared" si="103"/>
        <v>3.3</v>
      </c>
      <c r="Q129" s="1645" t="str">
        <f t="shared" si="104"/>
        <v>LR1 3b</v>
      </c>
      <c r="R129" s="1735" t="str">
        <f t="shared" si="86"/>
        <v>照明設備</v>
      </c>
      <c r="S129" s="1616">
        <f t="shared" si="110"/>
        <v>0</v>
      </c>
      <c r="T129" s="1616">
        <f t="shared" si="111"/>
        <v>0</v>
      </c>
      <c r="U129" s="1616">
        <f t="shared" si="112"/>
        <v>0</v>
      </c>
      <c r="V129" s="1616">
        <f t="shared" si="113"/>
        <v>0</v>
      </c>
      <c r="W129" s="1616">
        <f t="shared" si="114"/>
        <v>0</v>
      </c>
      <c r="X129" s="1616">
        <f t="shared" si="115"/>
        <v>0</v>
      </c>
      <c r="Y129" s="1616">
        <f t="shared" si="116"/>
        <v>0</v>
      </c>
      <c r="Z129" s="1624">
        <f t="shared" si="117"/>
        <v>0</v>
      </c>
      <c r="AA129" s="1616">
        <f t="shared" si="118"/>
        <v>0</v>
      </c>
      <c r="AB129" s="1616">
        <f t="shared" si="119"/>
        <v>0.2</v>
      </c>
      <c r="AC129" s="1617">
        <f t="shared" si="107"/>
        <v>0</v>
      </c>
      <c r="AD129" s="1616">
        <f t="shared" si="108"/>
        <v>0</v>
      </c>
      <c r="AE129" s="1616">
        <f t="shared" si="109"/>
        <v>0</v>
      </c>
      <c r="AG129" s="1645">
        <v>3.3</v>
      </c>
      <c r="AH129" s="1691" t="s">
        <v>1512</v>
      </c>
      <c r="AI129" s="1735" t="s">
        <v>751</v>
      </c>
      <c r="AJ129" s="1621"/>
      <c r="AK129" s="1621"/>
      <c r="AL129" s="1621"/>
      <c r="AM129" s="1621"/>
      <c r="AN129" s="1621"/>
      <c r="AO129" s="1621"/>
      <c r="AP129" s="1621"/>
      <c r="AQ129" s="1622"/>
      <c r="AR129" s="1621"/>
      <c r="AS129" s="2348">
        <v>0.2</v>
      </c>
      <c r="AT129" s="1623"/>
      <c r="AU129" s="1621"/>
      <c r="AV129" s="1621"/>
      <c r="AX129" s="1645">
        <v>3.3</v>
      </c>
      <c r="AY129" s="1691" t="s">
        <v>1513</v>
      </c>
      <c r="AZ129" s="1735" t="s">
        <v>751</v>
      </c>
      <c r="BA129" s="1621"/>
      <c r="BB129" s="1621"/>
      <c r="BC129" s="1621"/>
      <c r="BD129" s="1621"/>
      <c r="BE129" s="1621"/>
      <c r="BF129" s="1621"/>
      <c r="BG129" s="1621"/>
      <c r="BH129" s="1622"/>
      <c r="BI129" s="1621"/>
      <c r="BJ129" s="1621"/>
      <c r="BK129" s="1623"/>
      <c r="BL129" s="1621"/>
      <c r="BM129" s="1621"/>
      <c r="BO129" s="1645">
        <v>3.3</v>
      </c>
      <c r="BP129" s="1691" t="s">
        <v>1513</v>
      </c>
      <c r="BQ129" s="1735" t="s">
        <v>751</v>
      </c>
      <c r="BR129" s="1621"/>
      <c r="BS129" s="1621"/>
      <c r="BT129" s="1621"/>
      <c r="BU129" s="1621"/>
      <c r="BV129" s="1621"/>
      <c r="BW129" s="1621"/>
      <c r="BX129" s="1621"/>
      <c r="BY129" s="1622"/>
      <c r="BZ129" s="1621"/>
      <c r="CA129" s="1621"/>
      <c r="CB129" s="1623"/>
      <c r="CC129" s="1621"/>
      <c r="CD129" s="1621"/>
      <c r="CE129">
        <f>ROWS($CE$5:CE128)</f>
        <v>124</v>
      </c>
    </row>
    <row r="130" spans="1:83" hidden="1">
      <c r="B130" s="1595">
        <f t="shared" si="100"/>
        <v>3.4</v>
      </c>
      <c r="C130" s="1645" t="str">
        <f t="shared" si="82"/>
        <v>給湯設備</v>
      </c>
      <c r="D130" s="1714">
        <f t="shared" si="120"/>
        <v>0</v>
      </c>
      <c r="E130" s="1689">
        <f t="shared" si="120"/>
        <v>0</v>
      </c>
      <c r="G130" s="1689" t="e">
        <f t="shared" si="83"/>
        <v>#DIV/0!</v>
      </c>
      <c r="H130" s="1689" t="e">
        <f t="shared" si="84"/>
        <v>#DIV/0!</v>
      </c>
      <c r="I130" s="1689"/>
      <c r="J130" s="1689"/>
      <c r="K130" s="1689">
        <f>IF(スコア表示!W130=0,0,1)</f>
        <v>0</v>
      </c>
      <c r="L130" s="1689">
        <f>IF(スコア表示!AA130=0,0,1)</f>
        <v>0</v>
      </c>
      <c r="M130" s="1689" t="e">
        <f t="shared" si="85"/>
        <v>#DIV/0!</v>
      </c>
      <c r="N130" s="1689" t="e">
        <f t="shared" si="102"/>
        <v>#DIV/0!</v>
      </c>
      <c r="P130" s="2089">
        <f t="shared" si="103"/>
        <v>3.4</v>
      </c>
      <c r="Q130" s="1645" t="str">
        <f t="shared" si="104"/>
        <v>LR1 3b</v>
      </c>
      <c r="R130" s="1735" t="str">
        <f t="shared" si="86"/>
        <v>給湯設備</v>
      </c>
      <c r="S130" s="1616">
        <f t="shared" si="110"/>
        <v>0</v>
      </c>
      <c r="T130" s="1616">
        <f t="shared" si="111"/>
        <v>0</v>
      </c>
      <c r="U130" s="1616">
        <f t="shared" si="112"/>
        <v>0</v>
      </c>
      <c r="V130" s="1616">
        <f t="shared" si="113"/>
        <v>0</v>
      </c>
      <c r="W130" s="1616">
        <f t="shared" si="114"/>
        <v>0</v>
      </c>
      <c r="X130" s="1616">
        <f t="shared" si="115"/>
        <v>0</v>
      </c>
      <c r="Y130" s="1616">
        <f t="shared" si="116"/>
        <v>0</v>
      </c>
      <c r="Z130" s="1624">
        <f t="shared" si="117"/>
        <v>0</v>
      </c>
      <c r="AA130" s="1616">
        <f t="shared" si="118"/>
        <v>0</v>
      </c>
      <c r="AB130" s="1616">
        <f t="shared" si="119"/>
        <v>0.05</v>
      </c>
      <c r="AC130" s="1617">
        <f t="shared" si="107"/>
        <v>0</v>
      </c>
      <c r="AD130" s="1616">
        <f t="shared" si="108"/>
        <v>0</v>
      </c>
      <c r="AE130" s="1616">
        <f t="shared" si="109"/>
        <v>0</v>
      </c>
      <c r="AG130" s="2089">
        <v>3.4</v>
      </c>
      <c r="AH130" s="1691" t="s">
        <v>1512</v>
      </c>
      <c r="AI130" s="1735" t="s">
        <v>365</v>
      </c>
      <c r="AJ130" s="1621"/>
      <c r="AK130" s="1621"/>
      <c r="AL130" s="1621"/>
      <c r="AM130" s="1621"/>
      <c r="AN130" s="1621"/>
      <c r="AO130" s="1621"/>
      <c r="AP130" s="1621"/>
      <c r="AQ130" s="1622"/>
      <c r="AR130" s="1621"/>
      <c r="AS130" s="2348">
        <v>0.05</v>
      </c>
      <c r="AT130" s="1623"/>
      <c r="AU130" s="1621"/>
      <c r="AV130" s="1621"/>
      <c r="AX130" s="2089">
        <v>3.4</v>
      </c>
      <c r="AY130" s="1691" t="s">
        <v>1513</v>
      </c>
      <c r="AZ130" s="1735" t="s">
        <v>365</v>
      </c>
      <c r="BA130" s="1621"/>
      <c r="BB130" s="1621"/>
      <c r="BC130" s="1621"/>
      <c r="BD130" s="1621"/>
      <c r="BE130" s="1621"/>
      <c r="BF130" s="1621"/>
      <c r="BG130" s="1621"/>
      <c r="BH130" s="1622"/>
      <c r="BI130" s="1621"/>
      <c r="BJ130" s="1621"/>
      <c r="BK130" s="1623"/>
      <c r="BL130" s="1621"/>
      <c r="BM130" s="1621"/>
      <c r="BO130" s="2089">
        <v>3.4</v>
      </c>
      <c r="BP130" s="1691" t="s">
        <v>1513</v>
      </c>
      <c r="BQ130" s="1735" t="s">
        <v>365</v>
      </c>
      <c r="BR130" s="1621"/>
      <c r="BS130" s="1621"/>
      <c r="BT130" s="1621"/>
      <c r="BU130" s="1621"/>
      <c r="BV130" s="1621"/>
      <c r="BW130" s="1621"/>
      <c r="BX130" s="1621"/>
      <c r="BY130" s="1622"/>
      <c r="BZ130" s="1621"/>
      <c r="CA130" s="1621"/>
      <c r="CB130" s="1623"/>
      <c r="CC130" s="1621"/>
      <c r="CD130" s="1621"/>
      <c r="CE130">
        <f>ROWS($CE$5:CE129)</f>
        <v>125</v>
      </c>
    </row>
    <row r="131" spans="1:83" hidden="1">
      <c r="B131" s="1595">
        <f t="shared" si="100"/>
        <v>3.5</v>
      </c>
      <c r="C131" s="1645" t="str">
        <f t="shared" si="82"/>
        <v>昇降機設備</v>
      </c>
      <c r="D131" s="1714">
        <f t="shared" si="120"/>
        <v>0</v>
      </c>
      <c r="E131" s="1689">
        <f t="shared" si="120"/>
        <v>0</v>
      </c>
      <c r="G131" s="1689" t="e">
        <f t="shared" si="83"/>
        <v>#DIV/0!</v>
      </c>
      <c r="H131" s="1689" t="e">
        <f t="shared" si="84"/>
        <v>#DIV/0!</v>
      </c>
      <c r="I131" s="1689"/>
      <c r="J131" s="1689"/>
      <c r="K131" s="1689">
        <f>IF(スコア表示!W131=0,0,1)</f>
        <v>0</v>
      </c>
      <c r="L131" s="1689">
        <f>IF(スコア表示!AA131=0,0,1)</f>
        <v>0</v>
      </c>
      <c r="M131" s="1689" t="e">
        <f t="shared" si="85"/>
        <v>#DIV/0!</v>
      </c>
      <c r="N131" s="1689" t="e">
        <f t="shared" si="102"/>
        <v>#DIV/0!</v>
      </c>
      <c r="P131" s="2089">
        <f t="shared" si="103"/>
        <v>3.5</v>
      </c>
      <c r="Q131" s="1645" t="str">
        <f t="shared" si="104"/>
        <v>LR1 3b</v>
      </c>
      <c r="R131" s="1735" t="str">
        <f t="shared" si="86"/>
        <v>昇降機設備</v>
      </c>
      <c r="S131" s="1616">
        <f t="shared" si="110"/>
        <v>0</v>
      </c>
      <c r="T131" s="1616">
        <f t="shared" si="111"/>
        <v>0</v>
      </c>
      <c r="U131" s="1616">
        <f t="shared" si="112"/>
        <v>0</v>
      </c>
      <c r="V131" s="1616">
        <f t="shared" si="113"/>
        <v>0</v>
      </c>
      <c r="W131" s="1616">
        <f t="shared" si="114"/>
        <v>0</v>
      </c>
      <c r="X131" s="1616">
        <f t="shared" si="115"/>
        <v>0</v>
      </c>
      <c r="Y131" s="1616">
        <f t="shared" si="116"/>
        <v>0</v>
      </c>
      <c r="Z131" s="1624">
        <f t="shared" si="117"/>
        <v>0</v>
      </c>
      <c r="AA131" s="1616">
        <f t="shared" si="118"/>
        <v>0</v>
      </c>
      <c r="AB131" s="1616">
        <f t="shared" si="119"/>
        <v>0</v>
      </c>
      <c r="AC131" s="1617">
        <f t="shared" si="107"/>
        <v>0</v>
      </c>
      <c r="AD131" s="1616">
        <f t="shared" si="108"/>
        <v>0</v>
      </c>
      <c r="AE131" s="1616">
        <f t="shared" si="109"/>
        <v>0</v>
      </c>
      <c r="AG131" s="2089">
        <v>3.5</v>
      </c>
      <c r="AH131" s="1691" t="s">
        <v>1512</v>
      </c>
      <c r="AI131" s="1735" t="s">
        <v>752</v>
      </c>
      <c r="AJ131" s="1621"/>
      <c r="AK131" s="1621"/>
      <c r="AL131" s="1621"/>
      <c r="AM131" s="1621"/>
      <c r="AN131" s="1621"/>
      <c r="AO131" s="1621"/>
      <c r="AP131" s="1621"/>
      <c r="AQ131" s="1622"/>
      <c r="AR131" s="1621"/>
      <c r="AS131" s="1621"/>
      <c r="AT131" s="1623"/>
      <c r="AU131" s="1621"/>
      <c r="AV131" s="1621"/>
      <c r="AX131" s="2089">
        <v>3.5</v>
      </c>
      <c r="AY131" s="1691" t="s">
        <v>1513</v>
      </c>
      <c r="AZ131" s="1735" t="s">
        <v>752</v>
      </c>
      <c r="BA131" s="1621"/>
      <c r="BB131" s="1621"/>
      <c r="BC131" s="1621"/>
      <c r="BD131" s="1621"/>
      <c r="BE131" s="1621"/>
      <c r="BF131" s="1621"/>
      <c r="BG131" s="1621"/>
      <c r="BH131" s="1622"/>
      <c r="BI131" s="1621"/>
      <c r="BJ131" s="1621"/>
      <c r="BK131" s="1623"/>
      <c r="BL131" s="1621"/>
      <c r="BM131" s="1621"/>
      <c r="BO131" s="2089">
        <v>3.5</v>
      </c>
      <c r="BP131" s="1691" t="s">
        <v>1513</v>
      </c>
      <c r="BQ131" s="1735" t="s">
        <v>752</v>
      </c>
      <c r="BR131" s="1621"/>
      <c r="BS131" s="1621"/>
      <c r="BT131" s="1621"/>
      <c r="BU131" s="1621"/>
      <c r="BV131" s="1621"/>
      <c r="BW131" s="1621"/>
      <c r="BX131" s="1621"/>
      <c r="BY131" s="1622"/>
      <c r="BZ131" s="1621"/>
      <c r="CA131" s="1621"/>
      <c r="CB131" s="1623"/>
      <c r="CC131" s="1621"/>
      <c r="CD131" s="1621"/>
      <c r="CE131">
        <f>ROWS($CE$5:CE130)</f>
        <v>126</v>
      </c>
    </row>
    <row r="132" spans="1:83">
      <c r="B132" s="1595">
        <f t="shared" si="100"/>
        <v>0</v>
      </c>
      <c r="C132" s="1645" t="str">
        <f t="shared" si="82"/>
        <v>実績値を用いた総合評価</v>
      </c>
      <c r="D132" s="2059" t="e">
        <f>IF(I$124=0,0,G132/I$124)</f>
        <v>#DIV/0!</v>
      </c>
      <c r="E132" s="1741"/>
      <c r="F132" s="2421"/>
      <c r="G132" s="1741" t="e">
        <f t="shared" si="83"/>
        <v>#DIV/0!</v>
      </c>
      <c r="H132" s="1741" t="e">
        <f t="shared" si="84"/>
        <v>#DIV/0!</v>
      </c>
      <c r="I132" s="1741"/>
      <c r="J132" s="1741"/>
      <c r="K132" s="1689">
        <f>IF(スコア表示!W132=0,0,1)</f>
        <v>0</v>
      </c>
      <c r="L132" s="1689">
        <f>IF(スコア表示!AA132=0,0,1)</f>
        <v>0</v>
      </c>
      <c r="M132" s="1689" t="e">
        <f t="shared" si="85"/>
        <v>#DIV/0!</v>
      </c>
      <c r="N132" s="1689" t="e">
        <f t="shared" si="102"/>
        <v>#DIV/0!</v>
      </c>
      <c r="P132" s="2089">
        <f t="shared" si="103"/>
        <v>0</v>
      </c>
      <c r="Q132" s="2089" t="str">
        <f t="shared" si="104"/>
        <v>LR</v>
      </c>
      <c r="R132" s="1735" t="str">
        <f t="shared" si="86"/>
        <v>実績値を用いた総合評価</v>
      </c>
      <c r="S132" s="1616">
        <f t="shared" si="110"/>
        <v>1</v>
      </c>
      <c r="T132" s="1616">
        <f t="shared" si="111"/>
        <v>1</v>
      </c>
      <c r="U132" s="1616">
        <f t="shared" si="112"/>
        <v>1</v>
      </c>
      <c r="V132" s="1616">
        <f t="shared" si="113"/>
        <v>1</v>
      </c>
      <c r="W132" s="1616">
        <f t="shared" si="114"/>
        <v>1</v>
      </c>
      <c r="X132" s="1616">
        <f t="shared" si="115"/>
        <v>1</v>
      </c>
      <c r="Y132" s="1616">
        <f t="shared" si="116"/>
        <v>0</v>
      </c>
      <c r="Z132" s="1624">
        <f t="shared" si="117"/>
        <v>1</v>
      </c>
      <c r="AA132" s="1616">
        <f t="shared" si="118"/>
        <v>0</v>
      </c>
      <c r="AB132" s="1616">
        <f t="shared" si="119"/>
        <v>1</v>
      </c>
      <c r="AC132" s="1617">
        <f t="shared" si="107"/>
        <v>0</v>
      </c>
      <c r="AD132" s="1616">
        <f t="shared" si="108"/>
        <v>0</v>
      </c>
      <c r="AE132" s="1616">
        <f t="shared" si="109"/>
        <v>0</v>
      </c>
      <c r="AG132" s="2089">
        <v>3</v>
      </c>
      <c r="AH132" s="2349" t="s">
        <v>1651</v>
      </c>
      <c r="AI132" s="1778" t="s">
        <v>1652</v>
      </c>
      <c r="AJ132" s="1621">
        <v>1</v>
      </c>
      <c r="AK132" s="1621">
        <v>1</v>
      </c>
      <c r="AL132" s="1621">
        <v>1</v>
      </c>
      <c r="AM132" s="1621">
        <v>1</v>
      </c>
      <c r="AN132" s="1621">
        <v>1</v>
      </c>
      <c r="AO132" s="1621">
        <v>1</v>
      </c>
      <c r="AP132" s="1621"/>
      <c r="AQ132" s="1621">
        <v>1</v>
      </c>
      <c r="AR132" s="1621"/>
      <c r="AS132" s="1621">
        <v>1</v>
      </c>
      <c r="AT132" s="1623"/>
      <c r="AU132" s="1621"/>
      <c r="AV132" s="1621"/>
      <c r="AX132" s="2089"/>
      <c r="AY132" s="2090" t="s">
        <v>362</v>
      </c>
      <c r="AZ132" s="1735"/>
      <c r="BA132" s="1621"/>
      <c r="BB132" s="1621"/>
      <c r="BC132" s="1621"/>
      <c r="BD132" s="1621"/>
      <c r="BE132" s="1621"/>
      <c r="BF132" s="1621"/>
      <c r="BG132" s="1621"/>
      <c r="BH132" s="1622"/>
      <c r="BI132" s="1621"/>
      <c r="BJ132" s="1621"/>
      <c r="BK132" s="1623"/>
      <c r="BL132" s="1621"/>
      <c r="BM132" s="1621"/>
      <c r="BO132" s="2089"/>
      <c r="BP132" s="2090" t="s">
        <v>362</v>
      </c>
      <c r="BQ132" s="1735"/>
      <c r="BR132" s="1621"/>
      <c r="BS132" s="1621"/>
      <c r="BT132" s="1621"/>
      <c r="BU132" s="1621"/>
      <c r="BV132" s="1621"/>
      <c r="BW132" s="1621"/>
      <c r="BX132" s="1621"/>
      <c r="BY132" s="1622"/>
      <c r="BZ132" s="1621"/>
      <c r="CA132" s="1621"/>
      <c r="CB132" s="1623"/>
      <c r="CC132" s="1621"/>
      <c r="CD132" s="1621"/>
      <c r="CE132">
        <f>ROWS($CE$5:CE131)</f>
        <v>127</v>
      </c>
    </row>
    <row r="133" spans="1:83" s="1603" customFormat="1">
      <c r="A133"/>
      <c r="B133" s="1595">
        <f t="shared" si="100"/>
        <v>4</v>
      </c>
      <c r="C133" s="1639" t="str">
        <f t="shared" si="82"/>
        <v>効率的運用</v>
      </c>
      <c r="D133" s="2059" t="e">
        <f>IF(I$117=0,0,G133/I$117)</f>
        <v>#DIV/0!</v>
      </c>
      <c r="E133" s="1741" t="e">
        <f>IF(J$117=0,0,H133/J$117)</f>
        <v>#DIV/0!</v>
      </c>
      <c r="F133"/>
      <c r="G133" s="1741" t="e">
        <f t="shared" si="83"/>
        <v>#DIV/0!</v>
      </c>
      <c r="H133" s="1741" t="e">
        <f t="shared" si="84"/>
        <v>#DIV/0!</v>
      </c>
      <c r="I133" s="1741" t="e">
        <f>G134+G137</f>
        <v>#DIV/0!</v>
      </c>
      <c r="J133" s="1741" t="e">
        <f>H134+H137</f>
        <v>#DIV/0!</v>
      </c>
      <c r="K133" s="1741" t="e">
        <f>IF(スコア表示!W133=0,0,1)</f>
        <v>#DIV/0!</v>
      </c>
      <c r="L133" s="1741" t="e">
        <f>IF(スコア表示!AA133=0,0,1)</f>
        <v>#DIV/0!</v>
      </c>
      <c r="M133" s="1741" t="e">
        <f t="shared" si="85"/>
        <v>#DIV/0!</v>
      </c>
      <c r="N133" s="1741" t="e">
        <f t="shared" si="102"/>
        <v>#DIV/0!</v>
      </c>
      <c r="O133"/>
      <c r="P133" s="1671">
        <f t="shared" si="103"/>
        <v>4</v>
      </c>
      <c r="Q133" s="1639" t="str">
        <f t="shared" si="104"/>
        <v>LR1</v>
      </c>
      <c r="R133" s="1778" t="str">
        <f t="shared" si="86"/>
        <v>効率的運用</v>
      </c>
      <c r="S133" s="1641">
        <f t="shared" si="110"/>
        <v>0.2</v>
      </c>
      <c r="T133" s="1641">
        <f t="shared" si="111"/>
        <v>0.2</v>
      </c>
      <c r="U133" s="1641">
        <f t="shared" si="112"/>
        <v>0.2</v>
      </c>
      <c r="V133" s="1641">
        <f t="shared" si="113"/>
        <v>0.2</v>
      </c>
      <c r="W133" s="1641">
        <f t="shared" si="114"/>
        <v>0.2</v>
      </c>
      <c r="X133" s="1641">
        <f t="shared" si="115"/>
        <v>0.2</v>
      </c>
      <c r="Y133" s="1641">
        <f t="shared" si="116"/>
        <v>0.2</v>
      </c>
      <c r="Z133" s="1609">
        <f t="shared" si="117"/>
        <v>0.2</v>
      </c>
      <c r="AA133" s="1641">
        <f t="shared" si="118"/>
        <v>0.25</v>
      </c>
      <c r="AB133" s="1641">
        <f t="shared" si="119"/>
        <v>0.2</v>
      </c>
      <c r="AC133" s="1657">
        <f t="shared" si="107"/>
        <v>0</v>
      </c>
      <c r="AD133" s="1608">
        <f t="shared" si="108"/>
        <v>0</v>
      </c>
      <c r="AE133" s="1608">
        <f t="shared" si="109"/>
        <v>0</v>
      </c>
      <c r="AF133"/>
      <c r="AG133" s="1671">
        <v>4</v>
      </c>
      <c r="AH133" s="1742" t="s">
        <v>363</v>
      </c>
      <c r="AI133" s="1778" t="s">
        <v>753</v>
      </c>
      <c r="AJ133" s="2076">
        <v>0.2</v>
      </c>
      <c r="AK133" s="2076">
        <v>0.2</v>
      </c>
      <c r="AL133" s="2076">
        <v>0.2</v>
      </c>
      <c r="AM133" s="2076">
        <v>0.2</v>
      </c>
      <c r="AN133" s="2076">
        <v>0.2</v>
      </c>
      <c r="AO133" s="2076">
        <v>0.2</v>
      </c>
      <c r="AP133" s="2076">
        <v>0.2</v>
      </c>
      <c r="AQ133" s="2076">
        <v>0.2</v>
      </c>
      <c r="AR133" s="2076">
        <v>0.25</v>
      </c>
      <c r="AS133" s="2076">
        <v>0.2</v>
      </c>
      <c r="AT133" s="2060"/>
      <c r="AU133" s="1709"/>
      <c r="AV133" s="1709"/>
      <c r="AW133"/>
      <c r="AX133" s="1671">
        <v>4</v>
      </c>
      <c r="AY133" s="1742" t="s">
        <v>363</v>
      </c>
      <c r="AZ133" s="1778" t="s">
        <v>753</v>
      </c>
      <c r="BA133" s="2076">
        <v>0.2</v>
      </c>
      <c r="BB133" s="2076">
        <v>0.2</v>
      </c>
      <c r="BC133" s="2076">
        <v>0.2</v>
      </c>
      <c r="BD133" s="2076">
        <v>0.2</v>
      </c>
      <c r="BE133" s="2076">
        <v>0.2</v>
      </c>
      <c r="BF133" s="2076">
        <v>0.2</v>
      </c>
      <c r="BG133" s="2076">
        <v>0.2</v>
      </c>
      <c r="BH133" s="2076">
        <v>0.2</v>
      </c>
      <c r="BI133" s="2076">
        <v>0.25</v>
      </c>
      <c r="BJ133" s="2076">
        <v>0.2</v>
      </c>
      <c r="BK133" s="2060"/>
      <c r="BL133" s="1709"/>
      <c r="BM133" s="1709"/>
      <c r="BN133"/>
      <c r="BO133" s="1671">
        <v>4</v>
      </c>
      <c r="BP133" s="1742" t="s">
        <v>363</v>
      </c>
      <c r="BQ133" s="1778" t="s">
        <v>753</v>
      </c>
      <c r="BR133" s="2076">
        <v>0.2</v>
      </c>
      <c r="BS133" s="2076">
        <v>0.2</v>
      </c>
      <c r="BT133" s="2076">
        <v>0.2</v>
      </c>
      <c r="BU133" s="2076">
        <v>0.2</v>
      </c>
      <c r="BV133" s="2076">
        <v>0.2</v>
      </c>
      <c r="BW133" s="2076">
        <v>0.2</v>
      </c>
      <c r="BX133" s="2076">
        <v>0.2</v>
      </c>
      <c r="BY133" s="2076">
        <v>0.2</v>
      </c>
      <c r="BZ133" s="2076">
        <v>0.25</v>
      </c>
      <c r="CA133" s="2076">
        <v>0.2</v>
      </c>
      <c r="CB133" s="2060"/>
      <c r="CC133" s="1709"/>
      <c r="CD133" s="1709"/>
      <c r="CE133">
        <f>ROWS($CE$5:CE132)</f>
        <v>128</v>
      </c>
    </row>
    <row r="134" spans="1:83">
      <c r="B134" s="1595">
        <f t="shared" si="100"/>
        <v>4.0999999999999996</v>
      </c>
      <c r="C134" s="1645" t="str">
        <f t="shared" si="82"/>
        <v>住宅以外の評価</v>
      </c>
      <c r="D134" s="1714" t="e">
        <f>IF(I$133=0,0,G134/I$133)</f>
        <v>#DIV/0!</v>
      </c>
      <c r="E134" s="1714" t="e">
        <f>IF(J$133=0,0,H134/J$133)</f>
        <v>#DIV/0!</v>
      </c>
      <c r="G134" s="1689" t="e">
        <f t="shared" si="83"/>
        <v>#DIV/0!</v>
      </c>
      <c r="H134" s="1689" t="e">
        <f t="shared" si="84"/>
        <v>#DIV/0!</v>
      </c>
      <c r="I134" s="1689" t="e">
        <f>SUM(G135:G136)</f>
        <v>#DIV/0!</v>
      </c>
      <c r="J134" s="1689" t="e">
        <f>SUM(H135:H136)</f>
        <v>#DIV/0!</v>
      </c>
      <c r="K134" s="1689" t="e">
        <f>IF(スコア表示!W134=0,0,1)</f>
        <v>#DIV/0!</v>
      </c>
      <c r="L134" s="1689" t="e">
        <f>IF(スコア表示!AA134=0,0,1)</f>
        <v>#DIV/0!</v>
      </c>
      <c r="M134" s="1689" t="e">
        <f t="shared" si="85"/>
        <v>#DIV/0!</v>
      </c>
      <c r="N134" s="1689" t="e">
        <f t="shared" si="102"/>
        <v>#DIV/0!</v>
      </c>
      <c r="P134" s="1645">
        <f t="shared" si="103"/>
        <v>4.0999999999999996</v>
      </c>
      <c r="Q134" s="1645" t="str">
        <f t="shared" si="104"/>
        <v>LR1 4</v>
      </c>
      <c r="R134" s="1735" t="str">
        <f t="shared" si="86"/>
        <v>住宅以外の評価</v>
      </c>
      <c r="S134" s="1616">
        <f t="shared" si="110"/>
        <v>1</v>
      </c>
      <c r="T134" s="1616">
        <f t="shared" si="111"/>
        <v>1</v>
      </c>
      <c r="U134" s="1616">
        <f t="shared" si="112"/>
        <v>1</v>
      </c>
      <c r="V134" s="1616">
        <f t="shared" si="113"/>
        <v>1</v>
      </c>
      <c r="W134" s="1616">
        <f t="shared" si="114"/>
        <v>1</v>
      </c>
      <c r="X134" s="1616">
        <f t="shared" si="115"/>
        <v>1</v>
      </c>
      <c r="Y134" s="1616">
        <f t="shared" si="116"/>
        <v>0</v>
      </c>
      <c r="Z134" s="1624">
        <f t="shared" si="117"/>
        <v>1</v>
      </c>
      <c r="AA134" s="1616">
        <f t="shared" si="118"/>
        <v>1</v>
      </c>
      <c r="AB134" s="1616">
        <f t="shared" si="119"/>
        <v>1</v>
      </c>
      <c r="AC134" s="1617">
        <f t="shared" si="107"/>
        <v>0</v>
      </c>
      <c r="AD134" s="1659">
        <f t="shared" si="108"/>
        <v>0</v>
      </c>
      <c r="AE134" s="1659">
        <f t="shared" si="109"/>
        <v>0</v>
      </c>
      <c r="AG134" s="1645">
        <v>4.0999999999999996</v>
      </c>
      <c r="AH134" s="1691" t="s">
        <v>366</v>
      </c>
      <c r="AI134" s="1735" t="s">
        <v>1514</v>
      </c>
      <c r="AJ134" s="1621">
        <v>1</v>
      </c>
      <c r="AK134" s="1621">
        <v>1</v>
      </c>
      <c r="AL134" s="1621">
        <v>1</v>
      </c>
      <c r="AM134" s="1621">
        <v>1</v>
      </c>
      <c r="AN134" s="1621">
        <v>1</v>
      </c>
      <c r="AO134" s="1621">
        <v>1</v>
      </c>
      <c r="AP134" s="1621"/>
      <c r="AQ134" s="1621">
        <v>1</v>
      </c>
      <c r="AR134" s="1621">
        <v>1</v>
      </c>
      <c r="AS134" s="1621">
        <v>1</v>
      </c>
      <c r="AT134" s="1623"/>
      <c r="AU134" s="2084"/>
      <c r="AV134" s="2084"/>
      <c r="AX134" s="1645">
        <v>4.0999999999999996</v>
      </c>
      <c r="AY134" s="1691" t="s">
        <v>366</v>
      </c>
      <c r="AZ134" s="1735" t="s">
        <v>1514</v>
      </c>
      <c r="BA134" s="1621">
        <v>1</v>
      </c>
      <c r="BB134" s="1621">
        <v>1</v>
      </c>
      <c r="BC134" s="1621">
        <v>1</v>
      </c>
      <c r="BD134" s="1621">
        <v>1</v>
      </c>
      <c r="BE134" s="1621">
        <v>1</v>
      </c>
      <c r="BF134" s="1621">
        <v>1</v>
      </c>
      <c r="BG134" s="1621"/>
      <c r="BH134" s="1621">
        <v>1</v>
      </c>
      <c r="BI134" s="1621">
        <v>1</v>
      </c>
      <c r="BJ134" s="1621">
        <v>1</v>
      </c>
      <c r="BK134" s="1623"/>
      <c r="BL134" s="2084"/>
      <c r="BM134" s="2084"/>
      <c r="BO134" s="1645">
        <v>4.0999999999999996</v>
      </c>
      <c r="BP134" s="1691" t="s">
        <v>366</v>
      </c>
      <c r="BQ134" s="1735" t="s">
        <v>1514</v>
      </c>
      <c r="BR134" s="1621">
        <v>1</v>
      </c>
      <c r="BS134" s="1621">
        <v>1</v>
      </c>
      <c r="BT134" s="1621">
        <v>1</v>
      </c>
      <c r="BU134" s="1621">
        <v>1</v>
      </c>
      <c r="BV134" s="1621">
        <v>1</v>
      </c>
      <c r="BW134" s="1621">
        <v>1</v>
      </c>
      <c r="BX134" s="1621"/>
      <c r="BY134" s="1621">
        <v>1</v>
      </c>
      <c r="BZ134" s="1621">
        <v>1</v>
      </c>
      <c r="CA134" s="1621">
        <v>1</v>
      </c>
      <c r="CB134" s="1623"/>
      <c r="CC134" s="2084"/>
      <c r="CD134" s="2084"/>
      <c r="CE134">
        <f>ROWS($CE$5:CE133)</f>
        <v>129</v>
      </c>
    </row>
    <row r="135" spans="1:83">
      <c r="B135" s="1595" t="str">
        <f t="shared" ref="B135:B139" si="121">P135</f>
        <v>4.1.1</v>
      </c>
      <c r="C135" s="1645" t="str">
        <f t="shared" ref="C135:C139" si="122">R135</f>
        <v>モニタリング</v>
      </c>
      <c r="D135" s="1714" t="e">
        <f>IF(I$134=0,0,G135/I$134)</f>
        <v>#DIV/0!</v>
      </c>
      <c r="E135" s="1714" t="e">
        <f>IF(J$134=0,0,H135/J$134)</f>
        <v>#DIV/0!</v>
      </c>
      <c r="G135" s="1689" t="e">
        <f t="shared" si="83"/>
        <v>#DIV/0!</v>
      </c>
      <c r="H135" s="1689" t="e">
        <f t="shared" si="84"/>
        <v>#DIV/0!</v>
      </c>
      <c r="I135" s="1689"/>
      <c r="J135" s="1689"/>
      <c r="K135" s="1689">
        <f>IF(スコア表示!W135=0,0,1)</f>
        <v>1</v>
      </c>
      <c r="L135" s="1689">
        <f>IF(スコア表示!AA135=0,0,1)</f>
        <v>0</v>
      </c>
      <c r="M135" s="1689" t="e">
        <f t="shared" ref="M135:M139" si="123">SUMPRODUCT($S$7:$AB$7,S135:AB135)</f>
        <v>#DIV/0!</v>
      </c>
      <c r="N135" s="1689" t="e">
        <f t="shared" ref="N135:N139" si="124">(AC$7*AC135)+(AD$7*AD135)+(AE$7*AE135)</f>
        <v>#DIV/0!</v>
      </c>
      <c r="P135" s="1645" t="str">
        <f t="shared" ref="P135:P139" si="125">IF($P$3=1,AX135,BO135)</f>
        <v>4.1.1</v>
      </c>
      <c r="Q135" s="1645" t="str">
        <f t="shared" ref="Q135:Q139" si="126">IF($P$3=1,AY135,BP135)</f>
        <v>LR1 4.1</v>
      </c>
      <c r="R135" s="1735" t="str">
        <f t="shared" ref="R135:R139" si="127">AI135</f>
        <v>モニタリング</v>
      </c>
      <c r="S135" s="1616">
        <f t="shared" ref="S135:S139" si="128">IF($P$3=1,BA135,IF($P$3=2,BR135,AJ135))</f>
        <v>0.5</v>
      </c>
      <c r="T135" s="1616">
        <f t="shared" ref="T135:T139" si="129">IF($P$3=1,BB135,IF($P$3=2,BS135,AK135))</f>
        <v>0.5</v>
      </c>
      <c r="U135" s="1616">
        <f t="shared" ref="U135:U139" si="130">IF($P$3=1,BC135,IF($P$3=2,BT135,AL135))</f>
        <v>0.5</v>
      </c>
      <c r="V135" s="1616">
        <f t="shared" ref="V135:V139" si="131">IF($P$3=1,BD135,IF($P$3=2,BU135,AM135))</f>
        <v>0.5</v>
      </c>
      <c r="W135" s="1616">
        <f t="shared" ref="W135:W139" si="132">IF($P$3=1,BE135,IF($P$3=2,BV135,AN135))</f>
        <v>0.5</v>
      </c>
      <c r="X135" s="1616">
        <f t="shared" ref="X135:X139" si="133">IF($P$3=1,BF135,IF($P$3=2,BW135,AO135))</f>
        <v>0.5</v>
      </c>
      <c r="Y135" s="1616">
        <f t="shared" ref="Y135:Y139" si="134">IF($P$3=1,BG135,IF($P$3=2,BX135,AP135))</f>
        <v>0</v>
      </c>
      <c r="Z135" s="1624">
        <f t="shared" ref="Z135:Z139" si="135">IF($P$3=1,BH135,IF($P$3=2,BY135,AQ135))</f>
        <v>0.5</v>
      </c>
      <c r="AA135" s="1616">
        <f t="shared" ref="AA135:AA139" si="136">IF($P$3=1,BI135,IF($P$3=2,BZ135,AR135))</f>
        <v>0.5</v>
      </c>
      <c r="AB135" s="1616">
        <f t="shared" ref="AB135:AB139" si="137">IF($P$3=1,BJ135,IF($P$3=2,CA135,AS135))</f>
        <v>0.5</v>
      </c>
      <c r="AC135" s="1617"/>
      <c r="AD135" s="1659"/>
      <c r="AE135" s="1659"/>
      <c r="AG135" s="1645" t="s">
        <v>1436</v>
      </c>
      <c r="AH135" s="1691" t="s">
        <v>1516</v>
      </c>
      <c r="AI135" s="1735" t="s">
        <v>1653</v>
      </c>
      <c r="AJ135" s="1621">
        <v>0.5</v>
      </c>
      <c r="AK135" s="1621">
        <v>0.5</v>
      </c>
      <c r="AL135" s="1621">
        <v>0.5</v>
      </c>
      <c r="AM135" s="1621">
        <v>0.5</v>
      </c>
      <c r="AN135" s="1621">
        <v>0.5</v>
      </c>
      <c r="AO135" s="1621">
        <v>0.5</v>
      </c>
      <c r="AP135" s="1621"/>
      <c r="AQ135" s="1621">
        <v>0.5</v>
      </c>
      <c r="AR135" s="1621">
        <v>0.5</v>
      </c>
      <c r="AS135" s="1621">
        <v>0.5</v>
      </c>
      <c r="AT135" s="1623"/>
      <c r="AU135" s="2084"/>
      <c r="AV135" s="2084"/>
      <c r="AX135" s="1645" t="s">
        <v>1515</v>
      </c>
      <c r="AY135" s="1691" t="s">
        <v>1517</v>
      </c>
      <c r="AZ135" s="1735" t="s">
        <v>1518</v>
      </c>
      <c r="BA135" s="1621">
        <v>0.5</v>
      </c>
      <c r="BB135" s="1621">
        <v>0.5</v>
      </c>
      <c r="BC135" s="1621">
        <v>0.5</v>
      </c>
      <c r="BD135" s="1621">
        <v>0.5</v>
      </c>
      <c r="BE135" s="1621">
        <v>0.5</v>
      </c>
      <c r="BF135" s="1621">
        <v>0.5</v>
      </c>
      <c r="BG135" s="1621"/>
      <c r="BH135" s="1621">
        <v>0.5</v>
      </c>
      <c r="BI135" s="1621">
        <v>0.5</v>
      </c>
      <c r="BJ135" s="1621">
        <v>0.5</v>
      </c>
      <c r="BK135" s="1623"/>
      <c r="BL135" s="2084"/>
      <c r="BM135" s="2084"/>
      <c r="BO135" s="1645" t="s">
        <v>1515</v>
      </c>
      <c r="BP135" s="1691" t="s">
        <v>1517</v>
      </c>
      <c r="BQ135" s="1735" t="s">
        <v>1518</v>
      </c>
      <c r="BR135" s="1621">
        <v>0.5</v>
      </c>
      <c r="BS135" s="1621">
        <v>0.5</v>
      </c>
      <c r="BT135" s="1621">
        <v>0.5</v>
      </c>
      <c r="BU135" s="1621">
        <v>0.5</v>
      </c>
      <c r="BV135" s="1621">
        <v>0.5</v>
      </c>
      <c r="BW135" s="1621">
        <v>0.5</v>
      </c>
      <c r="BX135" s="1621"/>
      <c r="BY135" s="1621">
        <v>0.5</v>
      </c>
      <c r="BZ135" s="1621">
        <v>0.5</v>
      </c>
      <c r="CA135" s="1621">
        <v>0.5</v>
      </c>
      <c r="CB135" s="1623"/>
      <c r="CC135" s="2084"/>
      <c r="CD135" s="2084"/>
    </row>
    <row r="136" spans="1:83">
      <c r="B136" s="1595" t="str">
        <f t="shared" si="121"/>
        <v>4.1.2</v>
      </c>
      <c r="C136" s="1645" t="str">
        <f t="shared" si="122"/>
        <v>運用管理体制</v>
      </c>
      <c r="D136" s="1719" t="e">
        <f>IF(I$134&gt;0,G136/I$134,0)</f>
        <v>#DIV/0!</v>
      </c>
      <c r="E136" s="1719" t="e">
        <f>IF(J$134&gt;0,H136/J$134,0)</f>
        <v>#DIV/0!</v>
      </c>
      <c r="G136" s="1689" t="e">
        <f t="shared" si="83"/>
        <v>#DIV/0!</v>
      </c>
      <c r="H136" s="1689" t="e">
        <f t="shared" si="84"/>
        <v>#DIV/0!</v>
      </c>
      <c r="I136" s="1689"/>
      <c r="J136" s="1689"/>
      <c r="K136" s="1689">
        <f>IF(スコア表示!W136=0,0,1)</f>
        <v>1</v>
      </c>
      <c r="L136" s="1689">
        <f>IF(スコア表示!AA136=0,0,1)</f>
        <v>0</v>
      </c>
      <c r="M136" s="1689" t="e">
        <f t="shared" si="123"/>
        <v>#DIV/0!</v>
      </c>
      <c r="N136" s="1689" t="e">
        <f t="shared" si="124"/>
        <v>#DIV/0!</v>
      </c>
      <c r="P136" s="1645" t="str">
        <f t="shared" si="125"/>
        <v>4.1.2</v>
      </c>
      <c r="Q136" s="1645" t="str">
        <f t="shared" si="126"/>
        <v>LR1 4.1</v>
      </c>
      <c r="R136" s="1735" t="str">
        <f t="shared" si="127"/>
        <v>運用管理体制</v>
      </c>
      <c r="S136" s="1616">
        <f t="shared" si="128"/>
        <v>0.5</v>
      </c>
      <c r="T136" s="1616">
        <f t="shared" si="129"/>
        <v>0.5</v>
      </c>
      <c r="U136" s="1616">
        <f t="shared" si="130"/>
        <v>0.5</v>
      </c>
      <c r="V136" s="1616">
        <f t="shared" si="131"/>
        <v>0.5</v>
      </c>
      <c r="W136" s="1616">
        <f t="shared" si="132"/>
        <v>0.5</v>
      </c>
      <c r="X136" s="1616">
        <f t="shared" si="133"/>
        <v>0.5</v>
      </c>
      <c r="Y136" s="1616">
        <f t="shared" si="134"/>
        <v>0</v>
      </c>
      <c r="Z136" s="1624">
        <f t="shared" si="135"/>
        <v>0.5</v>
      </c>
      <c r="AA136" s="1616">
        <f t="shared" si="136"/>
        <v>0.5</v>
      </c>
      <c r="AB136" s="1616">
        <f t="shared" si="137"/>
        <v>0.5</v>
      </c>
      <c r="AC136" s="1617"/>
      <c r="AD136" s="1659"/>
      <c r="AE136" s="1659"/>
      <c r="AG136" s="1645" t="s">
        <v>1437</v>
      </c>
      <c r="AH136" s="1691" t="s">
        <v>1516</v>
      </c>
      <c r="AI136" s="2061" t="s">
        <v>754</v>
      </c>
      <c r="AJ136" s="1621">
        <v>0.5</v>
      </c>
      <c r="AK136" s="1621">
        <v>0.5</v>
      </c>
      <c r="AL136" s="1621">
        <v>0.5</v>
      </c>
      <c r="AM136" s="1621">
        <v>0.5</v>
      </c>
      <c r="AN136" s="1621">
        <v>0.5</v>
      </c>
      <c r="AO136" s="1621">
        <v>0.5</v>
      </c>
      <c r="AP136" s="1621"/>
      <c r="AQ136" s="1621">
        <v>0.5</v>
      </c>
      <c r="AR136" s="1621">
        <v>0.5</v>
      </c>
      <c r="AS136" s="1621">
        <v>0.5</v>
      </c>
      <c r="AT136" s="1623"/>
      <c r="AU136" s="2084"/>
      <c r="AV136" s="2084"/>
      <c r="AX136" s="1645" t="s">
        <v>1519</v>
      </c>
      <c r="AY136" s="1691" t="s">
        <v>1517</v>
      </c>
      <c r="AZ136" s="2061" t="s">
        <v>754</v>
      </c>
      <c r="BA136" s="1621">
        <v>0.5</v>
      </c>
      <c r="BB136" s="1621">
        <v>0.5</v>
      </c>
      <c r="BC136" s="1621">
        <v>0.5</v>
      </c>
      <c r="BD136" s="1621">
        <v>0.5</v>
      </c>
      <c r="BE136" s="1621">
        <v>0.5</v>
      </c>
      <c r="BF136" s="1621">
        <v>0.5</v>
      </c>
      <c r="BG136" s="1621"/>
      <c r="BH136" s="1621">
        <v>0.5</v>
      </c>
      <c r="BI136" s="1621">
        <v>0.5</v>
      </c>
      <c r="BJ136" s="1621">
        <v>0.5</v>
      </c>
      <c r="BK136" s="1623"/>
      <c r="BL136" s="2084"/>
      <c r="BM136" s="2084"/>
      <c r="BO136" s="1645" t="s">
        <v>1519</v>
      </c>
      <c r="BP136" s="1691" t="s">
        <v>1517</v>
      </c>
      <c r="BQ136" s="2061" t="s">
        <v>754</v>
      </c>
      <c r="BR136" s="1621">
        <v>0.5</v>
      </c>
      <c r="BS136" s="1621">
        <v>0.5</v>
      </c>
      <c r="BT136" s="1621">
        <v>0.5</v>
      </c>
      <c r="BU136" s="1621">
        <v>0.5</v>
      </c>
      <c r="BV136" s="1621">
        <v>0.5</v>
      </c>
      <c r="BW136" s="1621">
        <v>0.5</v>
      </c>
      <c r="BX136" s="1621"/>
      <c r="BY136" s="1621">
        <v>0.5</v>
      </c>
      <c r="BZ136" s="1621">
        <v>0.5</v>
      </c>
      <c r="CA136" s="1621">
        <v>0.5</v>
      </c>
      <c r="CB136" s="1623"/>
      <c r="CC136" s="2084"/>
      <c r="CD136" s="2084"/>
    </row>
    <row r="137" spans="1:83" s="1678" customFormat="1">
      <c r="A137"/>
      <c r="B137" s="1595">
        <f t="shared" si="121"/>
        <v>4.2</v>
      </c>
      <c r="C137" s="1645" t="str">
        <f t="shared" si="122"/>
        <v>住宅の評価</v>
      </c>
      <c r="D137" s="1714" t="e">
        <f>IF(I$133=0,0,G137/I$133)</f>
        <v>#DIV/0!</v>
      </c>
      <c r="E137" s="1714" t="e">
        <f>IF(J$133=0,0,H137/J$133)</f>
        <v>#DIV/0!</v>
      </c>
      <c r="F137"/>
      <c r="G137" s="1689" t="e">
        <f t="shared" ref="G137:G168" si="138">K137*M137</f>
        <v>#DIV/0!</v>
      </c>
      <c r="H137" s="1689" t="e">
        <f t="shared" ref="H137:H168" si="139">L137*N137</f>
        <v>#DIV/0!</v>
      </c>
      <c r="I137" s="1689" t="e">
        <f>SUM(G138:G139)</f>
        <v>#DIV/0!</v>
      </c>
      <c r="J137" s="1689" t="e">
        <f>SUM(H138:H139)</f>
        <v>#DIV/0!</v>
      </c>
      <c r="K137" s="1689" t="e">
        <f>IF(スコア表示!W137=0,0,1)</f>
        <v>#DIV/0!</v>
      </c>
      <c r="L137" s="1689" t="e">
        <f>IF(スコア表示!AA137=0,0,1)</f>
        <v>#DIV/0!</v>
      </c>
      <c r="M137" s="1689" t="e">
        <f t="shared" si="123"/>
        <v>#DIV/0!</v>
      </c>
      <c r="N137" s="1689" t="e">
        <f t="shared" si="124"/>
        <v>#DIV/0!</v>
      </c>
      <c r="O137"/>
      <c r="P137" s="1645">
        <f t="shared" si="125"/>
        <v>4.2</v>
      </c>
      <c r="Q137" s="1645" t="str">
        <f t="shared" si="126"/>
        <v>LR1 4</v>
      </c>
      <c r="R137" s="1735" t="str">
        <f t="shared" si="127"/>
        <v>住宅の評価</v>
      </c>
      <c r="S137" s="1616">
        <f t="shared" si="128"/>
        <v>0</v>
      </c>
      <c r="T137" s="1616">
        <f t="shared" si="129"/>
        <v>0</v>
      </c>
      <c r="U137" s="1616">
        <f t="shared" si="130"/>
        <v>0</v>
      </c>
      <c r="V137" s="1616">
        <f t="shared" si="131"/>
        <v>0</v>
      </c>
      <c r="W137" s="1616">
        <f t="shared" si="132"/>
        <v>0</v>
      </c>
      <c r="X137" s="1616">
        <f t="shared" si="133"/>
        <v>0</v>
      </c>
      <c r="Y137" s="1616">
        <f t="shared" si="134"/>
        <v>1</v>
      </c>
      <c r="Z137" s="1624">
        <f t="shared" si="135"/>
        <v>0</v>
      </c>
      <c r="AA137" s="1616">
        <f t="shared" si="136"/>
        <v>0</v>
      </c>
      <c r="AB137" s="1616">
        <f t="shared" si="137"/>
        <v>0</v>
      </c>
      <c r="AC137" s="1617">
        <f t="shared" si="107"/>
        <v>0</v>
      </c>
      <c r="AD137" s="1659">
        <f t="shared" si="108"/>
        <v>0</v>
      </c>
      <c r="AE137" s="1659">
        <f t="shared" si="109"/>
        <v>0</v>
      </c>
      <c r="AF137"/>
      <c r="AG137" s="1645">
        <v>4.2</v>
      </c>
      <c r="AH137" s="1691" t="s">
        <v>366</v>
      </c>
      <c r="AI137" s="2061" t="s">
        <v>1520</v>
      </c>
      <c r="AJ137" s="1621"/>
      <c r="AK137" s="1621"/>
      <c r="AL137" s="1621"/>
      <c r="AM137" s="1621"/>
      <c r="AN137" s="1621"/>
      <c r="AO137" s="1621"/>
      <c r="AP137" s="1621">
        <v>1</v>
      </c>
      <c r="AQ137" s="1622"/>
      <c r="AR137" s="1621"/>
      <c r="AS137" s="1621"/>
      <c r="AT137" s="1623"/>
      <c r="AU137" s="2084"/>
      <c r="AV137" s="2084"/>
      <c r="AW137"/>
      <c r="AX137" s="1645">
        <v>4.2</v>
      </c>
      <c r="AY137" s="1691" t="s">
        <v>366</v>
      </c>
      <c r="AZ137" s="2061" t="s">
        <v>1520</v>
      </c>
      <c r="BA137" s="1621"/>
      <c r="BB137" s="1621"/>
      <c r="BC137" s="1621"/>
      <c r="BD137" s="1621"/>
      <c r="BE137" s="1621"/>
      <c r="BF137" s="1621"/>
      <c r="BG137" s="1621">
        <v>1</v>
      </c>
      <c r="BH137" s="1622"/>
      <c r="BI137" s="1621"/>
      <c r="BJ137" s="1621"/>
      <c r="BK137" s="1623"/>
      <c r="BL137" s="2084"/>
      <c r="BM137" s="2084"/>
      <c r="BN137"/>
      <c r="BO137" s="1645">
        <v>4.2</v>
      </c>
      <c r="BP137" s="1691" t="s">
        <v>366</v>
      </c>
      <c r="BQ137" s="2061" t="s">
        <v>1520</v>
      </c>
      <c r="BR137" s="1621"/>
      <c r="BS137" s="1621"/>
      <c r="BT137" s="1621"/>
      <c r="BU137" s="1621"/>
      <c r="BV137" s="1621"/>
      <c r="BW137" s="1621"/>
      <c r="BX137" s="1621">
        <v>1</v>
      </c>
      <c r="BY137" s="1622"/>
      <c r="BZ137" s="1621"/>
      <c r="CA137" s="1621"/>
      <c r="CB137" s="1623"/>
      <c r="CC137" s="2084"/>
      <c r="CD137" s="2084"/>
      <c r="CE137"/>
    </row>
    <row r="138" spans="1:83" s="1678" customFormat="1">
      <c r="A138"/>
      <c r="B138" s="1595" t="str">
        <f t="shared" si="121"/>
        <v>4.2.1</v>
      </c>
      <c r="C138" s="1645" t="str">
        <f t="shared" si="122"/>
        <v>住まい方の提示</v>
      </c>
      <c r="D138" s="1719" t="e">
        <f>IF(I$137&gt;0,G138/I$137,0)</f>
        <v>#DIV/0!</v>
      </c>
      <c r="E138" s="1719" t="e">
        <f>IF(J$137&gt;0,H138/J$137,0)</f>
        <v>#DIV/0!</v>
      </c>
      <c r="F138"/>
      <c r="G138" s="1689" t="e">
        <f t="shared" si="138"/>
        <v>#DIV/0!</v>
      </c>
      <c r="H138" s="1689" t="e">
        <f t="shared" si="139"/>
        <v>#DIV/0!</v>
      </c>
      <c r="I138" s="1689"/>
      <c r="J138" s="1689"/>
      <c r="K138" s="1689">
        <f>IF(スコア表示!W138=0,0,1)</f>
        <v>1</v>
      </c>
      <c r="L138" s="1689">
        <f>IF(スコア表示!AA138=0,0,1)</f>
        <v>0</v>
      </c>
      <c r="M138" s="1689" t="e">
        <f t="shared" si="123"/>
        <v>#DIV/0!</v>
      </c>
      <c r="N138" s="1689" t="e">
        <f t="shared" si="124"/>
        <v>#DIV/0!</v>
      </c>
      <c r="O138"/>
      <c r="P138" s="1645" t="str">
        <f t="shared" si="125"/>
        <v>4.2.1</v>
      </c>
      <c r="Q138" s="1645" t="str">
        <f t="shared" si="126"/>
        <v>LR1 4.2</v>
      </c>
      <c r="R138" s="1735" t="str">
        <f t="shared" si="127"/>
        <v>住まい方の提示</v>
      </c>
      <c r="S138" s="1616">
        <f t="shared" si="128"/>
        <v>0</v>
      </c>
      <c r="T138" s="1616">
        <f t="shared" si="129"/>
        <v>0</v>
      </c>
      <c r="U138" s="1616">
        <f t="shared" si="130"/>
        <v>0</v>
      </c>
      <c r="V138" s="1616">
        <f t="shared" si="131"/>
        <v>0</v>
      </c>
      <c r="W138" s="1616">
        <f t="shared" si="132"/>
        <v>0</v>
      </c>
      <c r="X138" s="1616">
        <f t="shared" si="133"/>
        <v>0</v>
      </c>
      <c r="Y138" s="1616">
        <f t="shared" si="134"/>
        <v>0.5</v>
      </c>
      <c r="Z138" s="1624">
        <f t="shared" si="135"/>
        <v>0</v>
      </c>
      <c r="AA138" s="1616">
        <f t="shared" si="136"/>
        <v>0</v>
      </c>
      <c r="AB138" s="1616">
        <f t="shared" si="137"/>
        <v>0</v>
      </c>
      <c r="AC138" s="1617"/>
      <c r="AD138" s="1659"/>
      <c r="AE138" s="1659"/>
      <c r="AF138"/>
      <c r="AG138" s="1645" t="s">
        <v>1521</v>
      </c>
      <c r="AH138" s="1691" t="s">
        <v>1522</v>
      </c>
      <c r="AI138" s="2061" t="s">
        <v>1654</v>
      </c>
      <c r="AJ138" s="1621"/>
      <c r="AK138" s="1621"/>
      <c r="AL138" s="1621"/>
      <c r="AM138" s="1621"/>
      <c r="AN138" s="1621"/>
      <c r="AO138" s="1621"/>
      <c r="AP138" s="1621">
        <v>0.5</v>
      </c>
      <c r="AQ138" s="1622"/>
      <c r="AR138" s="1621"/>
      <c r="AS138" s="1621"/>
      <c r="AT138" s="1623"/>
      <c r="AU138" s="2084"/>
      <c r="AV138" s="2084"/>
      <c r="AW138"/>
      <c r="AX138" s="1645" t="s">
        <v>1441</v>
      </c>
      <c r="AY138" s="1691" t="s">
        <v>1523</v>
      </c>
      <c r="AZ138" s="2061" t="s">
        <v>1524</v>
      </c>
      <c r="BA138" s="1621"/>
      <c r="BB138" s="1621"/>
      <c r="BC138" s="1621"/>
      <c r="BD138" s="1621"/>
      <c r="BE138" s="1621"/>
      <c r="BF138" s="1621"/>
      <c r="BG138" s="1621">
        <v>0.5</v>
      </c>
      <c r="BH138" s="1622"/>
      <c r="BI138" s="1621"/>
      <c r="BJ138" s="1621"/>
      <c r="BK138" s="1623"/>
      <c r="BL138" s="2084"/>
      <c r="BM138" s="2084"/>
      <c r="BN138"/>
      <c r="BO138" s="1645" t="s">
        <v>1441</v>
      </c>
      <c r="BP138" s="1691" t="s">
        <v>1523</v>
      </c>
      <c r="BQ138" s="2061" t="s">
        <v>1524</v>
      </c>
      <c r="BR138" s="1621"/>
      <c r="BS138" s="1621"/>
      <c r="BT138" s="1621"/>
      <c r="BU138" s="1621"/>
      <c r="BV138" s="1621"/>
      <c r="BW138" s="1621"/>
      <c r="BX138" s="1621">
        <v>0.5</v>
      </c>
      <c r="BY138" s="1622"/>
      <c r="BZ138" s="1621"/>
      <c r="CA138" s="1621"/>
      <c r="CB138" s="1623"/>
      <c r="CC138" s="2084"/>
      <c r="CD138" s="2084"/>
      <c r="CE138"/>
    </row>
    <row r="139" spans="1:83" s="1678" customFormat="1">
      <c r="A139"/>
      <c r="B139" s="1595" t="str">
        <f t="shared" si="121"/>
        <v>4.2.2</v>
      </c>
      <c r="C139" s="1645" t="str">
        <f t="shared" si="122"/>
        <v>エネルギーの管理と制御</v>
      </c>
      <c r="D139" s="1719" t="e">
        <f>IF(I$137&gt;0,G139/I$137,0)</f>
        <v>#DIV/0!</v>
      </c>
      <c r="E139" s="1719" t="e">
        <f>IF(J$137&gt;0,H139/J$137,0)</f>
        <v>#DIV/0!</v>
      </c>
      <c r="F139"/>
      <c r="G139" s="1689" t="e">
        <f t="shared" si="138"/>
        <v>#DIV/0!</v>
      </c>
      <c r="H139" s="1689" t="e">
        <f t="shared" si="139"/>
        <v>#DIV/0!</v>
      </c>
      <c r="I139" s="1689"/>
      <c r="J139" s="1689"/>
      <c r="K139" s="1689">
        <f>IF(スコア表示!W139=0,0,1)</f>
        <v>1</v>
      </c>
      <c r="L139" s="1689">
        <f>IF(スコア表示!AA139=0,0,1)</f>
        <v>0</v>
      </c>
      <c r="M139" s="1689" t="e">
        <f t="shared" si="123"/>
        <v>#DIV/0!</v>
      </c>
      <c r="N139" s="1689" t="e">
        <f t="shared" si="124"/>
        <v>#DIV/0!</v>
      </c>
      <c r="O139"/>
      <c r="P139" s="1645" t="str">
        <f t="shared" si="125"/>
        <v>4.2.2</v>
      </c>
      <c r="Q139" s="1645" t="str">
        <f t="shared" si="126"/>
        <v>LR1 4.2</v>
      </c>
      <c r="R139" s="1735" t="str">
        <f t="shared" si="127"/>
        <v>エネルギーの管理と制御</v>
      </c>
      <c r="S139" s="1616">
        <f t="shared" si="128"/>
        <v>0</v>
      </c>
      <c r="T139" s="1616">
        <f t="shared" si="129"/>
        <v>0</v>
      </c>
      <c r="U139" s="1616">
        <f t="shared" si="130"/>
        <v>0</v>
      </c>
      <c r="V139" s="1616">
        <f t="shared" si="131"/>
        <v>0</v>
      </c>
      <c r="W139" s="1616">
        <f t="shared" si="132"/>
        <v>0</v>
      </c>
      <c r="X139" s="1616">
        <f t="shared" si="133"/>
        <v>0</v>
      </c>
      <c r="Y139" s="1616">
        <f t="shared" si="134"/>
        <v>0.5</v>
      </c>
      <c r="Z139" s="1624">
        <f t="shared" si="135"/>
        <v>0</v>
      </c>
      <c r="AA139" s="1616">
        <f t="shared" si="136"/>
        <v>0</v>
      </c>
      <c r="AB139" s="1616">
        <f t="shared" si="137"/>
        <v>0</v>
      </c>
      <c r="AC139" s="1617"/>
      <c r="AD139" s="1659"/>
      <c r="AE139" s="1659"/>
      <c r="AF139"/>
      <c r="AG139" s="1645" t="s">
        <v>1442</v>
      </c>
      <c r="AH139" s="1691" t="s">
        <v>1522</v>
      </c>
      <c r="AI139" s="2061" t="s">
        <v>1655</v>
      </c>
      <c r="AJ139" s="1621"/>
      <c r="AK139" s="1621"/>
      <c r="AL139" s="1621"/>
      <c r="AM139" s="1621"/>
      <c r="AN139" s="1621"/>
      <c r="AO139" s="1621"/>
      <c r="AP139" s="1621">
        <v>0.5</v>
      </c>
      <c r="AQ139" s="1622"/>
      <c r="AR139" s="1621"/>
      <c r="AS139" s="1621"/>
      <c r="AT139" s="1623"/>
      <c r="AU139" s="2084"/>
      <c r="AV139" s="2084"/>
      <c r="AW139"/>
      <c r="AX139" s="1645" t="s">
        <v>1443</v>
      </c>
      <c r="AY139" s="1691" t="s">
        <v>1523</v>
      </c>
      <c r="AZ139" s="2061" t="s">
        <v>1525</v>
      </c>
      <c r="BA139" s="1621"/>
      <c r="BB139" s="1621"/>
      <c r="BC139" s="1621"/>
      <c r="BD139" s="1621"/>
      <c r="BE139" s="1621"/>
      <c r="BF139" s="1621"/>
      <c r="BG139" s="1621">
        <v>0.5</v>
      </c>
      <c r="BH139" s="1622"/>
      <c r="BI139" s="1621"/>
      <c r="BJ139" s="1621"/>
      <c r="BK139" s="1623"/>
      <c r="BL139" s="2084"/>
      <c r="BM139" s="2084"/>
      <c r="BN139"/>
      <c r="BO139" s="1645" t="s">
        <v>1443</v>
      </c>
      <c r="BP139" s="1691" t="s">
        <v>1523</v>
      </c>
      <c r="BQ139" s="2061" t="s">
        <v>1525</v>
      </c>
      <c r="BR139" s="1621"/>
      <c r="BS139" s="1621"/>
      <c r="BT139" s="1621"/>
      <c r="BU139" s="1621"/>
      <c r="BV139" s="1621"/>
      <c r="BW139" s="1621"/>
      <c r="BX139" s="1621">
        <v>0.5</v>
      </c>
      <c r="BY139" s="1622"/>
      <c r="BZ139" s="1621"/>
      <c r="CA139" s="1621"/>
      <c r="CB139" s="1623"/>
      <c r="CC139" s="2084"/>
      <c r="CD139" s="2084"/>
      <c r="CE139"/>
    </row>
    <row r="140" spans="1:83" s="1603" customFormat="1">
      <c r="A140"/>
      <c r="B140" s="1595" t="str">
        <f t="shared" si="100"/>
        <v>LR2</v>
      </c>
      <c r="C140" s="1595" t="str">
        <f t="shared" si="82"/>
        <v>資源・マテリアル</v>
      </c>
      <c r="D140" s="2088" t="e">
        <f>IF(I$116=0,0,G140/I$116)</f>
        <v>#VALUE!</v>
      </c>
      <c r="E140" s="2054" t="e">
        <f>IF(J$116=0,0,H140/J$116)</f>
        <v>#DIV/0!</v>
      </c>
      <c r="F140"/>
      <c r="G140" s="2054" t="e">
        <f t="shared" si="138"/>
        <v>#DIV/0!</v>
      </c>
      <c r="H140" s="2054" t="e">
        <f t="shared" si="139"/>
        <v>#DIV/0!</v>
      </c>
      <c r="I140" s="2054" t="e">
        <f>G141+G146+G153</f>
        <v>#DIV/0!</v>
      </c>
      <c r="J140" s="2054" t="e">
        <f>H141+H146+H153</f>
        <v>#DIV/0!</v>
      </c>
      <c r="K140" s="2054" t="e">
        <f>IF(スコア表示!W140=0,0,1)</f>
        <v>#DIV/0!</v>
      </c>
      <c r="L140" s="2054">
        <f>IF(スコア表示!AA140=0,0,1)</f>
        <v>0</v>
      </c>
      <c r="M140" s="2054" t="e">
        <f t="shared" si="85"/>
        <v>#DIV/0!</v>
      </c>
      <c r="N140" s="2054" t="e">
        <f t="shared" si="102"/>
        <v>#DIV/0!</v>
      </c>
      <c r="O140"/>
      <c r="P140" s="1596" t="str">
        <f t="shared" si="103"/>
        <v>LR2</v>
      </c>
      <c r="Q140" s="1596" t="str">
        <f t="shared" si="104"/>
        <v>LR</v>
      </c>
      <c r="R140" s="2055" t="str">
        <f t="shared" si="86"/>
        <v>資源・マテリアル</v>
      </c>
      <c r="S140" s="1601">
        <f t="shared" si="110"/>
        <v>0.3</v>
      </c>
      <c r="T140" s="1601">
        <f t="shared" si="111"/>
        <v>0.3</v>
      </c>
      <c r="U140" s="1601">
        <f t="shared" si="112"/>
        <v>0.3</v>
      </c>
      <c r="V140" s="1601">
        <f t="shared" si="113"/>
        <v>0.3</v>
      </c>
      <c r="W140" s="1601">
        <f t="shared" si="114"/>
        <v>0.3</v>
      </c>
      <c r="X140" s="1601">
        <f t="shared" si="115"/>
        <v>0.3</v>
      </c>
      <c r="Y140" s="1601">
        <f t="shared" si="116"/>
        <v>0.3</v>
      </c>
      <c r="Z140" s="1680">
        <f t="shared" si="117"/>
        <v>0.3</v>
      </c>
      <c r="AA140" s="1601">
        <f t="shared" si="118"/>
        <v>0.3</v>
      </c>
      <c r="AB140" s="1601">
        <f t="shared" si="119"/>
        <v>0.3</v>
      </c>
      <c r="AC140" s="1681">
        <f t="shared" si="107"/>
        <v>0</v>
      </c>
      <c r="AD140" s="1682">
        <f t="shared" si="108"/>
        <v>0</v>
      </c>
      <c r="AE140" s="1682">
        <f t="shared" si="109"/>
        <v>0</v>
      </c>
      <c r="AF140"/>
      <c r="AG140" s="1596" t="s">
        <v>1656</v>
      </c>
      <c r="AH140" s="2091" t="s">
        <v>1499</v>
      </c>
      <c r="AI140" s="2055" t="s">
        <v>1657</v>
      </c>
      <c r="AJ140" s="2057">
        <v>0.3</v>
      </c>
      <c r="AK140" s="2057">
        <v>0.3</v>
      </c>
      <c r="AL140" s="2057">
        <v>0.3</v>
      </c>
      <c r="AM140" s="2057">
        <v>0.3</v>
      </c>
      <c r="AN140" s="2057">
        <v>0.3</v>
      </c>
      <c r="AO140" s="2057">
        <v>0.3</v>
      </c>
      <c r="AP140" s="2057">
        <v>0.3</v>
      </c>
      <c r="AQ140" s="2092">
        <v>0.3</v>
      </c>
      <c r="AR140" s="2057">
        <v>0.3</v>
      </c>
      <c r="AS140" s="2057">
        <v>0.3</v>
      </c>
      <c r="AT140" s="2093"/>
      <c r="AU140" s="2094"/>
      <c r="AV140" s="2094"/>
      <c r="AW140"/>
      <c r="AX140" s="1596" t="s">
        <v>1526</v>
      </c>
      <c r="AY140" s="2091" t="s">
        <v>1500</v>
      </c>
      <c r="AZ140" s="2055" t="s">
        <v>1527</v>
      </c>
      <c r="BA140" s="2057">
        <v>0.3</v>
      </c>
      <c r="BB140" s="2057">
        <v>0.3</v>
      </c>
      <c r="BC140" s="2057">
        <v>0.3</v>
      </c>
      <c r="BD140" s="2057">
        <v>0.3</v>
      </c>
      <c r="BE140" s="2057">
        <v>0.3</v>
      </c>
      <c r="BF140" s="2057">
        <v>0.3</v>
      </c>
      <c r="BG140" s="2057">
        <v>0.3</v>
      </c>
      <c r="BH140" s="2092">
        <v>0.3</v>
      </c>
      <c r="BI140" s="2057">
        <v>0.3</v>
      </c>
      <c r="BJ140" s="2057">
        <v>0.3</v>
      </c>
      <c r="BK140" s="2093"/>
      <c r="BL140" s="2094"/>
      <c r="BM140" s="2094"/>
      <c r="BN140"/>
      <c r="BO140" s="1596" t="s">
        <v>1526</v>
      </c>
      <c r="BP140" s="2091" t="s">
        <v>1500</v>
      </c>
      <c r="BQ140" s="2055" t="s">
        <v>1527</v>
      </c>
      <c r="BR140" s="2057">
        <v>0.3</v>
      </c>
      <c r="BS140" s="2057">
        <v>0.3</v>
      </c>
      <c r="BT140" s="2057">
        <v>0.3</v>
      </c>
      <c r="BU140" s="2057">
        <v>0.3</v>
      </c>
      <c r="BV140" s="2057">
        <v>0.3</v>
      </c>
      <c r="BW140" s="2057">
        <v>0.3</v>
      </c>
      <c r="BX140" s="2057">
        <v>0.3</v>
      </c>
      <c r="BY140" s="2092">
        <v>0.3</v>
      </c>
      <c r="BZ140" s="2057">
        <v>0.3</v>
      </c>
      <c r="CA140" s="2057">
        <v>0.3</v>
      </c>
      <c r="CB140" s="2093"/>
      <c r="CC140" s="2094"/>
      <c r="CD140" s="2094"/>
      <c r="CE140"/>
    </row>
    <row r="141" spans="1:83" s="1603" customFormat="1">
      <c r="A141"/>
      <c r="B141" s="1595">
        <f t="shared" si="100"/>
        <v>1</v>
      </c>
      <c r="C141" s="1639" t="str">
        <f t="shared" ref="C141:C172" si="140">R141</f>
        <v>水資源保護</v>
      </c>
      <c r="D141" s="2059" t="e">
        <f>IF(I$140=0,0,G141/I$140)</f>
        <v>#DIV/0!</v>
      </c>
      <c r="E141" s="1741" t="e">
        <f>IF(J$140=0,0,H141/J$140)</f>
        <v>#DIV/0!</v>
      </c>
      <c r="F141"/>
      <c r="G141" s="1741" t="e">
        <f t="shared" si="138"/>
        <v>#DIV/0!</v>
      </c>
      <c r="H141" s="1741" t="e">
        <f t="shared" si="139"/>
        <v>#DIV/0!</v>
      </c>
      <c r="I141" s="1741" t="e">
        <f>G142+G143</f>
        <v>#DIV/0!</v>
      </c>
      <c r="J141" s="1741" t="e">
        <f>H142+H143</f>
        <v>#DIV/0!</v>
      </c>
      <c r="K141" s="1741" t="e">
        <f>IF(スコア表示!W141=0,0,1)</f>
        <v>#DIV/0!</v>
      </c>
      <c r="L141" s="1741" t="e">
        <f>IF(スコア表示!AA141=0,0,1)</f>
        <v>#DIV/0!</v>
      </c>
      <c r="M141" s="1741" t="e">
        <f t="shared" ref="M141:M172" si="141">SUMPRODUCT($S$7:$AB$7,S141:AB141)</f>
        <v>#DIV/0!</v>
      </c>
      <c r="N141" s="1741" t="e">
        <f t="shared" si="102"/>
        <v>#DIV/0!</v>
      </c>
      <c r="O141"/>
      <c r="P141" s="1671">
        <f t="shared" si="103"/>
        <v>1</v>
      </c>
      <c r="Q141" s="1639" t="str">
        <f t="shared" si="104"/>
        <v>LR2</v>
      </c>
      <c r="R141" s="1778" t="str">
        <f t="shared" ref="R141:R172" si="142">AI141</f>
        <v>水資源保護</v>
      </c>
      <c r="S141" s="1608">
        <f t="shared" si="110"/>
        <v>0.2</v>
      </c>
      <c r="T141" s="1608">
        <f t="shared" si="111"/>
        <v>0.2</v>
      </c>
      <c r="U141" s="1608">
        <f t="shared" si="112"/>
        <v>0.2</v>
      </c>
      <c r="V141" s="1608">
        <f t="shared" si="113"/>
        <v>0.2</v>
      </c>
      <c r="W141" s="1608">
        <f t="shared" si="114"/>
        <v>0.2</v>
      </c>
      <c r="X141" s="1608">
        <f t="shared" si="115"/>
        <v>0.2</v>
      </c>
      <c r="Y141" s="1608">
        <f t="shared" si="116"/>
        <v>0.2</v>
      </c>
      <c r="Z141" s="1644">
        <f t="shared" si="117"/>
        <v>0.2</v>
      </c>
      <c r="AA141" s="1608">
        <f t="shared" si="118"/>
        <v>0.2</v>
      </c>
      <c r="AB141" s="1608">
        <f t="shared" si="119"/>
        <v>0.2</v>
      </c>
      <c r="AC141" s="1684">
        <f t="shared" si="107"/>
        <v>0</v>
      </c>
      <c r="AD141" s="1685">
        <f t="shared" si="108"/>
        <v>0</v>
      </c>
      <c r="AE141" s="1685">
        <f t="shared" si="109"/>
        <v>0</v>
      </c>
      <c r="AF141"/>
      <c r="AG141" s="1671">
        <v>1</v>
      </c>
      <c r="AH141" s="1742" t="s">
        <v>367</v>
      </c>
      <c r="AI141" s="1778" t="s">
        <v>757</v>
      </c>
      <c r="AJ141" s="1709">
        <v>0.2</v>
      </c>
      <c r="AK141" s="1709">
        <v>0.2</v>
      </c>
      <c r="AL141" s="1709">
        <v>0.2</v>
      </c>
      <c r="AM141" s="1709">
        <v>0.2</v>
      </c>
      <c r="AN141" s="1709">
        <v>0.2</v>
      </c>
      <c r="AO141" s="1709">
        <v>0.2</v>
      </c>
      <c r="AP141" s="1709">
        <v>0.2</v>
      </c>
      <c r="AQ141" s="2080">
        <v>0.2</v>
      </c>
      <c r="AR141" s="1709">
        <v>0.2</v>
      </c>
      <c r="AS141" s="1709">
        <v>0.2</v>
      </c>
      <c r="AT141" s="2095"/>
      <c r="AU141" s="2096"/>
      <c r="AV141" s="2096"/>
      <c r="AW141"/>
      <c r="AX141" s="1671">
        <v>1</v>
      </c>
      <c r="AY141" s="1742" t="s">
        <v>367</v>
      </c>
      <c r="AZ141" s="1778" t="s">
        <v>757</v>
      </c>
      <c r="BA141" s="1709">
        <v>0.2</v>
      </c>
      <c r="BB141" s="1709">
        <v>0.2</v>
      </c>
      <c r="BC141" s="1709">
        <v>0.2</v>
      </c>
      <c r="BD141" s="1709">
        <v>0.2</v>
      </c>
      <c r="BE141" s="1709">
        <v>0.2</v>
      </c>
      <c r="BF141" s="1709">
        <v>0.2</v>
      </c>
      <c r="BG141" s="1709">
        <v>0.2</v>
      </c>
      <c r="BH141" s="2080">
        <v>0.2</v>
      </c>
      <c r="BI141" s="1709">
        <v>0.2</v>
      </c>
      <c r="BJ141" s="1709">
        <v>0.2</v>
      </c>
      <c r="BK141" s="2095"/>
      <c r="BL141" s="2096"/>
      <c r="BM141" s="2096"/>
      <c r="BN141"/>
      <c r="BO141" s="1671">
        <v>1</v>
      </c>
      <c r="BP141" s="1742" t="s">
        <v>367</v>
      </c>
      <c r="BQ141" s="1778" t="s">
        <v>757</v>
      </c>
      <c r="BR141" s="1709">
        <v>0.2</v>
      </c>
      <c r="BS141" s="1709">
        <v>0.2</v>
      </c>
      <c r="BT141" s="1709">
        <v>0.2</v>
      </c>
      <c r="BU141" s="1709">
        <v>0.2</v>
      </c>
      <c r="BV141" s="1709">
        <v>0.2</v>
      </c>
      <c r="BW141" s="1709">
        <v>0.2</v>
      </c>
      <c r="BX141" s="1709">
        <v>0.2</v>
      </c>
      <c r="BY141" s="2080">
        <v>0.2</v>
      </c>
      <c r="BZ141" s="1709">
        <v>0.2</v>
      </c>
      <c r="CA141" s="1709">
        <v>0.2</v>
      </c>
      <c r="CB141" s="2095"/>
      <c r="CC141" s="2096"/>
      <c r="CD141" s="2096"/>
      <c r="CE141"/>
    </row>
    <row r="142" spans="1:83">
      <c r="B142" s="1595">
        <f t="shared" si="100"/>
        <v>1.1000000000000001</v>
      </c>
      <c r="C142" s="1612" t="str">
        <f t="shared" si="140"/>
        <v>節水</v>
      </c>
      <c r="D142" s="1714" t="e">
        <f>IF(I$141=0,0,G142/I$141)</f>
        <v>#DIV/0!</v>
      </c>
      <c r="E142" s="1689" t="e">
        <f>IF(J$141=0,0,H142/J$141)</f>
        <v>#DIV/0!</v>
      </c>
      <c r="G142" s="1689" t="e">
        <f t="shared" si="138"/>
        <v>#DIV/0!</v>
      </c>
      <c r="H142" s="1689" t="e">
        <f t="shared" si="139"/>
        <v>#DIV/0!</v>
      </c>
      <c r="I142" s="1689"/>
      <c r="J142" s="1689"/>
      <c r="K142" s="1689">
        <f>IF(スコア表示!W142=0,0,1)</f>
        <v>1</v>
      </c>
      <c r="L142" s="1689">
        <f>IF(スコア表示!AA142=0,0,1)</f>
        <v>0</v>
      </c>
      <c r="M142" s="1689" t="e">
        <f t="shared" si="141"/>
        <v>#DIV/0!</v>
      </c>
      <c r="N142" s="1689" t="e">
        <f t="shared" si="102"/>
        <v>#DIV/0!</v>
      </c>
      <c r="P142" s="1645">
        <f t="shared" si="103"/>
        <v>1.1000000000000001</v>
      </c>
      <c r="Q142" s="1645" t="str">
        <f t="shared" si="104"/>
        <v>LR2 1</v>
      </c>
      <c r="R142" s="1735" t="str">
        <f t="shared" si="142"/>
        <v>節水</v>
      </c>
      <c r="S142" s="1616">
        <f t="shared" si="110"/>
        <v>0.4</v>
      </c>
      <c r="T142" s="1616">
        <f t="shared" si="111"/>
        <v>0.4</v>
      </c>
      <c r="U142" s="1616">
        <f t="shared" si="112"/>
        <v>0.4</v>
      </c>
      <c r="V142" s="1616">
        <f t="shared" si="113"/>
        <v>0.4</v>
      </c>
      <c r="W142" s="1616">
        <f t="shared" si="114"/>
        <v>0.4</v>
      </c>
      <c r="X142" s="1616">
        <f t="shared" si="115"/>
        <v>0.4</v>
      </c>
      <c r="Y142" s="1616">
        <f t="shared" si="116"/>
        <v>0.4</v>
      </c>
      <c r="Z142" s="1624">
        <f t="shared" si="117"/>
        <v>0.4</v>
      </c>
      <c r="AA142" s="1616">
        <f t="shared" si="118"/>
        <v>0.4</v>
      </c>
      <c r="AB142" s="1616">
        <f t="shared" si="119"/>
        <v>0.4</v>
      </c>
      <c r="AC142" s="1686">
        <f t="shared" si="107"/>
        <v>0</v>
      </c>
      <c r="AD142" s="1631">
        <f t="shared" si="108"/>
        <v>0</v>
      </c>
      <c r="AE142" s="1631">
        <f t="shared" si="109"/>
        <v>0</v>
      </c>
      <c r="AG142" s="1645">
        <v>1.1000000000000001</v>
      </c>
      <c r="AH142" s="1691" t="s">
        <v>368</v>
      </c>
      <c r="AI142" s="2061" t="s">
        <v>758</v>
      </c>
      <c r="AJ142" s="1621">
        <v>0.4</v>
      </c>
      <c r="AK142" s="1621">
        <v>0.4</v>
      </c>
      <c r="AL142" s="1621">
        <v>0.4</v>
      </c>
      <c r="AM142" s="1621">
        <v>0.4</v>
      </c>
      <c r="AN142" s="1621">
        <v>0.4</v>
      </c>
      <c r="AO142" s="1621">
        <v>0.4</v>
      </c>
      <c r="AP142" s="1621">
        <v>0.4</v>
      </c>
      <c r="AQ142" s="1622">
        <v>0.4</v>
      </c>
      <c r="AR142" s="1621">
        <v>0.4</v>
      </c>
      <c r="AS142" s="1621">
        <v>0.4</v>
      </c>
      <c r="AT142" s="1867"/>
      <c r="AU142" s="1713"/>
      <c r="AV142" s="1713"/>
      <c r="AX142" s="1645">
        <v>1.1000000000000001</v>
      </c>
      <c r="AY142" s="1691" t="s">
        <v>368</v>
      </c>
      <c r="AZ142" s="2061" t="s">
        <v>758</v>
      </c>
      <c r="BA142" s="1621">
        <v>0.4</v>
      </c>
      <c r="BB142" s="1621">
        <v>0.4</v>
      </c>
      <c r="BC142" s="1621">
        <v>0.4</v>
      </c>
      <c r="BD142" s="1621">
        <v>0.4</v>
      </c>
      <c r="BE142" s="1621">
        <v>0.4</v>
      </c>
      <c r="BF142" s="1621">
        <v>0.4</v>
      </c>
      <c r="BG142" s="1621">
        <v>0.4</v>
      </c>
      <c r="BH142" s="1622">
        <v>0.4</v>
      </c>
      <c r="BI142" s="1621">
        <v>0.4</v>
      </c>
      <c r="BJ142" s="1621">
        <v>0.4</v>
      </c>
      <c r="BK142" s="1867"/>
      <c r="BL142" s="1713"/>
      <c r="BM142" s="1713"/>
      <c r="BO142" s="1645">
        <v>1.1000000000000001</v>
      </c>
      <c r="BP142" s="1691" t="s">
        <v>368</v>
      </c>
      <c r="BQ142" s="2061" t="s">
        <v>758</v>
      </c>
      <c r="BR142" s="1621">
        <v>0.4</v>
      </c>
      <c r="BS142" s="1621">
        <v>0.4</v>
      </c>
      <c r="BT142" s="1621">
        <v>0.4</v>
      </c>
      <c r="BU142" s="1621">
        <v>0.4</v>
      </c>
      <c r="BV142" s="1621">
        <v>0.4</v>
      </c>
      <c r="BW142" s="1621">
        <v>0.4</v>
      </c>
      <c r="BX142" s="1621">
        <v>0.4</v>
      </c>
      <c r="BY142" s="1622">
        <v>0.4</v>
      </c>
      <c r="BZ142" s="1621">
        <v>0.4</v>
      </c>
      <c r="CA142" s="1621">
        <v>0.4</v>
      </c>
      <c r="CB142" s="1867"/>
      <c r="CC142" s="1713"/>
      <c r="CD142" s="1713"/>
    </row>
    <row r="143" spans="1:83">
      <c r="B143" s="1595">
        <f t="shared" ref="B143:B174" si="143">P143</f>
        <v>1.2</v>
      </c>
      <c r="C143" s="1645" t="str">
        <f t="shared" si="140"/>
        <v>雨水利用・雑排水再利用</v>
      </c>
      <c r="D143" s="1714" t="e">
        <f>IF(I$141=0,0,G143/I$141)</f>
        <v>#DIV/0!</v>
      </c>
      <c r="E143" s="1689" t="e">
        <f>IF(J$141=0,0,H143/J$141)</f>
        <v>#DIV/0!</v>
      </c>
      <c r="G143" s="1689" t="e">
        <f t="shared" si="138"/>
        <v>#DIV/0!</v>
      </c>
      <c r="H143" s="1689" t="e">
        <f t="shared" si="139"/>
        <v>#DIV/0!</v>
      </c>
      <c r="I143" s="1689" t="e">
        <f>SUM(G144:G145)</f>
        <v>#DIV/0!</v>
      </c>
      <c r="J143" s="1689" t="e">
        <f>SUM(H144:H145)</f>
        <v>#DIV/0!</v>
      </c>
      <c r="K143" s="1689" t="e">
        <f>IF(スコア表示!W143=0,0,1)</f>
        <v>#DIV/0!</v>
      </c>
      <c r="L143" s="1689" t="e">
        <f>IF(スコア表示!AA143=0,0,1)</f>
        <v>#DIV/0!</v>
      </c>
      <c r="M143" s="1689" t="e">
        <f t="shared" si="141"/>
        <v>#DIV/0!</v>
      </c>
      <c r="N143" s="1689" t="e">
        <f t="shared" si="102"/>
        <v>#DIV/0!</v>
      </c>
      <c r="P143" s="2089">
        <f t="shared" si="103"/>
        <v>1.2</v>
      </c>
      <c r="Q143" s="1645" t="str">
        <f t="shared" si="104"/>
        <v>LR2 1</v>
      </c>
      <c r="R143" s="1735" t="str">
        <f t="shared" si="142"/>
        <v>雨水利用・雑排水再利用</v>
      </c>
      <c r="S143" s="1616">
        <f t="shared" si="110"/>
        <v>0.6</v>
      </c>
      <c r="T143" s="1616">
        <f t="shared" si="111"/>
        <v>0.6</v>
      </c>
      <c r="U143" s="1616">
        <f t="shared" si="112"/>
        <v>0.6</v>
      </c>
      <c r="V143" s="1616">
        <f t="shared" si="113"/>
        <v>0.6</v>
      </c>
      <c r="W143" s="1616">
        <f t="shared" si="114"/>
        <v>0.6</v>
      </c>
      <c r="X143" s="1616">
        <f t="shared" si="115"/>
        <v>0.6</v>
      </c>
      <c r="Y143" s="1616">
        <f t="shared" si="116"/>
        <v>0.6</v>
      </c>
      <c r="Z143" s="1624">
        <f t="shared" si="117"/>
        <v>0.6</v>
      </c>
      <c r="AA143" s="1616">
        <f t="shared" si="118"/>
        <v>0.6</v>
      </c>
      <c r="AB143" s="1616">
        <f t="shared" si="119"/>
        <v>0.6</v>
      </c>
      <c r="AC143" s="1686">
        <f t="shared" si="107"/>
        <v>0</v>
      </c>
      <c r="AD143" s="1631">
        <f t="shared" si="108"/>
        <v>0</v>
      </c>
      <c r="AE143" s="1631">
        <f t="shared" si="109"/>
        <v>0</v>
      </c>
      <c r="AG143" s="2089">
        <v>1.2</v>
      </c>
      <c r="AH143" s="1691" t="s">
        <v>368</v>
      </c>
      <c r="AI143" s="1735" t="s">
        <v>759</v>
      </c>
      <c r="AJ143" s="1621">
        <v>0.6</v>
      </c>
      <c r="AK143" s="1621">
        <v>0.6</v>
      </c>
      <c r="AL143" s="1621">
        <v>0.6</v>
      </c>
      <c r="AM143" s="1621">
        <v>0.6</v>
      </c>
      <c r="AN143" s="1621">
        <v>0.6</v>
      </c>
      <c r="AO143" s="1621">
        <v>0.6</v>
      </c>
      <c r="AP143" s="1621">
        <v>0.6</v>
      </c>
      <c r="AQ143" s="1622">
        <v>0.6</v>
      </c>
      <c r="AR143" s="1621">
        <v>0.6</v>
      </c>
      <c r="AS143" s="1621">
        <v>0.6</v>
      </c>
      <c r="AT143" s="1867"/>
      <c r="AU143" s="1713"/>
      <c r="AV143" s="1713"/>
      <c r="AX143" s="2089">
        <v>1.2</v>
      </c>
      <c r="AY143" s="1691" t="s">
        <v>368</v>
      </c>
      <c r="AZ143" s="1735" t="s">
        <v>759</v>
      </c>
      <c r="BA143" s="1621">
        <v>0.6</v>
      </c>
      <c r="BB143" s="1621">
        <v>0.6</v>
      </c>
      <c r="BC143" s="1621">
        <v>0.6</v>
      </c>
      <c r="BD143" s="1621">
        <v>0.6</v>
      </c>
      <c r="BE143" s="1621">
        <v>0.6</v>
      </c>
      <c r="BF143" s="1621">
        <v>0.6</v>
      </c>
      <c r="BG143" s="1621">
        <v>0.6</v>
      </c>
      <c r="BH143" s="1622">
        <v>0.6</v>
      </c>
      <c r="BI143" s="1621">
        <v>0.6</v>
      </c>
      <c r="BJ143" s="1621">
        <v>0.6</v>
      </c>
      <c r="BK143" s="1867"/>
      <c r="BL143" s="1713"/>
      <c r="BM143" s="1713"/>
      <c r="BO143" s="2089">
        <v>1.2</v>
      </c>
      <c r="BP143" s="1691" t="s">
        <v>368</v>
      </c>
      <c r="BQ143" s="1735" t="s">
        <v>759</v>
      </c>
      <c r="BR143" s="1621">
        <v>0.6</v>
      </c>
      <c r="BS143" s="1621">
        <v>0.6</v>
      </c>
      <c r="BT143" s="1621">
        <v>0.6</v>
      </c>
      <c r="BU143" s="1621">
        <v>0.6</v>
      </c>
      <c r="BV143" s="1621">
        <v>0.6</v>
      </c>
      <c r="BW143" s="1621">
        <v>0.6</v>
      </c>
      <c r="BX143" s="1621">
        <v>0.6</v>
      </c>
      <c r="BY143" s="1622">
        <v>0.6</v>
      </c>
      <c r="BZ143" s="1621">
        <v>0.6</v>
      </c>
      <c r="CA143" s="1621">
        <v>0.6</v>
      </c>
      <c r="CB143" s="1867"/>
      <c r="CC143" s="1713"/>
      <c r="CD143" s="1713"/>
    </row>
    <row r="144" spans="1:83">
      <c r="B144" s="1595" t="str">
        <f t="shared" si="143"/>
        <v>1.2.1</v>
      </c>
      <c r="C144" s="1612" t="str">
        <f t="shared" si="140"/>
        <v>雨水利用システム導入の有無</v>
      </c>
      <c r="D144" s="1719" t="e">
        <f>IF(I$143&gt;0,G144/I$143,0)</f>
        <v>#DIV/0!</v>
      </c>
      <c r="E144" s="1689" t="e">
        <f>IF(J$143&gt;0,H144/J$143,0)</f>
        <v>#DIV/0!</v>
      </c>
      <c r="G144" s="1689" t="e">
        <f t="shared" si="138"/>
        <v>#DIV/0!</v>
      </c>
      <c r="H144" s="1689" t="e">
        <f t="shared" si="139"/>
        <v>#DIV/0!</v>
      </c>
      <c r="I144" s="1689"/>
      <c r="J144" s="1689"/>
      <c r="K144" s="1689">
        <f>IF(スコア表示!W144=0,0,1)</f>
        <v>1</v>
      </c>
      <c r="L144" s="1689">
        <f>IF(スコア表示!AA144=0,0,1)</f>
        <v>0</v>
      </c>
      <c r="M144" s="1689" t="e">
        <f t="shared" si="141"/>
        <v>#DIV/0!</v>
      </c>
      <c r="N144" s="1689" t="e">
        <f t="shared" si="102"/>
        <v>#DIV/0!</v>
      </c>
      <c r="P144" s="1645" t="str">
        <f t="shared" si="103"/>
        <v>1.2.1</v>
      </c>
      <c r="Q144" s="1645" t="str">
        <f t="shared" si="104"/>
        <v>LR2 1.2</v>
      </c>
      <c r="R144" s="1735" t="str">
        <f t="shared" si="142"/>
        <v>雨水利用システム導入の有無</v>
      </c>
      <c r="S144" s="1616">
        <f t="shared" si="110"/>
        <v>0.7</v>
      </c>
      <c r="T144" s="1616">
        <f t="shared" si="111"/>
        <v>0.7</v>
      </c>
      <c r="U144" s="1616">
        <f t="shared" si="112"/>
        <v>0.7</v>
      </c>
      <c r="V144" s="1616">
        <f t="shared" si="113"/>
        <v>0.7</v>
      </c>
      <c r="W144" s="1616">
        <f t="shared" si="114"/>
        <v>0.7</v>
      </c>
      <c r="X144" s="1616">
        <f t="shared" si="115"/>
        <v>0.7</v>
      </c>
      <c r="Y144" s="1616">
        <f t="shared" si="116"/>
        <v>0.7</v>
      </c>
      <c r="Z144" s="1624">
        <f t="shared" si="117"/>
        <v>0.7</v>
      </c>
      <c r="AA144" s="1616">
        <f t="shared" si="118"/>
        <v>0.7</v>
      </c>
      <c r="AB144" s="1616">
        <f t="shared" si="119"/>
        <v>0.7</v>
      </c>
      <c r="AC144" s="1686">
        <f t="shared" si="107"/>
        <v>0</v>
      </c>
      <c r="AD144" s="1631">
        <f t="shared" si="108"/>
        <v>0</v>
      </c>
      <c r="AE144" s="1631">
        <f t="shared" si="109"/>
        <v>0</v>
      </c>
      <c r="AG144" s="1645" t="s">
        <v>1558</v>
      </c>
      <c r="AH144" s="1691" t="s">
        <v>369</v>
      </c>
      <c r="AI144" s="2061" t="s">
        <v>1658</v>
      </c>
      <c r="AJ144" s="1621">
        <v>0.7</v>
      </c>
      <c r="AK144" s="1621">
        <v>0.7</v>
      </c>
      <c r="AL144" s="1621">
        <v>0.7</v>
      </c>
      <c r="AM144" s="1621">
        <v>0.7</v>
      </c>
      <c r="AN144" s="1621">
        <v>0.7</v>
      </c>
      <c r="AO144" s="1621">
        <v>0.7</v>
      </c>
      <c r="AP144" s="1621">
        <v>0.7</v>
      </c>
      <c r="AQ144" s="1622">
        <v>0.7</v>
      </c>
      <c r="AR144" s="1621">
        <v>0.7</v>
      </c>
      <c r="AS144" s="1621">
        <v>0.7</v>
      </c>
      <c r="AT144" s="1867"/>
      <c r="AU144" s="1713"/>
      <c r="AV144" s="1713"/>
      <c r="AX144" s="1645" t="s">
        <v>1457</v>
      </c>
      <c r="AY144" s="1691" t="s">
        <v>369</v>
      </c>
      <c r="AZ144" s="2061" t="s">
        <v>1528</v>
      </c>
      <c r="BA144" s="1621">
        <v>0.7</v>
      </c>
      <c r="BB144" s="1621">
        <v>0.7</v>
      </c>
      <c r="BC144" s="1621">
        <v>0.7</v>
      </c>
      <c r="BD144" s="1621">
        <v>0.7</v>
      </c>
      <c r="BE144" s="1621">
        <v>0.7</v>
      </c>
      <c r="BF144" s="1621">
        <v>0.7</v>
      </c>
      <c r="BG144" s="1621">
        <v>0.7</v>
      </c>
      <c r="BH144" s="1622">
        <v>0.7</v>
      </c>
      <c r="BI144" s="1621">
        <v>0.7</v>
      </c>
      <c r="BJ144" s="1621">
        <v>0.7</v>
      </c>
      <c r="BK144" s="1867"/>
      <c r="BL144" s="1713"/>
      <c r="BM144" s="1713"/>
      <c r="BO144" s="1645" t="s">
        <v>1457</v>
      </c>
      <c r="BP144" s="1691" t="s">
        <v>369</v>
      </c>
      <c r="BQ144" s="2061" t="s">
        <v>1528</v>
      </c>
      <c r="BR144" s="1621">
        <v>0.7</v>
      </c>
      <c r="BS144" s="1621">
        <v>0.7</v>
      </c>
      <c r="BT144" s="1621">
        <v>0.7</v>
      </c>
      <c r="BU144" s="1621">
        <v>0.7</v>
      </c>
      <c r="BV144" s="1621">
        <v>0.7</v>
      </c>
      <c r="BW144" s="1621">
        <v>0.7</v>
      </c>
      <c r="BX144" s="1621">
        <v>0.7</v>
      </c>
      <c r="BY144" s="1622">
        <v>0.7</v>
      </c>
      <c r="BZ144" s="1621">
        <v>0.7</v>
      </c>
      <c r="CA144" s="1621">
        <v>0.7</v>
      </c>
      <c r="CB144" s="1867"/>
      <c r="CC144" s="1713"/>
      <c r="CD144" s="1713"/>
    </row>
    <row r="145" spans="1:83">
      <c r="B145" s="1595" t="str">
        <f t="shared" si="143"/>
        <v>1.2.2</v>
      </c>
      <c r="C145" s="1612" t="str">
        <f t="shared" si="140"/>
        <v>雑排水等再利用システム導入の有無</v>
      </c>
      <c r="D145" s="1719" t="e">
        <f>IF(I$143&gt;0,G145/I$143,0)</f>
        <v>#DIV/0!</v>
      </c>
      <c r="E145" s="1689" t="e">
        <f>IF(J$143&gt;0,H145/J$143,0)</f>
        <v>#DIV/0!</v>
      </c>
      <c r="G145" s="1689" t="e">
        <f t="shared" si="138"/>
        <v>#DIV/0!</v>
      </c>
      <c r="H145" s="1689" t="e">
        <f t="shared" si="139"/>
        <v>#DIV/0!</v>
      </c>
      <c r="I145" s="1689"/>
      <c r="J145" s="1689"/>
      <c r="K145" s="1689">
        <f>IF(スコア表示!W145=0,0,1)</f>
        <v>1</v>
      </c>
      <c r="L145" s="1689">
        <f>IF(スコア表示!AA145=0,0,1)</f>
        <v>0</v>
      </c>
      <c r="M145" s="1689" t="e">
        <f t="shared" si="141"/>
        <v>#DIV/0!</v>
      </c>
      <c r="N145" s="1689" t="e">
        <f t="shared" si="102"/>
        <v>#DIV/0!</v>
      </c>
      <c r="P145" s="1645" t="str">
        <f t="shared" si="103"/>
        <v>1.2.2</v>
      </c>
      <c r="Q145" s="1645" t="str">
        <f t="shared" si="104"/>
        <v>LR2 1.2</v>
      </c>
      <c r="R145" s="1735" t="str">
        <f t="shared" si="142"/>
        <v>雑排水等再利用システム導入の有無</v>
      </c>
      <c r="S145" s="1616">
        <f t="shared" si="110"/>
        <v>0.3</v>
      </c>
      <c r="T145" s="1616">
        <f t="shared" si="111"/>
        <v>0.3</v>
      </c>
      <c r="U145" s="1616">
        <f t="shared" si="112"/>
        <v>0.3</v>
      </c>
      <c r="V145" s="1616">
        <f t="shared" si="113"/>
        <v>0.3</v>
      </c>
      <c r="W145" s="1616">
        <f t="shared" si="114"/>
        <v>0.3</v>
      </c>
      <c r="X145" s="1616">
        <f t="shared" si="115"/>
        <v>0.3</v>
      </c>
      <c r="Y145" s="1616">
        <f t="shared" si="116"/>
        <v>0.3</v>
      </c>
      <c r="Z145" s="1624">
        <f t="shared" si="117"/>
        <v>0.3</v>
      </c>
      <c r="AA145" s="1616">
        <f t="shared" si="118"/>
        <v>0.3</v>
      </c>
      <c r="AB145" s="1616">
        <f t="shared" si="119"/>
        <v>0.3</v>
      </c>
      <c r="AC145" s="1686">
        <f t="shared" si="107"/>
        <v>0</v>
      </c>
      <c r="AD145" s="1631">
        <f t="shared" si="108"/>
        <v>0</v>
      </c>
      <c r="AE145" s="1631">
        <f t="shared" si="109"/>
        <v>0</v>
      </c>
      <c r="AG145" s="1645" t="s">
        <v>1560</v>
      </c>
      <c r="AH145" s="1691" t="s">
        <v>369</v>
      </c>
      <c r="AI145" s="2061" t="s">
        <v>901</v>
      </c>
      <c r="AJ145" s="1621">
        <v>0.3</v>
      </c>
      <c r="AK145" s="1621">
        <v>0.3</v>
      </c>
      <c r="AL145" s="1621">
        <v>0.3</v>
      </c>
      <c r="AM145" s="1621">
        <v>0.3</v>
      </c>
      <c r="AN145" s="1621">
        <v>0.3</v>
      </c>
      <c r="AO145" s="1621">
        <v>0.3</v>
      </c>
      <c r="AP145" s="1621">
        <v>0.3</v>
      </c>
      <c r="AQ145" s="1622">
        <v>0.3</v>
      </c>
      <c r="AR145" s="1621">
        <v>0.3</v>
      </c>
      <c r="AS145" s="1621">
        <v>0.3</v>
      </c>
      <c r="AT145" s="1867"/>
      <c r="AU145" s="1713"/>
      <c r="AV145" s="1713"/>
      <c r="AX145" s="1645" t="s">
        <v>1458</v>
      </c>
      <c r="AY145" s="1691" t="s">
        <v>369</v>
      </c>
      <c r="AZ145" s="2061" t="s">
        <v>901</v>
      </c>
      <c r="BA145" s="1621">
        <v>0.3</v>
      </c>
      <c r="BB145" s="1621">
        <v>0.3</v>
      </c>
      <c r="BC145" s="1621">
        <v>0.3</v>
      </c>
      <c r="BD145" s="1621">
        <v>0.3</v>
      </c>
      <c r="BE145" s="1621">
        <v>0.3</v>
      </c>
      <c r="BF145" s="1621">
        <v>0.3</v>
      </c>
      <c r="BG145" s="1621">
        <v>0.3</v>
      </c>
      <c r="BH145" s="1622">
        <v>0.3</v>
      </c>
      <c r="BI145" s="1621">
        <v>0.3</v>
      </c>
      <c r="BJ145" s="1621">
        <v>0.3</v>
      </c>
      <c r="BK145" s="1867"/>
      <c r="BL145" s="1713"/>
      <c r="BM145" s="1713"/>
      <c r="BO145" s="1645" t="s">
        <v>1458</v>
      </c>
      <c r="BP145" s="1691" t="s">
        <v>369</v>
      </c>
      <c r="BQ145" s="2061" t="s">
        <v>901</v>
      </c>
      <c r="BR145" s="1621">
        <v>0.3</v>
      </c>
      <c r="BS145" s="1621">
        <v>0.3</v>
      </c>
      <c r="BT145" s="1621">
        <v>0.3</v>
      </c>
      <c r="BU145" s="1621">
        <v>0.3</v>
      </c>
      <c r="BV145" s="1621">
        <v>0.3</v>
      </c>
      <c r="BW145" s="1621">
        <v>0.3</v>
      </c>
      <c r="BX145" s="1621">
        <v>0.3</v>
      </c>
      <c r="BY145" s="1622">
        <v>0.3</v>
      </c>
      <c r="BZ145" s="1621">
        <v>0.3</v>
      </c>
      <c r="CA145" s="1621">
        <v>0.3</v>
      </c>
      <c r="CB145" s="1867"/>
      <c r="CC145" s="1713"/>
      <c r="CD145" s="1713"/>
    </row>
    <row r="146" spans="1:83" s="1603" customFormat="1">
      <c r="A146"/>
      <c r="B146" s="1595">
        <f t="shared" si="143"/>
        <v>2</v>
      </c>
      <c r="C146" s="1687" t="str">
        <f t="shared" si="140"/>
        <v>非再生性資源の使用量削減</v>
      </c>
      <c r="D146" s="2059" t="e">
        <f>IF(I$140=0,0,G146/I$140)</f>
        <v>#DIV/0!</v>
      </c>
      <c r="E146" s="1741" t="e">
        <f>IF(J$140=0,0,H146/J$140)</f>
        <v>#DIV/0!</v>
      </c>
      <c r="F146"/>
      <c r="G146" s="1741" t="e">
        <f t="shared" si="138"/>
        <v>#DIV/0!</v>
      </c>
      <c r="H146" s="1741" t="e">
        <f t="shared" si="139"/>
        <v>#DIV/0!</v>
      </c>
      <c r="I146" s="1741" t="e">
        <f>G147+G148+G149+G150+G151+G152</f>
        <v>#DIV/0!</v>
      </c>
      <c r="J146" s="1741" t="e">
        <f>H147+H148+H149+H150+H151+H152</f>
        <v>#DIV/0!</v>
      </c>
      <c r="K146" s="1741" t="e">
        <f>IF(スコア表示!W146=0,0,1)</f>
        <v>#DIV/0!</v>
      </c>
      <c r="L146" s="1741" t="e">
        <f>IF(スコア表示!AA146=0,0,1)</f>
        <v>#DIV/0!</v>
      </c>
      <c r="M146" s="1741" t="e">
        <f t="shared" si="141"/>
        <v>#DIV/0!</v>
      </c>
      <c r="N146" s="1741" t="e">
        <f t="shared" si="102"/>
        <v>#DIV/0!</v>
      </c>
      <c r="O146"/>
      <c r="P146" s="1639">
        <f t="shared" si="103"/>
        <v>2</v>
      </c>
      <c r="Q146" s="1639" t="str">
        <f t="shared" si="104"/>
        <v>LR2</v>
      </c>
      <c r="R146" s="1778" t="str">
        <f t="shared" si="142"/>
        <v>非再生性資源の使用量削減</v>
      </c>
      <c r="S146" s="1608">
        <f t="shared" si="110"/>
        <v>0.6</v>
      </c>
      <c r="T146" s="1608">
        <f t="shared" si="111"/>
        <v>0.6</v>
      </c>
      <c r="U146" s="1608">
        <f t="shared" si="112"/>
        <v>0.6</v>
      </c>
      <c r="V146" s="1608">
        <f t="shared" si="113"/>
        <v>0.6</v>
      </c>
      <c r="W146" s="1608">
        <f t="shared" si="114"/>
        <v>0.6</v>
      </c>
      <c r="X146" s="1608">
        <f t="shared" si="115"/>
        <v>0.6</v>
      </c>
      <c r="Y146" s="1608">
        <f t="shared" si="116"/>
        <v>0.6</v>
      </c>
      <c r="Z146" s="1644">
        <f t="shared" si="117"/>
        <v>0.6</v>
      </c>
      <c r="AA146" s="1608">
        <f t="shared" si="118"/>
        <v>0.6</v>
      </c>
      <c r="AB146" s="1608">
        <f t="shared" si="119"/>
        <v>0.6</v>
      </c>
      <c r="AC146" s="1684">
        <f t="shared" si="107"/>
        <v>0</v>
      </c>
      <c r="AD146" s="1685">
        <f t="shared" si="108"/>
        <v>0</v>
      </c>
      <c r="AE146" s="1685">
        <f t="shared" si="109"/>
        <v>0</v>
      </c>
      <c r="AF146"/>
      <c r="AG146" s="1639">
        <v>2</v>
      </c>
      <c r="AH146" s="1742" t="s">
        <v>367</v>
      </c>
      <c r="AI146" s="1785" t="s">
        <v>763</v>
      </c>
      <c r="AJ146" s="1709">
        <v>0.6</v>
      </c>
      <c r="AK146" s="1709">
        <v>0.6</v>
      </c>
      <c r="AL146" s="1709">
        <v>0.6</v>
      </c>
      <c r="AM146" s="1709">
        <v>0.6</v>
      </c>
      <c r="AN146" s="1709">
        <v>0.6</v>
      </c>
      <c r="AO146" s="1709">
        <v>0.6</v>
      </c>
      <c r="AP146" s="1709">
        <v>0.6</v>
      </c>
      <c r="AQ146" s="1709">
        <v>0.6</v>
      </c>
      <c r="AR146" s="1709">
        <v>0.6</v>
      </c>
      <c r="AS146" s="1709">
        <v>0.6</v>
      </c>
      <c r="AT146" s="2095"/>
      <c r="AU146" s="2096"/>
      <c r="AV146" s="2096"/>
      <c r="AW146"/>
      <c r="AX146" s="1639">
        <v>2</v>
      </c>
      <c r="AY146" s="1742" t="s">
        <v>367</v>
      </c>
      <c r="AZ146" s="1785" t="s">
        <v>763</v>
      </c>
      <c r="BA146" s="1709">
        <v>0.6</v>
      </c>
      <c r="BB146" s="1709">
        <v>0.6</v>
      </c>
      <c r="BC146" s="1709">
        <v>0.6</v>
      </c>
      <c r="BD146" s="1709">
        <v>0.6</v>
      </c>
      <c r="BE146" s="1709">
        <v>0.6</v>
      </c>
      <c r="BF146" s="1709">
        <v>0.6</v>
      </c>
      <c r="BG146" s="1709">
        <v>0.6</v>
      </c>
      <c r="BH146" s="1709">
        <v>0.6</v>
      </c>
      <c r="BI146" s="1709">
        <v>0.6</v>
      </c>
      <c r="BJ146" s="1709">
        <v>0.6</v>
      </c>
      <c r="BK146" s="2095"/>
      <c r="BL146" s="2096"/>
      <c r="BM146" s="2096"/>
      <c r="BN146"/>
      <c r="BO146" s="1639">
        <v>2</v>
      </c>
      <c r="BP146" s="1742" t="s">
        <v>367</v>
      </c>
      <c r="BQ146" s="1785" t="s">
        <v>763</v>
      </c>
      <c r="BR146" s="1709">
        <v>0.6</v>
      </c>
      <c r="BS146" s="1709">
        <v>0.6</v>
      </c>
      <c r="BT146" s="1709">
        <v>0.6</v>
      </c>
      <c r="BU146" s="1709">
        <v>0.6</v>
      </c>
      <c r="BV146" s="1709">
        <v>0.6</v>
      </c>
      <c r="BW146" s="1709">
        <v>0.6</v>
      </c>
      <c r="BX146" s="1709">
        <v>0.6</v>
      </c>
      <c r="BY146" s="1709">
        <v>0.6</v>
      </c>
      <c r="BZ146" s="1709">
        <v>0.6</v>
      </c>
      <c r="CA146" s="1709">
        <v>0.6</v>
      </c>
      <c r="CB146" s="2095"/>
      <c r="CC146" s="2096"/>
      <c r="CD146" s="2096"/>
      <c r="CE146"/>
    </row>
    <row r="147" spans="1:83" s="1603" customFormat="1">
      <c r="A147"/>
      <c r="B147" s="1595" t="str">
        <f t="shared" si="143"/>
        <v>2.1</v>
      </c>
      <c r="C147" s="1645" t="str">
        <f t="shared" si="140"/>
        <v>材料使用量の削減</v>
      </c>
      <c r="D147" s="1714" t="e">
        <f t="shared" ref="D147:E152" si="144">IF(I$146=0,0,G147/I$146)</f>
        <v>#DIV/0!</v>
      </c>
      <c r="E147" s="1689" t="e">
        <f t="shared" si="144"/>
        <v>#DIV/0!</v>
      </c>
      <c r="F147"/>
      <c r="G147" s="1689" t="e">
        <f t="shared" si="138"/>
        <v>#DIV/0!</v>
      </c>
      <c r="H147" s="1689" t="e">
        <f t="shared" si="139"/>
        <v>#DIV/0!</v>
      </c>
      <c r="I147" s="1689"/>
      <c r="J147" s="1689"/>
      <c r="K147" s="1689">
        <f>IF(スコア表示!W147=0,0,1)</f>
        <v>1</v>
      </c>
      <c r="L147" s="1689">
        <f>IF(スコア表示!AA147=0,0,1)</f>
        <v>0</v>
      </c>
      <c r="M147" s="1689" t="e">
        <f t="shared" si="141"/>
        <v>#DIV/0!</v>
      </c>
      <c r="N147" s="1689" t="e">
        <f t="shared" si="102"/>
        <v>#DIV/0!</v>
      </c>
      <c r="O147"/>
      <c r="P147" s="1645" t="str">
        <f t="shared" si="103"/>
        <v>2.1</v>
      </c>
      <c r="Q147" s="1645" t="str">
        <f t="shared" si="104"/>
        <v>LR2 2</v>
      </c>
      <c r="R147" s="1735" t="str">
        <f t="shared" si="142"/>
        <v>材料使用量の削減</v>
      </c>
      <c r="S147" s="1616">
        <f t="shared" si="110"/>
        <v>0.1</v>
      </c>
      <c r="T147" s="1616">
        <f t="shared" si="111"/>
        <v>0.1</v>
      </c>
      <c r="U147" s="1616">
        <f t="shared" si="112"/>
        <v>0.1</v>
      </c>
      <c r="V147" s="1616">
        <f t="shared" si="113"/>
        <v>0.1</v>
      </c>
      <c r="W147" s="1616">
        <f t="shared" si="114"/>
        <v>0.1</v>
      </c>
      <c r="X147" s="1616">
        <f t="shared" si="115"/>
        <v>0.1</v>
      </c>
      <c r="Y147" s="1616">
        <f t="shared" si="116"/>
        <v>0.1</v>
      </c>
      <c r="Z147" s="1624">
        <f t="shared" si="117"/>
        <v>0.1</v>
      </c>
      <c r="AA147" s="1616">
        <f t="shared" si="118"/>
        <v>0.1</v>
      </c>
      <c r="AB147" s="1616">
        <f t="shared" si="119"/>
        <v>0.1</v>
      </c>
      <c r="AC147" s="1686">
        <f t="shared" si="107"/>
        <v>0</v>
      </c>
      <c r="AD147" s="1631">
        <f t="shared" si="108"/>
        <v>0</v>
      </c>
      <c r="AE147" s="1631">
        <f t="shared" si="109"/>
        <v>0</v>
      </c>
      <c r="AF147"/>
      <c r="AG147" s="1645" t="s">
        <v>1504</v>
      </c>
      <c r="AH147" s="1742" t="s">
        <v>370</v>
      </c>
      <c r="AI147" s="2061" t="s">
        <v>764</v>
      </c>
      <c r="AJ147" s="2084">
        <v>0.1</v>
      </c>
      <c r="AK147" s="2084">
        <v>0.1</v>
      </c>
      <c r="AL147" s="2084">
        <v>0.1</v>
      </c>
      <c r="AM147" s="2084">
        <v>0.1</v>
      </c>
      <c r="AN147" s="2084">
        <v>0.1</v>
      </c>
      <c r="AO147" s="2084">
        <v>0.1</v>
      </c>
      <c r="AP147" s="2084">
        <v>0.1</v>
      </c>
      <c r="AQ147" s="2084">
        <v>0.1</v>
      </c>
      <c r="AR147" s="2084">
        <v>0.1</v>
      </c>
      <c r="AS147" s="2084">
        <v>0.1</v>
      </c>
      <c r="AT147" s="2097"/>
      <c r="AU147" s="2096"/>
      <c r="AV147" s="2096"/>
      <c r="AW147"/>
      <c r="AX147" s="1645" t="s">
        <v>1505</v>
      </c>
      <c r="AY147" s="1742" t="s">
        <v>370</v>
      </c>
      <c r="AZ147" s="2061" t="s">
        <v>764</v>
      </c>
      <c r="BA147" s="2084">
        <v>0.1</v>
      </c>
      <c r="BB147" s="2084">
        <v>0.1</v>
      </c>
      <c r="BC147" s="2084">
        <v>0.1</v>
      </c>
      <c r="BD147" s="2084">
        <v>0.1</v>
      </c>
      <c r="BE147" s="2084">
        <v>0.1</v>
      </c>
      <c r="BF147" s="2084">
        <v>0.1</v>
      </c>
      <c r="BG147" s="2084">
        <v>0.1</v>
      </c>
      <c r="BH147" s="2084">
        <v>0.1</v>
      </c>
      <c r="BI147" s="2084">
        <v>0.1</v>
      </c>
      <c r="BJ147" s="2084">
        <v>0.1</v>
      </c>
      <c r="BK147" s="2095"/>
      <c r="BL147" s="2096"/>
      <c r="BM147" s="2096"/>
      <c r="BN147"/>
      <c r="BO147" s="1645" t="s">
        <v>1505</v>
      </c>
      <c r="BP147" s="1742" t="s">
        <v>370</v>
      </c>
      <c r="BQ147" s="2061" t="s">
        <v>764</v>
      </c>
      <c r="BR147" s="2084">
        <v>0.1</v>
      </c>
      <c r="BS147" s="2084">
        <v>0.1</v>
      </c>
      <c r="BT147" s="2084">
        <v>0.1</v>
      </c>
      <c r="BU147" s="2084">
        <v>0.1</v>
      </c>
      <c r="BV147" s="2084">
        <v>0.1</v>
      </c>
      <c r="BW147" s="2084">
        <v>0.1</v>
      </c>
      <c r="BX147" s="2084">
        <v>0.1</v>
      </c>
      <c r="BY147" s="2084">
        <v>0.1</v>
      </c>
      <c r="BZ147" s="2084">
        <v>0.1</v>
      </c>
      <c r="CA147" s="2084">
        <v>0.1</v>
      </c>
      <c r="CB147" s="2095"/>
      <c r="CC147" s="2096"/>
      <c r="CD147" s="2096"/>
      <c r="CE147"/>
    </row>
    <row r="148" spans="1:83">
      <c r="B148" s="1595" t="str">
        <f t="shared" si="143"/>
        <v>2.2</v>
      </c>
      <c r="C148" s="1645" t="str">
        <f t="shared" si="140"/>
        <v>既存建築躯体等の継続使用</v>
      </c>
      <c r="D148" s="1714" t="e">
        <f t="shared" si="144"/>
        <v>#DIV/0!</v>
      </c>
      <c r="E148" s="1689" t="e">
        <f t="shared" si="144"/>
        <v>#DIV/0!</v>
      </c>
      <c r="G148" s="1689" t="e">
        <f t="shared" si="138"/>
        <v>#DIV/0!</v>
      </c>
      <c r="H148" s="1689" t="e">
        <f t="shared" si="139"/>
        <v>#DIV/0!</v>
      </c>
      <c r="I148" s="1689"/>
      <c r="J148" s="1689"/>
      <c r="K148" s="1689">
        <f>IF(スコア表示!W148=0,0,1)</f>
        <v>1</v>
      </c>
      <c r="L148" s="1689">
        <f>IF(スコア表示!AA148=0,0,1)</f>
        <v>0</v>
      </c>
      <c r="M148" s="1689" t="e">
        <f t="shared" si="141"/>
        <v>#DIV/0!</v>
      </c>
      <c r="N148" s="1689" t="e">
        <f t="shared" si="102"/>
        <v>#DIV/0!</v>
      </c>
      <c r="P148" s="1645" t="str">
        <f t="shared" si="103"/>
        <v>2.2</v>
      </c>
      <c r="Q148" s="1645" t="str">
        <f t="shared" si="104"/>
        <v>LR2 2</v>
      </c>
      <c r="R148" s="1735" t="str">
        <f t="shared" si="142"/>
        <v>既存建築躯体等の継続使用</v>
      </c>
      <c r="S148" s="1616">
        <f t="shared" si="110"/>
        <v>0.2</v>
      </c>
      <c r="T148" s="1616">
        <f t="shared" si="111"/>
        <v>0.2</v>
      </c>
      <c r="U148" s="1616">
        <f t="shared" si="112"/>
        <v>0.2</v>
      </c>
      <c r="V148" s="1616">
        <f t="shared" si="113"/>
        <v>0.2</v>
      </c>
      <c r="W148" s="1616">
        <f t="shared" si="114"/>
        <v>0.2</v>
      </c>
      <c r="X148" s="1616">
        <f t="shared" si="115"/>
        <v>0.2</v>
      </c>
      <c r="Y148" s="1616">
        <f t="shared" si="116"/>
        <v>0.2</v>
      </c>
      <c r="Z148" s="1624">
        <f t="shared" si="117"/>
        <v>0.2</v>
      </c>
      <c r="AA148" s="1616">
        <f t="shared" si="118"/>
        <v>0.2</v>
      </c>
      <c r="AB148" s="1616">
        <f t="shared" si="119"/>
        <v>0.2</v>
      </c>
      <c r="AC148" s="1686">
        <f t="shared" si="107"/>
        <v>0</v>
      </c>
      <c r="AD148" s="1631">
        <f t="shared" si="108"/>
        <v>0</v>
      </c>
      <c r="AE148" s="1631">
        <f t="shared" si="109"/>
        <v>0</v>
      </c>
      <c r="AG148" s="1645" t="s">
        <v>1506</v>
      </c>
      <c r="AH148" s="1691" t="s">
        <v>370</v>
      </c>
      <c r="AI148" s="1735" t="s">
        <v>765</v>
      </c>
      <c r="AJ148" s="1621">
        <v>0.2</v>
      </c>
      <c r="AK148" s="1621">
        <v>0.2</v>
      </c>
      <c r="AL148" s="1621">
        <v>0.2</v>
      </c>
      <c r="AM148" s="1621">
        <v>0.2</v>
      </c>
      <c r="AN148" s="1621">
        <v>0.2</v>
      </c>
      <c r="AO148" s="1621">
        <v>0.2</v>
      </c>
      <c r="AP148" s="1621">
        <v>0.2</v>
      </c>
      <c r="AQ148" s="1621">
        <v>0.2</v>
      </c>
      <c r="AR148" s="1621">
        <v>0.2</v>
      </c>
      <c r="AS148" s="1621">
        <v>0.2</v>
      </c>
      <c r="AT148" s="1867"/>
      <c r="AU148" s="1713"/>
      <c r="AV148" s="1713"/>
      <c r="AX148" s="1645" t="s">
        <v>1507</v>
      </c>
      <c r="AY148" s="1691" t="s">
        <v>370</v>
      </c>
      <c r="AZ148" s="1735" t="s">
        <v>765</v>
      </c>
      <c r="BA148" s="1621">
        <v>0.2</v>
      </c>
      <c r="BB148" s="1621">
        <v>0.2</v>
      </c>
      <c r="BC148" s="1621">
        <v>0.2</v>
      </c>
      <c r="BD148" s="1621">
        <v>0.2</v>
      </c>
      <c r="BE148" s="1621">
        <v>0.2</v>
      </c>
      <c r="BF148" s="1621">
        <v>0.2</v>
      </c>
      <c r="BG148" s="1621">
        <v>0.2</v>
      </c>
      <c r="BH148" s="1621">
        <v>0.2</v>
      </c>
      <c r="BI148" s="1621">
        <v>0.2</v>
      </c>
      <c r="BJ148" s="1621">
        <v>0.2</v>
      </c>
      <c r="BK148" s="1867"/>
      <c r="BL148" s="1713"/>
      <c r="BM148" s="1713"/>
      <c r="BO148" s="1645" t="s">
        <v>1507</v>
      </c>
      <c r="BP148" s="1691" t="s">
        <v>370</v>
      </c>
      <c r="BQ148" s="1735" t="s">
        <v>765</v>
      </c>
      <c r="BR148" s="1621">
        <v>0.2</v>
      </c>
      <c r="BS148" s="1621">
        <v>0.2</v>
      </c>
      <c r="BT148" s="1621">
        <v>0.2</v>
      </c>
      <c r="BU148" s="1621">
        <v>0.2</v>
      </c>
      <c r="BV148" s="1621">
        <v>0.2</v>
      </c>
      <c r="BW148" s="1621">
        <v>0.2</v>
      </c>
      <c r="BX148" s="1621">
        <v>0.2</v>
      </c>
      <c r="BY148" s="1621">
        <v>0.2</v>
      </c>
      <c r="BZ148" s="1621">
        <v>0.2</v>
      </c>
      <c r="CA148" s="1621">
        <v>0.2</v>
      </c>
      <c r="CB148" s="1867"/>
      <c r="CC148" s="1713"/>
      <c r="CD148" s="1713"/>
    </row>
    <row r="149" spans="1:83">
      <c r="B149" s="1595" t="str">
        <f t="shared" si="143"/>
        <v>2.3</v>
      </c>
      <c r="C149" s="1645" t="str">
        <f t="shared" si="140"/>
        <v>躯体材料におけるリサイクル材の使用</v>
      </c>
      <c r="D149" s="1714" t="e">
        <f t="shared" si="144"/>
        <v>#DIV/0!</v>
      </c>
      <c r="E149" s="1689" t="e">
        <f t="shared" si="144"/>
        <v>#DIV/0!</v>
      </c>
      <c r="G149" s="1689" t="e">
        <f t="shared" si="138"/>
        <v>#DIV/0!</v>
      </c>
      <c r="H149" s="1689" t="e">
        <f t="shared" si="139"/>
        <v>#DIV/0!</v>
      </c>
      <c r="I149" s="1689"/>
      <c r="J149" s="1689"/>
      <c r="K149" s="1689">
        <f>IF(スコア表示!W149=0,0,1)</f>
        <v>1</v>
      </c>
      <c r="L149" s="1689">
        <f>IF(スコア表示!AA149=0,0,1)</f>
        <v>0</v>
      </c>
      <c r="M149" s="1689" t="e">
        <f t="shared" si="141"/>
        <v>#DIV/0!</v>
      </c>
      <c r="N149" s="1689" t="e">
        <f t="shared" si="102"/>
        <v>#DIV/0!</v>
      </c>
      <c r="P149" s="1645" t="str">
        <f t="shared" si="103"/>
        <v>2.3</v>
      </c>
      <c r="Q149" s="1645" t="str">
        <f t="shared" si="104"/>
        <v>LR2 2</v>
      </c>
      <c r="R149" s="1735" t="str">
        <f t="shared" si="142"/>
        <v>躯体材料におけるリサイクル材の使用</v>
      </c>
      <c r="S149" s="1616">
        <f t="shared" si="110"/>
        <v>0.2</v>
      </c>
      <c r="T149" s="1616">
        <f t="shared" si="111"/>
        <v>0.2</v>
      </c>
      <c r="U149" s="1616">
        <f t="shared" si="112"/>
        <v>0.2</v>
      </c>
      <c r="V149" s="1616">
        <f t="shared" si="113"/>
        <v>0.2</v>
      </c>
      <c r="W149" s="1616">
        <f t="shared" si="114"/>
        <v>0.2</v>
      </c>
      <c r="X149" s="1616">
        <f t="shared" si="115"/>
        <v>0.2</v>
      </c>
      <c r="Y149" s="1616">
        <f t="shared" si="116"/>
        <v>0.2</v>
      </c>
      <c r="Z149" s="1624">
        <f t="shared" si="117"/>
        <v>0.2</v>
      </c>
      <c r="AA149" s="1616">
        <f t="shared" si="118"/>
        <v>0.2</v>
      </c>
      <c r="AB149" s="1616">
        <f t="shared" si="119"/>
        <v>0.2</v>
      </c>
      <c r="AC149" s="1686">
        <f t="shared" si="107"/>
        <v>0</v>
      </c>
      <c r="AD149" s="1631">
        <f t="shared" si="108"/>
        <v>0</v>
      </c>
      <c r="AE149" s="1631">
        <f t="shared" si="109"/>
        <v>0</v>
      </c>
      <c r="AG149" s="1645" t="s">
        <v>1545</v>
      </c>
      <c r="AH149" s="1691" t="s">
        <v>370</v>
      </c>
      <c r="AI149" s="1735" t="s">
        <v>767</v>
      </c>
      <c r="AJ149" s="1621">
        <v>0.2</v>
      </c>
      <c r="AK149" s="1621">
        <v>0.2</v>
      </c>
      <c r="AL149" s="1621">
        <v>0.2</v>
      </c>
      <c r="AM149" s="1621">
        <v>0.2</v>
      </c>
      <c r="AN149" s="1621">
        <v>0.2</v>
      </c>
      <c r="AO149" s="1621">
        <v>0.2</v>
      </c>
      <c r="AP149" s="1621">
        <v>0.2</v>
      </c>
      <c r="AQ149" s="1621">
        <v>0.2</v>
      </c>
      <c r="AR149" s="1621">
        <v>0.2</v>
      </c>
      <c r="AS149" s="1621">
        <v>0.2</v>
      </c>
      <c r="AT149" s="1867"/>
      <c r="AU149" s="1713"/>
      <c r="AV149" s="1713"/>
      <c r="AX149" s="1645" t="s">
        <v>1529</v>
      </c>
      <c r="AY149" s="1691" t="s">
        <v>370</v>
      </c>
      <c r="AZ149" s="1735" t="s">
        <v>767</v>
      </c>
      <c r="BA149" s="1621">
        <v>0.2</v>
      </c>
      <c r="BB149" s="1621">
        <v>0.2</v>
      </c>
      <c r="BC149" s="1621">
        <v>0.2</v>
      </c>
      <c r="BD149" s="1621">
        <v>0.2</v>
      </c>
      <c r="BE149" s="1621">
        <v>0.2</v>
      </c>
      <c r="BF149" s="1621">
        <v>0.2</v>
      </c>
      <c r="BG149" s="1621">
        <v>0.2</v>
      </c>
      <c r="BH149" s="1621">
        <v>0.2</v>
      </c>
      <c r="BI149" s="1621">
        <v>0.2</v>
      </c>
      <c r="BJ149" s="1621">
        <v>0.2</v>
      </c>
      <c r="BK149" s="1867"/>
      <c r="BL149" s="1713"/>
      <c r="BM149" s="1713"/>
      <c r="BO149" s="1645" t="s">
        <v>1529</v>
      </c>
      <c r="BP149" s="1691" t="s">
        <v>370</v>
      </c>
      <c r="BQ149" s="1735" t="s">
        <v>767</v>
      </c>
      <c r="BR149" s="1621">
        <v>0.2</v>
      </c>
      <c r="BS149" s="1621">
        <v>0.2</v>
      </c>
      <c r="BT149" s="1621">
        <v>0.2</v>
      </c>
      <c r="BU149" s="1621">
        <v>0.2</v>
      </c>
      <c r="BV149" s="1621">
        <v>0.2</v>
      </c>
      <c r="BW149" s="1621">
        <v>0.2</v>
      </c>
      <c r="BX149" s="1621">
        <v>0.2</v>
      </c>
      <c r="BY149" s="1621">
        <v>0.2</v>
      </c>
      <c r="BZ149" s="1621">
        <v>0.2</v>
      </c>
      <c r="CA149" s="1621">
        <v>0.2</v>
      </c>
      <c r="CB149" s="1867"/>
      <c r="CC149" s="1713"/>
      <c r="CD149" s="1713"/>
    </row>
    <row r="150" spans="1:83">
      <c r="B150" s="1595" t="str">
        <f t="shared" si="143"/>
        <v>2.4</v>
      </c>
      <c r="C150" s="1612" t="str">
        <f t="shared" si="140"/>
        <v>躯体材料以外におけるリサイクル材の使用</v>
      </c>
      <c r="D150" s="1714" t="e">
        <f t="shared" si="144"/>
        <v>#DIV/0!</v>
      </c>
      <c r="E150" s="1689" t="e">
        <f t="shared" si="144"/>
        <v>#DIV/0!</v>
      </c>
      <c r="G150" s="1689" t="e">
        <f t="shared" si="138"/>
        <v>#DIV/0!</v>
      </c>
      <c r="H150" s="1689" t="e">
        <f t="shared" si="139"/>
        <v>#DIV/0!</v>
      </c>
      <c r="I150" s="1689"/>
      <c r="J150" s="1689"/>
      <c r="K150" s="1689">
        <f>IF(スコア表示!W150=0,0,1)</f>
        <v>1</v>
      </c>
      <c r="L150" s="1689">
        <f>IF(スコア表示!AA150=0,0,1)</f>
        <v>0</v>
      </c>
      <c r="M150" s="1689" t="e">
        <f t="shared" si="141"/>
        <v>#DIV/0!</v>
      </c>
      <c r="N150" s="1689" t="e">
        <f t="shared" si="102"/>
        <v>#DIV/0!</v>
      </c>
      <c r="P150" s="1645" t="str">
        <f t="shared" si="103"/>
        <v>2.4</v>
      </c>
      <c r="Q150" s="1645" t="str">
        <f t="shared" si="104"/>
        <v>LR2 2</v>
      </c>
      <c r="R150" s="1735" t="str">
        <f t="shared" si="142"/>
        <v>躯体材料以外におけるリサイクル材の使用</v>
      </c>
      <c r="S150" s="1616">
        <f t="shared" si="110"/>
        <v>0.2</v>
      </c>
      <c r="T150" s="1616">
        <f t="shared" si="111"/>
        <v>0.2</v>
      </c>
      <c r="U150" s="1616">
        <f t="shared" si="112"/>
        <v>0.2</v>
      </c>
      <c r="V150" s="1616">
        <f t="shared" si="113"/>
        <v>0.2</v>
      </c>
      <c r="W150" s="1616">
        <f t="shared" si="114"/>
        <v>0.2</v>
      </c>
      <c r="X150" s="1616">
        <f t="shared" si="115"/>
        <v>0.2</v>
      </c>
      <c r="Y150" s="1616">
        <f t="shared" si="116"/>
        <v>0.2</v>
      </c>
      <c r="Z150" s="1624">
        <f t="shared" si="117"/>
        <v>0.2</v>
      </c>
      <c r="AA150" s="1616">
        <f t="shared" si="118"/>
        <v>0.2</v>
      </c>
      <c r="AB150" s="1616">
        <f t="shared" si="119"/>
        <v>0.2</v>
      </c>
      <c r="AC150" s="1686">
        <f t="shared" si="107"/>
        <v>0</v>
      </c>
      <c r="AD150" s="1631">
        <f t="shared" si="108"/>
        <v>0</v>
      </c>
      <c r="AE150" s="1631">
        <f t="shared" si="109"/>
        <v>0</v>
      </c>
      <c r="AG150" s="1645" t="s">
        <v>1659</v>
      </c>
      <c r="AH150" s="1691" t="s">
        <v>370</v>
      </c>
      <c r="AI150" s="1735" t="s">
        <v>1531</v>
      </c>
      <c r="AJ150" s="1621">
        <v>0.2</v>
      </c>
      <c r="AK150" s="1621">
        <v>0.2</v>
      </c>
      <c r="AL150" s="1621">
        <v>0.2</v>
      </c>
      <c r="AM150" s="1621">
        <v>0.2</v>
      </c>
      <c r="AN150" s="1621">
        <v>0.2</v>
      </c>
      <c r="AO150" s="1621">
        <v>0.2</v>
      </c>
      <c r="AP150" s="1621">
        <v>0.2</v>
      </c>
      <c r="AQ150" s="1621">
        <v>0.2</v>
      </c>
      <c r="AR150" s="1621">
        <v>0.2</v>
      </c>
      <c r="AS150" s="1621">
        <v>0.2</v>
      </c>
      <c r="AT150" s="1867"/>
      <c r="AU150" s="1713"/>
      <c r="AV150" s="1713"/>
      <c r="AX150" s="1645" t="s">
        <v>1530</v>
      </c>
      <c r="AY150" s="1691" t="s">
        <v>370</v>
      </c>
      <c r="AZ150" s="1735" t="s">
        <v>1531</v>
      </c>
      <c r="BA150" s="1621">
        <v>0.2</v>
      </c>
      <c r="BB150" s="1621">
        <v>0.2</v>
      </c>
      <c r="BC150" s="1621">
        <v>0.2</v>
      </c>
      <c r="BD150" s="1621">
        <v>0.2</v>
      </c>
      <c r="BE150" s="1621">
        <v>0.2</v>
      </c>
      <c r="BF150" s="1621">
        <v>0.2</v>
      </c>
      <c r="BG150" s="1621">
        <v>0.2</v>
      </c>
      <c r="BH150" s="1621">
        <v>0.2</v>
      </c>
      <c r="BI150" s="1621">
        <v>0.2</v>
      </c>
      <c r="BJ150" s="1621">
        <v>0.2</v>
      </c>
      <c r="BK150" s="1867"/>
      <c r="BL150" s="1713"/>
      <c r="BM150" s="1713"/>
      <c r="BO150" s="1645" t="s">
        <v>1530</v>
      </c>
      <c r="BP150" s="1691" t="s">
        <v>370</v>
      </c>
      <c r="BQ150" s="1735" t="s">
        <v>1531</v>
      </c>
      <c r="BR150" s="1621">
        <v>0.2</v>
      </c>
      <c r="BS150" s="1621">
        <v>0.2</v>
      </c>
      <c r="BT150" s="1621">
        <v>0.2</v>
      </c>
      <c r="BU150" s="1621">
        <v>0.2</v>
      </c>
      <c r="BV150" s="1621">
        <v>0.2</v>
      </c>
      <c r="BW150" s="1621">
        <v>0.2</v>
      </c>
      <c r="BX150" s="1621">
        <v>0.2</v>
      </c>
      <c r="BY150" s="1621">
        <v>0.2</v>
      </c>
      <c r="BZ150" s="1621">
        <v>0.2</v>
      </c>
      <c r="CA150" s="1621">
        <v>0.2</v>
      </c>
      <c r="CB150" s="1867"/>
      <c r="CC150" s="1713"/>
      <c r="CD150" s="1713"/>
    </row>
    <row r="151" spans="1:83">
      <c r="B151" s="1595" t="str">
        <f t="shared" si="143"/>
        <v>2.5</v>
      </c>
      <c r="C151" s="1612" t="str">
        <f t="shared" si="140"/>
        <v>持続可能な森林から産出された木材</v>
      </c>
      <c r="D151" s="1714" t="e">
        <f t="shared" si="144"/>
        <v>#DIV/0!</v>
      </c>
      <c r="E151" s="1689" t="e">
        <f t="shared" si="144"/>
        <v>#DIV/0!</v>
      </c>
      <c r="G151" s="1689" t="e">
        <f t="shared" si="138"/>
        <v>#DIV/0!</v>
      </c>
      <c r="H151" s="1689" t="e">
        <f t="shared" si="139"/>
        <v>#DIV/0!</v>
      </c>
      <c r="I151" s="1689"/>
      <c r="J151" s="1689"/>
      <c r="K151" s="1689">
        <f>IF(スコア表示!W151=0,0,1)</f>
        <v>1</v>
      </c>
      <c r="L151" s="1689">
        <f>IF(スコア表示!AA151=0,0,1)</f>
        <v>0</v>
      </c>
      <c r="M151" s="1689" t="e">
        <f t="shared" si="141"/>
        <v>#DIV/0!</v>
      </c>
      <c r="N151" s="1689" t="e">
        <f t="shared" si="102"/>
        <v>#DIV/0!</v>
      </c>
      <c r="P151" s="1645" t="str">
        <f t="shared" si="103"/>
        <v>2.5</v>
      </c>
      <c r="Q151" s="1645" t="str">
        <f t="shared" si="104"/>
        <v>LR2 2</v>
      </c>
      <c r="R151" s="1735" t="str">
        <f t="shared" si="142"/>
        <v>持続可能な森林から産出された木材</v>
      </c>
      <c r="S151" s="1616">
        <f t="shared" si="110"/>
        <v>0.1</v>
      </c>
      <c r="T151" s="1616">
        <f t="shared" si="111"/>
        <v>0.1</v>
      </c>
      <c r="U151" s="1616">
        <f t="shared" si="112"/>
        <v>0.1</v>
      </c>
      <c r="V151" s="1616">
        <f t="shared" si="113"/>
        <v>0.1</v>
      </c>
      <c r="W151" s="1616">
        <f t="shared" si="114"/>
        <v>0.1</v>
      </c>
      <c r="X151" s="1616">
        <f t="shared" si="115"/>
        <v>0.1</v>
      </c>
      <c r="Y151" s="1616">
        <f t="shared" si="116"/>
        <v>0.1</v>
      </c>
      <c r="Z151" s="1624">
        <f t="shared" si="117"/>
        <v>0.1</v>
      </c>
      <c r="AA151" s="1616">
        <f t="shared" si="118"/>
        <v>0.1</v>
      </c>
      <c r="AB151" s="1616">
        <f t="shared" si="119"/>
        <v>0.1</v>
      </c>
      <c r="AC151" s="1686">
        <f t="shared" si="107"/>
        <v>0</v>
      </c>
      <c r="AD151" s="1631">
        <f t="shared" si="108"/>
        <v>0</v>
      </c>
      <c r="AE151" s="1631">
        <f t="shared" si="109"/>
        <v>0</v>
      </c>
      <c r="AG151" s="1645" t="s">
        <v>1660</v>
      </c>
      <c r="AH151" s="1691" t="s">
        <v>370</v>
      </c>
      <c r="AI151" s="2061" t="s">
        <v>1661</v>
      </c>
      <c r="AJ151" s="1621">
        <v>0.1</v>
      </c>
      <c r="AK151" s="1621">
        <v>0.1</v>
      </c>
      <c r="AL151" s="1621">
        <v>0.1</v>
      </c>
      <c r="AM151" s="1621">
        <v>0.1</v>
      </c>
      <c r="AN151" s="1621">
        <v>0.1</v>
      </c>
      <c r="AO151" s="1621">
        <v>0.1</v>
      </c>
      <c r="AP151" s="1621">
        <v>0.1</v>
      </c>
      <c r="AQ151" s="1621">
        <v>0.1</v>
      </c>
      <c r="AR151" s="1621">
        <v>0.1</v>
      </c>
      <c r="AS151" s="1621">
        <v>0.1</v>
      </c>
      <c r="AT151" s="1867"/>
      <c r="AU151" s="1713"/>
      <c r="AV151" s="1713"/>
      <c r="AX151" s="1645" t="s">
        <v>1532</v>
      </c>
      <c r="AY151" s="1691" t="s">
        <v>370</v>
      </c>
      <c r="AZ151" s="2061" t="s">
        <v>1533</v>
      </c>
      <c r="BA151" s="1621">
        <v>0.1</v>
      </c>
      <c r="BB151" s="1621">
        <v>0.1</v>
      </c>
      <c r="BC151" s="1621">
        <v>0.1</v>
      </c>
      <c r="BD151" s="1621">
        <v>0.1</v>
      </c>
      <c r="BE151" s="1621">
        <v>0.1</v>
      </c>
      <c r="BF151" s="1621">
        <v>0.1</v>
      </c>
      <c r="BG151" s="1621">
        <v>0.1</v>
      </c>
      <c r="BH151" s="1621">
        <v>0.1</v>
      </c>
      <c r="BI151" s="1621">
        <v>0.1</v>
      </c>
      <c r="BJ151" s="1621">
        <v>0.1</v>
      </c>
      <c r="BK151" s="1867"/>
      <c r="BL151" s="1713"/>
      <c r="BM151" s="1713"/>
      <c r="BO151" s="1645" t="s">
        <v>1532</v>
      </c>
      <c r="BP151" s="1691" t="s">
        <v>370</v>
      </c>
      <c r="BQ151" s="2061" t="s">
        <v>1533</v>
      </c>
      <c r="BR151" s="1621">
        <v>0.1</v>
      </c>
      <c r="BS151" s="1621">
        <v>0.1</v>
      </c>
      <c r="BT151" s="1621">
        <v>0.1</v>
      </c>
      <c r="BU151" s="1621">
        <v>0.1</v>
      </c>
      <c r="BV151" s="1621">
        <v>0.1</v>
      </c>
      <c r="BW151" s="1621">
        <v>0.1</v>
      </c>
      <c r="BX151" s="1621">
        <v>0.1</v>
      </c>
      <c r="BY151" s="1621">
        <v>0.1</v>
      </c>
      <c r="BZ151" s="1621">
        <v>0.1</v>
      </c>
      <c r="CA151" s="1621">
        <v>0.1</v>
      </c>
      <c r="CB151" s="1867"/>
      <c r="CC151" s="1713"/>
      <c r="CD151" s="1713"/>
    </row>
    <row r="152" spans="1:83">
      <c r="B152" s="1595" t="str">
        <f t="shared" si="143"/>
        <v>2.6</v>
      </c>
      <c r="C152" s="1645" t="str">
        <f t="shared" si="140"/>
        <v>部材の再利用可能性向上への取組</v>
      </c>
      <c r="D152" s="1714" t="e">
        <f t="shared" si="144"/>
        <v>#DIV/0!</v>
      </c>
      <c r="E152" s="1689" t="e">
        <f t="shared" si="144"/>
        <v>#DIV/0!</v>
      </c>
      <c r="G152" s="1689" t="e">
        <f t="shared" si="138"/>
        <v>#DIV/0!</v>
      </c>
      <c r="H152" s="1689" t="e">
        <f t="shared" si="139"/>
        <v>#DIV/0!</v>
      </c>
      <c r="I152" s="1689"/>
      <c r="J152" s="1689"/>
      <c r="K152" s="1689">
        <f>IF(スコア表示!W152=0,0,1)</f>
        <v>1</v>
      </c>
      <c r="L152" s="1689">
        <f>IF(スコア表示!AA152=0,0,1)</f>
        <v>0</v>
      </c>
      <c r="M152" s="1689" t="e">
        <f t="shared" si="141"/>
        <v>#DIV/0!</v>
      </c>
      <c r="N152" s="1689" t="e">
        <f t="shared" ref="N152:N180" si="145">(AC$7*AC152)+(AD$7*AD152)+(AE$7*AE152)</f>
        <v>#DIV/0!</v>
      </c>
      <c r="P152" s="1645" t="str">
        <f t="shared" ref="P152:P180" si="146">IF($P$3=1,AX152,BO152)</f>
        <v>2.6</v>
      </c>
      <c r="Q152" s="1645" t="str">
        <f t="shared" si="104"/>
        <v>LR2 2</v>
      </c>
      <c r="R152" s="1735" t="str">
        <f t="shared" si="142"/>
        <v>部材の再利用可能性向上への取組</v>
      </c>
      <c r="S152" s="1616">
        <f t="shared" si="110"/>
        <v>0.2</v>
      </c>
      <c r="T152" s="1616">
        <f t="shared" si="111"/>
        <v>0.2</v>
      </c>
      <c r="U152" s="1616">
        <f t="shared" si="112"/>
        <v>0.2</v>
      </c>
      <c r="V152" s="1616">
        <f t="shared" si="113"/>
        <v>0.2</v>
      </c>
      <c r="W152" s="1616">
        <f t="shared" si="114"/>
        <v>0.2</v>
      </c>
      <c r="X152" s="1616">
        <f t="shared" si="115"/>
        <v>0.2</v>
      </c>
      <c r="Y152" s="1616">
        <f t="shared" si="116"/>
        <v>0.2</v>
      </c>
      <c r="Z152" s="1624">
        <f t="shared" si="117"/>
        <v>0.2</v>
      </c>
      <c r="AA152" s="1616">
        <f t="shared" si="118"/>
        <v>0.2</v>
      </c>
      <c r="AB152" s="1616">
        <f t="shared" si="119"/>
        <v>0.2</v>
      </c>
      <c r="AC152" s="1686">
        <f t="shared" si="107"/>
        <v>0</v>
      </c>
      <c r="AD152" s="1631">
        <f t="shared" si="108"/>
        <v>0</v>
      </c>
      <c r="AE152" s="1631">
        <f t="shared" si="109"/>
        <v>0</v>
      </c>
      <c r="AG152" s="1645" t="s">
        <v>1662</v>
      </c>
      <c r="AH152" s="1691" t="s">
        <v>370</v>
      </c>
      <c r="AI152" s="1735" t="s">
        <v>1809</v>
      </c>
      <c r="AJ152" s="1621">
        <v>0.2</v>
      </c>
      <c r="AK152" s="1621">
        <v>0.2</v>
      </c>
      <c r="AL152" s="1621">
        <v>0.2</v>
      </c>
      <c r="AM152" s="1621">
        <v>0.2</v>
      </c>
      <c r="AN152" s="1621">
        <v>0.2</v>
      </c>
      <c r="AO152" s="1621">
        <v>0.2</v>
      </c>
      <c r="AP152" s="1621">
        <v>0.2</v>
      </c>
      <c r="AQ152" s="1621">
        <v>0.2</v>
      </c>
      <c r="AR152" s="1621">
        <v>0.2</v>
      </c>
      <c r="AS152" s="1621">
        <v>0.2</v>
      </c>
      <c r="AT152" s="1867"/>
      <c r="AU152" s="1713"/>
      <c r="AV152" s="1713"/>
      <c r="AX152" s="1645" t="s">
        <v>1534</v>
      </c>
      <c r="AY152" s="1691" t="s">
        <v>370</v>
      </c>
      <c r="AZ152" s="1735" t="s">
        <v>1809</v>
      </c>
      <c r="BA152" s="1621">
        <v>0.2</v>
      </c>
      <c r="BB152" s="1621">
        <v>0.2</v>
      </c>
      <c r="BC152" s="1621">
        <v>0.2</v>
      </c>
      <c r="BD152" s="1621">
        <v>0.2</v>
      </c>
      <c r="BE152" s="1621">
        <v>0.2</v>
      </c>
      <c r="BF152" s="1621">
        <v>0.2</v>
      </c>
      <c r="BG152" s="1621">
        <v>0.2</v>
      </c>
      <c r="BH152" s="1621">
        <v>0.2</v>
      </c>
      <c r="BI152" s="1621">
        <v>0.2</v>
      </c>
      <c r="BJ152" s="1621">
        <v>0.2</v>
      </c>
      <c r="BK152" s="1867"/>
      <c r="BL152" s="1713"/>
      <c r="BM152" s="1713"/>
      <c r="BO152" s="1645" t="s">
        <v>1534</v>
      </c>
      <c r="BP152" s="1691" t="s">
        <v>370</v>
      </c>
      <c r="BQ152" s="1735" t="s">
        <v>1809</v>
      </c>
      <c r="BR152" s="1621">
        <v>0.2</v>
      </c>
      <c r="BS152" s="1621">
        <v>0.2</v>
      </c>
      <c r="BT152" s="1621">
        <v>0.2</v>
      </c>
      <c r="BU152" s="1621">
        <v>0.2</v>
      </c>
      <c r="BV152" s="1621">
        <v>0.2</v>
      </c>
      <c r="BW152" s="1621">
        <v>0.2</v>
      </c>
      <c r="BX152" s="1621">
        <v>0.2</v>
      </c>
      <c r="BY152" s="1621">
        <v>0.2</v>
      </c>
      <c r="BZ152" s="1621">
        <v>0.2</v>
      </c>
      <c r="CA152" s="1621">
        <v>0.2</v>
      </c>
      <c r="CB152" s="1867"/>
      <c r="CC152" s="1713"/>
      <c r="CD152" s="1713"/>
    </row>
    <row r="153" spans="1:83" s="1603" customFormat="1">
      <c r="A153"/>
      <c r="B153" s="1595">
        <f t="shared" si="143"/>
        <v>3</v>
      </c>
      <c r="C153" s="1687" t="str">
        <f t="shared" si="140"/>
        <v>汚染物質含有材料の使用回避</v>
      </c>
      <c r="D153" s="2059" t="e">
        <f>IF(I$140=0,0,G153/I$140)</f>
        <v>#DIV/0!</v>
      </c>
      <c r="E153" s="1741" t="e">
        <f>IF(J$140=0,0,H153/J$140)</f>
        <v>#DIV/0!</v>
      </c>
      <c r="F153"/>
      <c r="G153" s="1741" t="e">
        <f t="shared" si="138"/>
        <v>#DIV/0!</v>
      </c>
      <c r="H153" s="1741" t="e">
        <f t="shared" si="139"/>
        <v>#DIV/0!</v>
      </c>
      <c r="I153" s="1741" t="e">
        <f>G154+G155</f>
        <v>#DIV/0!</v>
      </c>
      <c r="J153" s="1741" t="e">
        <f>H154+H155</f>
        <v>#DIV/0!</v>
      </c>
      <c r="K153" s="1741" t="e">
        <f>IF(スコア表示!W153=0,0,1)</f>
        <v>#DIV/0!</v>
      </c>
      <c r="L153" s="1741" t="e">
        <f>IF(スコア表示!AA153=0,0,1)</f>
        <v>#DIV/0!</v>
      </c>
      <c r="M153" s="1741" t="e">
        <f t="shared" si="141"/>
        <v>#DIV/0!</v>
      </c>
      <c r="N153" s="1741" t="e">
        <f t="shared" si="145"/>
        <v>#DIV/0!</v>
      </c>
      <c r="O153"/>
      <c r="P153" s="1639">
        <f t="shared" si="146"/>
        <v>3</v>
      </c>
      <c r="Q153" s="1639" t="str">
        <f t="shared" ref="Q153:Q180" si="147">IF($P$3=1,AY153,BP153)</f>
        <v>LR2</v>
      </c>
      <c r="R153" s="1778" t="str">
        <f t="shared" si="142"/>
        <v>汚染物質含有材料の使用回避</v>
      </c>
      <c r="S153" s="1608">
        <f t="shared" si="110"/>
        <v>0.2</v>
      </c>
      <c r="T153" s="1608">
        <f t="shared" si="111"/>
        <v>0.2</v>
      </c>
      <c r="U153" s="1608">
        <f t="shared" si="112"/>
        <v>0.2</v>
      </c>
      <c r="V153" s="1608">
        <f t="shared" si="113"/>
        <v>0.2</v>
      </c>
      <c r="W153" s="1608">
        <f t="shared" si="114"/>
        <v>0.2</v>
      </c>
      <c r="X153" s="1608">
        <f t="shared" si="115"/>
        <v>0.2</v>
      </c>
      <c r="Y153" s="1608">
        <f t="shared" si="116"/>
        <v>0.2</v>
      </c>
      <c r="Z153" s="1644">
        <f t="shared" si="117"/>
        <v>0.2</v>
      </c>
      <c r="AA153" s="1608">
        <f t="shared" si="118"/>
        <v>0.2</v>
      </c>
      <c r="AB153" s="1608">
        <f t="shared" si="119"/>
        <v>0.2</v>
      </c>
      <c r="AC153" s="1684">
        <f t="shared" si="107"/>
        <v>0</v>
      </c>
      <c r="AD153" s="1685">
        <f t="shared" si="108"/>
        <v>0</v>
      </c>
      <c r="AE153" s="1685">
        <f t="shared" si="109"/>
        <v>0</v>
      </c>
      <c r="AF153"/>
      <c r="AG153" s="1639">
        <v>3</v>
      </c>
      <c r="AH153" s="1742" t="s">
        <v>367</v>
      </c>
      <c r="AI153" s="1785" t="s">
        <v>769</v>
      </c>
      <c r="AJ153" s="1709">
        <v>0.2</v>
      </c>
      <c r="AK153" s="1709">
        <v>0.2</v>
      </c>
      <c r="AL153" s="1709">
        <v>0.2</v>
      </c>
      <c r="AM153" s="1709">
        <v>0.2</v>
      </c>
      <c r="AN153" s="1709">
        <v>0.2</v>
      </c>
      <c r="AO153" s="1709">
        <v>0.2</v>
      </c>
      <c r="AP153" s="1709">
        <v>0.2</v>
      </c>
      <c r="AQ153" s="1709">
        <v>0.2</v>
      </c>
      <c r="AR153" s="1709">
        <v>0.2</v>
      </c>
      <c r="AS153" s="1709">
        <v>0.2</v>
      </c>
      <c r="AT153" s="2095">
        <v>0</v>
      </c>
      <c r="AU153" s="2096">
        <v>0</v>
      </c>
      <c r="AV153" s="2096">
        <v>0</v>
      </c>
      <c r="AW153"/>
      <c r="AX153" s="1639">
        <v>3</v>
      </c>
      <c r="AY153" s="1742" t="s">
        <v>367</v>
      </c>
      <c r="AZ153" s="1785" t="s">
        <v>769</v>
      </c>
      <c r="BA153" s="1709">
        <v>0.2</v>
      </c>
      <c r="BB153" s="1709">
        <v>0.2</v>
      </c>
      <c r="BC153" s="1709">
        <v>0.2</v>
      </c>
      <c r="BD153" s="1709">
        <v>0.2</v>
      </c>
      <c r="BE153" s="1709">
        <v>0.2</v>
      </c>
      <c r="BF153" s="1709">
        <v>0.2</v>
      </c>
      <c r="BG153" s="1709">
        <v>0.2</v>
      </c>
      <c r="BH153" s="1709">
        <v>0.2</v>
      </c>
      <c r="BI153" s="1709">
        <v>0.2</v>
      </c>
      <c r="BJ153" s="1709">
        <v>0.2</v>
      </c>
      <c r="BK153" s="2095"/>
      <c r="BL153" s="2096"/>
      <c r="BM153" s="2096"/>
      <c r="BN153"/>
      <c r="BO153" s="1639">
        <v>3</v>
      </c>
      <c r="BP153" s="1742" t="s">
        <v>367</v>
      </c>
      <c r="BQ153" s="1785" t="s">
        <v>769</v>
      </c>
      <c r="BR153" s="1709">
        <v>0.2</v>
      </c>
      <c r="BS153" s="1709">
        <v>0.2</v>
      </c>
      <c r="BT153" s="1709">
        <v>0.2</v>
      </c>
      <c r="BU153" s="1709">
        <v>0.2</v>
      </c>
      <c r="BV153" s="1709">
        <v>0.2</v>
      </c>
      <c r="BW153" s="1709">
        <v>0.2</v>
      </c>
      <c r="BX153" s="1709">
        <v>0.2</v>
      </c>
      <c r="BY153" s="1709">
        <v>0.2</v>
      </c>
      <c r="BZ153" s="1709">
        <v>0.2</v>
      </c>
      <c r="CA153" s="1709">
        <v>0.2</v>
      </c>
      <c r="CB153" s="2095"/>
      <c r="CC153" s="2096"/>
      <c r="CD153" s="2096"/>
      <c r="CE153"/>
    </row>
    <row r="154" spans="1:83">
      <c r="B154" s="1595" t="str">
        <f t="shared" si="143"/>
        <v>3.1</v>
      </c>
      <c r="C154" s="1645" t="str">
        <f t="shared" si="140"/>
        <v>有害物質を含まない材料の使用</v>
      </c>
      <c r="D154" s="1714" t="e">
        <f>IF(I$153=0,0,G154/I$153)</f>
        <v>#DIV/0!</v>
      </c>
      <c r="E154" s="1689" t="e">
        <f>IF(J$153=0,0,H154/J$153)</f>
        <v>#DIV/0!</v>
      </c>
      <c r="G154" s="1689" t="e">
        <f t="shared" si="138"/>
        <v>#DIV/0!</v>
      </c>
      <c r="H154" s="1689" t="e">
        <f t="shared" si="139"/>
        <v>#DIV/0!</v>
      </c>
      <c r="I154" s="1689"/>
      <c r="J154" s="1689"/>
      <c r="K154" s="1689">
        <f>IF(スコア表示!W154=0,0,1)</f>
        <v>1</v>
      </c>
      <c r="L154" s="1689">
        <f>IF(スコア表示!AA154=0,0,1)</f>
        <v>0</v>
      </c>
      <c r="M154" s="1689" t="e">
        <f t="shared" si="141"/>
        <v>#DIV/0!</v>
      </c>
      <c r="N154" s="1689" t="e">
        <f t="shared" si="145"/>
        <v>#DIV/0!</v>
      </c>
      <c r="P154" s="1645" t="str">
        <f t="shared" si="146"/>
        <v>3.1</v>
      </c>
      <c r="Q154" s="1645" t="str">
        <f t="shared" si="147"/>
        <v>LR2 3</v>
      </c>
      <c r="R154" s="1735" t="str">
        <f t="shared" si="142"/>
        <v>有害物質を含まない材料の使用</v>
      </c>
      <c r="S154" s="1616">
        <f t="shared" si="110"/>
        <v>0.3</v>
      </c>
      <c r="T154" s="1616">
        <f t="shared" si="111"/>
        <v>0.3</v>
      </c>
      <c r="U154" s="1616">
        <f t="shared" si="112"/>
        <v>0.3</v>
      </c>
      <c r="V154" s="1616">
        <f t="shared" si="113"/>
        <v>0.3</v>
      </c>
      <c r="W154" s="1616">
        <f t="shared" si="114"/>
        <v>0.3</v>
      </c>
      <c r="X154" s="1616">
        <f t="shared" si="115"/>
        <v>0.3</v>
      </c>
      <c r="Y154" s="1616">
        <f t="shared" si="116"/>
        <v>0.3</v>
      </c>
      <c r="Z154" s="1624">
        <f t="shared" si="117"/>
        <v>0.3</v>
      </c>
      <c r="AA154" s="1616">
        <f t="shared" si="118"/>
        <v>0.3</v>
      </c>
      <c r="AB154" s="1616">
        <f t="shared" si="119"/>
        <v>0.3</v>
      </c>
      <c r="AC154" s="1686">
        <f t="shared" si="107"/>
        <v>0</v>
      </c>
      <c r="AD154" s="1631">
        <f t="shared" si="108"/>
        <v>0</v>
      </c>
      <c r="AE154" s="1631">
        <f t="shared" si="109"/>
        <v>0</v>
      </c>
      <c r="AG154" s="1645" t="s">
        <v>1491</v>
      </c>
      <c r="AH154" s="1691" t="s">
        <v>371</v>
      </c>
      <c r="AI154" s="1735" t="s">
        <v>770</v>
      </c>
      <c r="AJ154" s="1621">
        <v>0.3</v>
      </c>
      <c r="AK154" s="1621">
        <v>0.3</v>
      </c>
      <c r="AL154" s="1621">
        <v>0.3</v>
      </c>
      <c r="AM154" s="1621">
        <v>0.3</v>
      </c>
      <c r="AN154" s="1621">
        <v>0.3</v>
      </c>
      <c r="AO154" s="1621">
        <v>0.3</v>
      </c>
      <c r="AP154" s="1621">
        <v>0.3</v>
      </c>
      <c r="AQ154" s="1621">
        <v>0.3</v>
      </c>
      <c r="AR154" s="1621">
        <v>0.3</v>
      </c>
      <c r="AS154" s="1621">
        <v>0.3</v>
      </c>
      <c r="AT154" s="1867">
        <v>0</v>
      </c>
      <c r="AU154" s="1713">
        <v>0</v>
      </c>
      <c r="AV154" s="1713">
        <v>0</v>
      </c>
      <c r="AX154" s="1645" t="s">
        <v>1492</v>
      </c>
      <c r="AY154" s="1691" t="s">
        <v>371</v>
      </c>
      <c r="AZ154" s="1735" t="s">
        <v>770</v>
      </c>
      <c r="BA154" s="1621">
        <v>0.3</v>
      </c>
      <c r="BB154" s="1621">
        <v>0.3</v>
      </c>
      <c r="BC154" s="1621">
        <v>0.3</v>
      </c>
      <c r="BD154" s="1621">
        <v>0.3</v>
      </c>
      <c r="BE154" s="1621">
        <v>0.3</v>
      </c>
      <c r="BF154" s="1621">
        <v>0.3</v>
      </c>
      <c r="BG154" s="1621">
        <v>0.3</v>
      </c>
      <c r="BH154" s="1621">
        <v>0.3</v>
      </c>
      <c r="BI154" s="1621">
        <v>0.3</v>
      </c>
      <c r="BJ154" s="1621">
        <v>0.3</v>
      </c>
      <c r="BK154" s="1867"/>
      <c r="BL154" s="1713"/>
      <c r="BM154" s="1713"/>
      <c r="BO154" s="1645" t="s">
        <v>1492</v>
      </c>
      <c r="BP154" s="1691" t="s">
        <v>371</v>
      </c>
      <c r="BQ154" s="1735" t="s">
        <v>770</v>
      </c>
      <c r="BR154" s="1621">
        <v>0.3</v>
      </c>
      <c r="BS154" s="1621">
        <v>0.3</v>
      </c>
      <c r="BT154" s="1621">
        <v>0.3</v>
      </c>
      <c r="BU154" s="1621">
        <v>0.3</v>
      </c>
      <c r="BV154" s="1621">
        <v>0.3</v>
      </c>
      <c r="BW154" s="1621">
        <v>0.3</v>
      </c>
      <c r="BX154" s="1621">
        <v>0.3</v>
      </c>
      <c r="BY154" s="1621">
        <v>0.3</v>
      </c>
      <c r="BZ154" s="1621">
        <v>0.3</v>
      </c>
      <c r="CA154" s="1621">
        <v>0.3</v>
      </c>
      <c r="CB154" s="1867"/>
      <c r="CC154" s="1713"/>
      <c r="CD154" s="1713"/>
    </row>
    <row r="155" spans="1:83">
      <c r="B155" s="1595" t="str">
        <f t="shared" si="143"/>
        <v>3.2</v>
      </c>
      <c r="C155" s="1645" t="str">
        <f t="shared" si="140"/>
        <v>フロン・ハロンの回避</v>
      </c>
      <c r="D155" s="1714" t="e">
        <f>IF(I$153=0,0,G155/I$153)</f>
        <v>#DIV/0!</v>
      </c>
      <c r="E155" s="1689" t="e">
        <f>IF(J$153=0,0,H155/J$153)</f>
        <v>#DIV/0!</v>
      </c>
      <c r="G155" s="1689" t="e">
        <f t="shared" si="138"/>
        <v>#DIV/0!</v>
      </c>
      <c r="H155" s="1689" t="e">
        <f t="shared" si="139"/>
        <v>#DIV/0!</v>
      </c>
      <c r="I155" s="1689" t="e">
        <f>SUM(G156:G158)</f>
        <v>#DIV/0!</v>
      </c>
      <c r="J155" s="1689" t="e">
        <f>SUM(H156:H158)</f>
        <v>#DIV/0!</v>
      </c>
      <c r="K155" s="1689" t="e">
        <f>IF(スコア表示!W155=0,0,1)</f>
        <v>#DIV/0!</v>
      </c>
      <c r="L155" s="1689" t="e">
        <f>IF(スコア表示!AA155=0,0,1)</f>
        <v>#DIV/0!</v>
      </c>
      <c r="M155" s="1689" t="e">
        <f t="shared" si="141"/>
        <v>#DIV/0!</v>
      </c>
      <c r="N155" s="1689" t="e">
        <f t="shared" si="145"/>
        <v>#DIV/0!</v>
      </c>
      <c r="P155" s="1645" t="str">
        <f t="shared" si="146"/>
        <v>3.2</v>
      </c>
      <c r="Q155" s="1645" t="str">
        <f t="shared" si="147"/>
        <v>LR2 3</v>
      </c>
      <c r="R155" s="1735" t="str">
        <f t="shared" si="142"/>
        <v>フロン・ハロンの回避</v>
      </c>
      <c r="S155" s="1616">
        <f t="shared" si="110"/>
        <v>0.7</v>
      </c>
      <c r="T155" s="1616">
        <f t="shared" si="111"/>
        <v>0.7</v>
      </c>
      <c r="U155" s="1616">
        <f t="shared" si="112"/>
        <v>0.7</v>
      </c>
      <c r="V155" s="1616">
        <f t="shared" si="113"/>
        <v>0.7</v>
      </c>
      <c r="W155" s="1616">
        <f t="shared" si="114"/>
        <v>0.7</v>
      </c>
      <c r="X155" s="1616">
        <f t="shared" si="115"/>
        <v>0.7</v>
      </c>
      <c r="Y155" s="1616">
        <f t="shared" si="116"/>
        <v>0.7</v>
      </c>
      <c r="Z155" s="1624">
        <f t="shared" si="117"/>
        <v>0.7</v>
      </c>
      <c r="AA155" s="1616">
        <f t="shared" si="118"/>
        <v>0.7</v>
      </c>
      <c r="AB155" s="1616">
        <f t="shared" si="119"/>
        <v>0.7</v>
      </c>
      <c r="AC155" s="1686">
        <f t="shared" si="107"/>
        <v>0</v>
      </c>
      <c r="AD155" s="1631">
        <f t="shared" si="108"/>
        <v>0</v>
      </c>
      <c r="AE155" s="1631">
        <f t="shared" si="109"/>
        <v>0</v>
      </c>
      <c r="AG155" s="1645" t="s">
        <v>1493</v>
      </c>
      <c r="AH155" s="1691" t="s">
        <v>371</v>
      </c>
      <c r="AI155" s="1735" t="s">
        <v>771</v>
      </c>
      <c r="AJ155" s="1621">
        <v>0.7</v>
      </c>
      <c r="AK155" s="1621">
        <v>0.7</v>
      </c>
      <c r="AL155" s="1621">
        <v>0.7</v>
      </c>
      <c r="AM155" s="1621">
        <v>0.7</v>
      </c>
      <c r="AN155" s="1621">
        <v>0.7</v>
      </c>
      <c r="AO155" s="1621">
        <v>0.7</v>
      </c>
      <c r="AP155" s="1621">
        <v>0.7</v>
      </c>
      <c r="AQ155" s="1621">
        <v>0.7</v>
      </c>
      <c r="AR155" s="1621">
        <v>0.7</v>
      </c>
      <c r="AS155" s="1621">
        <v>0.7</v>
      </c>
      <c r="AT155" s="1867">
        <v>0</v>
      </c>
      <c r="AU155" s="1713">
        <v>0</v>
      </c>
      <c r="AV155" s="1713">
        <v>0</v>
      </c>
      <c r="AX155" s="1645" t="s">
        <v>1494</v>
      </c>
      <c r="AY155" s="1691" t="s">
        <v>371</v>
      </c>
      <c r="AZ155" s="1735" t="s">
        <v>771</v>
      </c>
      <c r="BA155" s="1621">
        <v>0.7</v>
      </c>
      <c r="BB155" s="1621">
        <v>0.7</v>
      </c>
      <c r="BC155" s="1621">
        <v>0.7</v>
      </c>
      <c r="BD155" s="1621">
        <v>0.7</v>
      </c>
      <c r="BE155" s="1621">
        <v>0.7</v>
      </c>
      <c r="BF155" s="1621">
        <v>0.7</v>
      </c>
      <c r="BG155" s="1621">
        <v>0.7</v>
      </c>
      <c r="BH155" s="1621">
        <v>0.7</v>
      </c>
      <c r="BI155" s="1621">
        <v>0.7</v>
      </c>
      <c r="BJ155" s="1621">
        <v>0.7</v>
      </c>
      <c r="BK155" s="1867"/>
      <c r="BL155" s="1713"/>
      <c r="BM155" s="1713"/>
      <c r="BO155" s="1645" t="s">
        <v>1494</v>
      </c>
      <c r="BP155" s="1691" t="s">
        <v>371</v>
      </c>
      <c r="BQ155" s="1735" t="s">
        <v>771</v>
      </c>
      <c r="BR155" s="1621">
        <v>0.7</v>
      </c>
      <c r="BS155" s="1621">
        <v>0.7</v>
      </c>
      <c r="BT155" s="1621">
        <v>0.7</v>
      </c>
      <c r="BU155" s="1621">
        <v>0.7</v>
      </c>
      <c r="BV155" s="1621">
        <v>0.7</v>
      </c>
      <c r="BW155" s="1621">
        <v>0.7</v>
      </c>
      <c r="BX155" s="1621">
        <v>0.7</v>
      </c>
      <c r="BY155" s="1621">
        <v>0.7</v>
      </c>
      <c r="BZ155" s="1621">
        <v>0.7</v>
      </c>
      <c r="CA155" s="1621">
        <v>0.7</v>
      </c>
      <c r="CB155" s="1867"/>
      <c r="CC155" s="1713"/>
      <c r="CD155" s="1713"/>
    </row>
    <row r="156" spans="1:83">
      <c r="B156" s="1595" t="str">
        <f t="shared" si="143"/>
        <v>3.2.1</v>
      </c>
      <c r="C156" s="1612" t="str">
        <f t="shared" si="140"/>
        <v>消火剤</v>
      </c>
      <c r="D156" s="1719" t="e">
        <f t="shared" ref="D156:E158" si="148">IF(I$155&gt;0,G156/I$155,0)</f>
        <v>#DIV/0!</v>
      </c>
      <c r="E156" s="1689" t="e">
        <f t="shared" si="148"/>
        <v>#DIV/0!</v>
      </c>
      <c r="G156" s="1689" t="e">
        <f t="shared" si="138"/>
        <v>#DIV/0!</v>
      </c>
      <c r="H156" s="1689" t="e">
        <f t="shared" si="139"/>
        <v>#DIV/0!</v>
      </c>
      <c r="I156" s="1689"/>
      <c r="J156" s="1689"/>
      <c r="K156" s="1689">
        <f>IF(スコア表示!W156=0,0,1)</f>
        <v>1</v>
      </c>
      <c r="L156" s="1689">
        <f>IF(スコア表示!AA156=0,0,1)</f>
        <v>0</v>
      </c>
      <c r="M156" s="1689" t="e">
        <f t="shared" si="141"/>
        <v>#DIV/0!</v>
      </c>
      <c r="N156" s="1689" t="e">
        <f t="shared" si="145"/>
        <v>#DIV/0!</v>
      </c>
      <c r="P156" s="1645" t="str">
        <f t="shared" si="146"/>
        <v>3.2.1</v>
      </c>
      <c r="Q156" s="1645" t="str">
        <f t="shared" si="147"/>
        <v>LR2 3.2</v>
      </c>
      <c r="R156" s="1735" t="str">
        <f t="shared" si="142"/>
        <v>消火剤</v>
      </c>
      <c r="S156" s="1616">
        <f t="shared" si="110"/>
        <v>0.33333333333333331</v>
      </c>
      <c r="T156" s="1616">
        <f t="shared" si="111"/>
        <v>0.33333333333333331</v>
      </c>
      <c r="U156" s="1616">
        <f t="shared" si="112"/>
        <v>0.33333333333333331</v>
      </c>
      <c r="V156" s="1616">
        <f t="shared" si="113"/>
        <v>0.33333333333333331</v>
      </c>
      <c r="W156" s="1616">
        <f t="shared" si="114"/>
        <v>0.33333333333333331</v>
      </c>
      <c r="X156" s="1616">
        <f t="shared" si="115"/>
        <v>0.33333333333333331</v>
      </c>
      <c r="Y156" s="1616">
        <f t="shared" si="116"/>
        <v>0.33333333333333331</v>
      </c>
      <c r="Z156" s="1624">
        <f t="shared" si="117"/>
        <v>0.33333333333333331</v>
      </c>
      <c r="AA156" s="1616">
        <f t="shared" si="118"/>
        <v>0.33333333333333331</v>
      </c>
      <c r="AB156" s="1616">
        <f t="shared" si="119"/>
        <v>0.33333333333333331</v>
      </c>
      <c r="AC156" s="1686">
        <f t="shared" ref="AC156:AC180" si="149">IF($P$3=1,BK156,IF($P$3=2,CB156,AT156))</f>
        <v>0</v>
      </c>
      <c r="AD156" s="1631">
        <f t="shared" ref="AD156:AD180" si="150">IF($P$3=1,BL156,IF($P$3=2,CC156,AU156))</f>
        <v>0</v>
      </c>
      <c r="AE156" s="1631">
        <f t="shared" ref="AE156:AE180" si="151">IF($P$3=1,BM156,IF($P$3=2,CD156,AV156))</f>
        <v>0</v>
      </c>
      <c r="AG156" s="1645" t="s">
        <v>1425</v>
      </c>
      <c r="AH156" s="1691" t="s">
        <v>372</v>
      </c>
      <c r="AI156" s="2061" t="s">
        <v>1536</v>
      </c>
      <c r="AJ156" s="1621">
        <v>0.33333333333333331</v>
      </c>
      <c r="AK156" s="1621">
        <v>0.33333333333333331</v>
      </c>
      <c r="AL156" s="1621">
        <v>0.33333333333333331</v>
      </c>
      <c r="AM156" s="1621">
        <v>0.33333333333333331</v>
      </c>
      <c r="AN156" s="1621">
        <v>0.33333333333333331</v>
      </c>
      <c r="AO156" s="1621">
        <v>0.33333333333333331</v>
      </c>
      <c r="AP156" s="1621">
        <v>0.33333333333333331</v>
      </c>
      <c r="AQ156" s="1621">
        <v>0.33333333333333331</v>
      </c>
      <c r="AR156" s="1621">
        <v>0.33333333333333331</v>
      </c>
      <c r="AS156" s="1621">
        <v>0.33333333333333331</v>
      </c>
      <c r="AT156" s="1867">
        <v>0</v>
      </c>
      <c r="AU156" s="1713">
        <v>0</v>
      </c>
      <c r="AV156" s="1713">
        <v>0</v>
      </c>
      <c r="AX156" s="1645" t="s">
        <v>1535</v>
      </c>
      <c r="AY156" s="1691" t="s">
        <v>372</v>
      </c>
      <c r="AZ156" s="2061" t="s">
        <v>1537</v>
      </c>
      <c r="BA156" s="1621">
        <v>0.33333333333333331</v>
      </c>
      <c r="BB156" s="1621">
        <v>0.33333333333333331</v>
      </c>
      <c r="BC156" s="1621">
        <v>0.33333333333333331</v>
      </c>
      <c r="BD156" s="1621">
        <v>0.33333333333333331</v>
      </c>
      <c r="BE156" s="1621">
        <v>0.33333333333333331</v>
      </c>
      <c r="BF156" s="1621">
        <v>0.33333333333333331</v>
      </c>
      <c r="BG156" s="1621">
        <v>0.33333333333333331</v>
      </c>
      <c r="BH156" s="1621">
        <v>0.33333333333333331</v>
      </c>
      <c r="BI156" s="1621">
        <v>0.33333333333333331</v>
      </c>
      <c r="BJ156" s="1621">
        <v>0.33333333333333331</v>
      </c>
      <c r="BK156" s="1867"/>
      <c r="BL156" s="1713"/>
      <c r="BM156" s="1713"/>
      <c r="BO156" s="1645" t="s">
        <v>1535</v>
      </c>
      <c r="BP156" s="1691" t="s">
        <v>372</v>
      </c>
      <c r="BQ156" s="2061" t="s">
        <v>1537</v>
      </c>
      <c r="BR156" s="1621">
        <v>0.33333333333333331</v>
      </c>
      <c r="BS156" s="1621">
        <v>0.33333333333333331</v>
      </c>
      <c r="BT156" s="1621">
        <v>0.33333333333333331</v>
      </c>
      <c r="BU156" s="1621">
        <v>0.33333333333333331</v>
      </c>
      <c r="BV156" s="1621">
        <v>0.33333333333333331</v>
      </c>
      <c r="BW156" s="1621">
        <v>0.33333333333333331</v>
      </c>
      <c r="BX156" s="1621">
        <v>0.33333333333333331</v>
      </c>
      <c r="BY156" s="1621">
        <v>0.33333333333333331</v>
      </c>
      <c r="BZ156" s="1621">
        <v>0.33333333333333331</v>
      </c>
      <c r="CA156" s="1621">
        <v>0.33333333333333331</v>
      </c>
      <c r="CB156" s="1867"/>
      <c r="CC156" s="1713"/>
      <c r="CD156" s="1713"/>
    </row>
    <row r="157" spans="1:83">
      <c r="B157" s="1595" t="str">
        <f t="shared" si="143"/>
        <v>3.2.2</v>
      </c>
      <c r="C157" s="1612" t="str">
        <f t="shared" si="140"/>
        <v>発泡剤（断熱材等）</v>
      </c>
      <c r="D157" s="1719" t="e">
        <f t="shared" si="148"/>
        <v>#DIV/0!</v>
      </c>
      <c r="E157" s="1689" t="e">
        <f t="shared" si="148"/>
        <v>#DIV/0!</v>
      </c>
      <c r="G157" s="1689" t="e">
        <f t="shared" si="138"/>
        <v>#DIV/0!</v>
      </c>
      <c r="H157" s="1689" t="e">
        <f t="shared" si="139"/>
        <v>#DIV/0!</v>
      </c>
      <c r="I157" s="1689"/>
      <c r="J157" s="1689"/>
      <c r="K157" s="1689">
        <f>IF(スコア表示!W157=0,0,1)</f>
        <v>1</v>
      </c>
      <c r="L157" s="1689">
        <f>IF(スコア表示!AA157=0,0,1)</f>
        <v>0</v>
      </c>
      <c r="M157" s="1689" t="e">
        <f t="shared" si="141"/>
        <v>#DIV/0!</v>
      </c>
      <c r="N157" s="1689" t="e">
        <f t="shared" si="145"/>
        <v>#DIV/0!</v>
      </c>
      <c r="P157" s="1645" t="str">
        <f t="shared" si="146"/>
        <v>3.2.2</v>
      </c>
      <c r="Q157" s="1645" t="str">
        <f t="shared" si="147"/>
        <v>LR2 3.2</v>
      </c>
      <c r="R157" s="1735" t="str">
        <f t="shared" si="142"/>
        <v>発泡剤（断熱材等）</v>
      </c>
      <c r="S157" s="1616">
        <f t="shared" si="110"/>
        <v>0.33333333333333331</v>
      </c>
      <c r="T157" s="1616">
        <f t="shared" si="111"/>
        <v>0.33333333333333331</v>
      </c>
      <c r="U157" s="1616">
        <f t="shared" si="112"/>
        <v>0.33333333333333331</v>
      </c>
      <c r="V157" s="1616">
        <f t="shared" si="113"/>
        <v>0.33333333333333331</v>
      </c>
      <c r="W157" s="1616">
        <f t="shared" si="114"/>
        <v>0.33333333333333331</v>
      </c>
      <c r="X157" s="1616">
        <f t="shared" si="115"/>
        <v>0.33333333333333331</v>
      </c>
      <c r="Y157" s="1616">
        <f t="shared" si="116"/>
        <v>0.33333333333333331</v>
      </c>
      <c r="Z157" s="1624">
        <f t="shared" si="117"/>
        <v>0.33333333333333331</v>
      </c>
      <c r="AA157" s="1616">
        <f t="shared" si="118"/>
        <v>0.33333333333333331</v>
      </c>
      <c r="AB157" s="1616">
        <f t="shared" si="119"/>
        <v>0.33333333333333331</v>
      </c>
      <c r="AC157" s="1686">
        <f t="shared" si="149"/>
        <v>0</v>
      </c>
      <c r="AD157" s="1631">
        <f t="shared" si="150"/>
        <v>0</v>
      </c>
      <c r="AE157" s="1631">
        <f t="shared" si="151"/>
        <v>0</v>
      </c>
      <c r="AG157" s="1645" t="s">
        <v>1427</v>
      </c>
      <c r="AH157" s="1691" t="s">
        <v>372</v>
      </c>
      <c r="AI157" s="2061" t="s">
        <v>902</v>
      </c>
      <c r="AJ157" s="1621">
        <v>0.33333333333333331</v>
      </c>
      <c r="AK157" s="1621">
        <v>0.33333333333333331</v>
      </c>
      <c r="AL157" s="1621">
        <v>0.33333333333333331</v>
      </c>
      <c r="AM157" s="1621">
        <v>0.33333333333333331</v>
      </c>
      <c r="AN157" s="1621">
        <v>0.33333333333333331</v>
      </c>
      <c r="AO157" s="1621">
        <v>0.33333333333333331</v>
      </c>
      <c r="AP157" s="1621">
        <v>0.33333333333333331</v>
      </c>
      <c r="AQ157" s="1621">
        <v>0.33333333333333331</v>
      </c>
      <c r="AR157" s="1621">
        <v>0.33333333333333331</v>
      </c>
      <c r="AS157" s="1621">
        <v>0.33333333333333331</v>
      </c>
      <c r="AT157" s="1867">
        <v>0</v>
      </c>
      <c r="AU157" s="1713">
        <v>0</v>
      </c>
      <c r="AV157" s="1713">
        <v>0</v>
      </c>
      <c r="AX157" s="1645" t="s">
        <v>1538</v>
      </c>
      <c r="AY157" s="1691" t="s">
        <v>372</v>
      </c>
      <c r="AZ157" s="2061" t="s">
        <v>1539</v>
      </c>
      <c r="BA157" s="1621">
        <v>0.33333333333333331</v>
      </c>
      <c r="BB157" s="1621">
        <v>0.33333333333333331</v>
      </c>
      <c r="BC157" s="1621">
        <v>0.33333333333333331</v>
      </c>
      <c r="BD157" s="1621">
        <v>0.33333333333333331</v>
      </c>
      <c r="BE157" s="1621">
        <v>0.33333333333333331</v>
      </c>
      <c r="BF157" s="1621">
        <v>0.33333333333333331</v>
      </c>
      <c r="BG157" s="1621">
        <v>0.33333333333333331</v>
      </c>
      <c r="BH157" s="1621">
        <v>0.33333333333333331</v>
      </c>
      <c r="BI157" s="1621">
        <v>0.33333333333333331</v>
      </c>
      <c r="BJ157" s="1621">
        <v>0.33333333333333331</v>
      </c>
      <c r="BK157" s="1867"/>
      <c r="BL157" s="1713"/>
      <c r="BM157" s="1713"/>
      <c r="BO157" s="1645" t="s">
        <v>1538</v>
      </c>
      <c r="BP157" s="1691" t="s">
        <v>372</v>
      </c>
      <c r="BQ157" s="2061" t="s">
        <v>1539</v>
      </c>
      <c r="BR157" s="1621">
        <v>0.33333333333333331</v>
      </c>
      <c r="BS157" s="1621">
        <v>0.33333333333333331</v>
      </c>
      <c r="BT157" s="1621">
        <v>0.33333333333333331</v>
      </c>
      <c r="BU157" s="1621">
        <v>0.33333333333333331</v>
      </c>
      <c r="BV157" s="1621">
        <v>0.33333333333333331</v>
      </c>
      <c r="BW157" s="1621">
        <v>0.33333333333333331</v>
      </c>
      <c r="BX157" s="1621">
        <v>0.33333333333333331</v>
      </c>
      <c r="BY157" s="1621">
        <v>0.33333333333333331</v>
      </c>
      <c r="BZ157" s="1621">
        <v>0.33333333333333331</v>
      </c>
      <c r="CA157" s="1621">
        <v>0.33333333333333331</v>
      </c>
      <c r="CB157" s="1867"/>
      <c r="CC157" s="1713"/>
      <c r="CD157" s="1713"/>
    </row>
    <row r="158" spans="1:83">
      <c r="B158" s="1595" t="str">
        <f t="shared" si="143"/>
        <v>3.2.3</v>
      </c>
      <c r="C158" s="1612" t="str">
        <f t="shared" si="140"/>
        <v>冷媒</v>
      </c>
      <c r="D158" s="1719" t="e">
        <f t="shared" si="148"/>
        <v>#DIV/0!</v>
      </c>
      <c r="E158" s="1689" t="e">
        <f t="shared" si="148"/>
        <v>#DIV/0!</v>
      </c>
      <c r="G158" s="1689" t="e">
        <f t="shared" si="138"/>
        <v>#DIV/0!</v>
      </c>
      <c r="H158" s="1689" t="e">
        <f t="shared" si="139"/>
        <v>#DIV/0!</v>
      </c>
      <c r="I158" s="1689"/>
      <c r="J158" s="1689"/>
      <c r="K158" s="1689">
        <f>IF(スコア表示!W158=0,0,1)</f>
        <v>1</v>
      </c>
      <c r="L158" s="1689">
        <f>IF(スコア表示!AA158=0,0,1)</f>
        <v>0</v>
      </c>
      <c r="M158" s="1689" t="e">
        <f t="shared" si="141"/>
        <v>#DIV/0!</v>
      </c>
      <c r="N158" s="1689" t="e">
        <f t="shared" si="145"/>
        <v>#DIV/0!</v>
      </c>
      <c r="P158" s="1645" t="str">
        <f t="shared" si="146"/>
        <v>3.2.3</v>
      </c>
      <c r="Q158" s="1645" t="str">
        <f t="shared" si="147"/>
        <v>LR2 3.2</v>
      </c>
      <c r="R158" s="1735" t="str">
        <f t="shared" si="142"/>
        <v>冷媒</v>
      </c>
      <c r="S158" s="1616">
        <f t="shared" si="110"/>
        <v>0.33333333333333331</v>
      </c>
      <c r="T158" s="1616">
        <f t="shared" si="111"/>
        <v>0.33333333333333331</v>
      </c>
      <c r="U158" s="1616">
        <f t="shared" si="112"/>
        <v>0.33333333333333331</v>
      </c>
      <c r="V158" s="1616">
        <f t="shared" si="113"/>
        <v>0.33333333333333331</v>
      </c>
      <c r="W158" s="1616">
        <f t="shared" si="114"/>
        <v>0.33333333333333331</v>
      </c>
      <c r="X158" s="1616">
        <f t="shared" si="115"/>
        <v>0.33333333333333331</v>
      </c>
      <c r="Y158" s="1616">
        <f t="shared" si="116"/>
        <v>0.33333333333333331</v>
      </c>
      <c r="Z158" s="1624">
        <f t="shared" si="117"/>
        <v>0.33333333333333331</v>
      </c>
      <c r="AA158" s="1616">
        <f t="shared" si="118"/>
        <v>0.33333333333333331</v>
      </c>
      <c r="AB158" s="1616">
        <f t="shared" si="119"/>
        <v>0.33333333333333331</v>
      </c>
      <c r="AC158" s="1686">
        <f t="shared" si="149"/>
        <v>0</v>
      </c>
      <c r="AD158" s="1631">
        <f t="shared" si="150"/>
        <v>0</v>
      </c>
      <c r="AE158" s="1631">
        <f t="shared" si="151"/>
        <v>0</v>
      </c>
      <c r="AG158" s="1645" t="s">
        <v>1540</v>
      </c>
      <c r="AH158" s="1691" t="s">
        <v>372</v>
      </c>
      <c r="AI158" s="2061" t="s">
        <v>374</v>
      </c>
      <c r="AJ158" s="1621">
        <v>0.33333333333333331</v>
      </c>
      <c r="AK158" s="1621">
        <v>0.33333333333333331</v>
      </c>
      <c r="AL158" s="1621">
        <v>0.33333333333333331</v>
      </c>
      <c r="AM158" s="1621">
        <v>0.33333333333333331</v>
      </c>
      <c r="AN158" s="1621">
        <v>0.33333333333333331</v>
      </c>
      <c r="AO158" s="1621">
        <v>0.33333333333333331</v>
      </c>
      <c r="AP158" s="1621">
        <v>0.33333333333333331</v>
      </c>
      <c r="AQ158" s="1621">
        <v>0.33333333333333331</v>
      </c>
      <c r="AR158" s="1621">
        <v>0.33333333333333331</v>
      </c>
      <c r="AS158" s="1621">
        <v>0.33333333333333331</v>
      </c>
      <c r="AT158" s="1867">
        <v>0</v>
      </c>
      <c r="AU158" s="1713">
        <v>0</v>
      </c>
      <c r="AV158" s="1713">
        <v>0</v>
      </c>
      <c r="AX158" s="1645" t="s">
        <v>1541</v>
      </c>
      <c r="AY158" s="1691" t="s">
        <v>372</v>
      </c>
      <c r="AZ158" s="2061" t="s">
        <v>374</v>
      </c>
      <c r="BA158" s="1621">
        <v>0.33333333333333331</v>
      </c>
      <c r="BB158" s="1621">
        <v>0.33333333333333331</v>
      </c>
      <c r="BC158" s="1621">
        <v>0.33333333333333331</v>
      </c>
      <c r="BD158" s="1621">
        <v>0.33333333333333331</v>
      </c>
      <c r="BE158" s="1621">
        <v>0.33333333333333331</v>
      </c>
      <c r="BF158" s="1621">
        <v>0.33333333333333331</v>
      </c>
      <c r="BG158" s="1621">
        <v>0.33333333333333331</v>
      </c>
      <c r="BH158" s="1621">
        <v>0.33333333333333331</v>
      </c>
      <c r="BI158" s="1621">
        <v>0.33333333333333331</v>
      </c>
      <c r="BJ158" s="1621">
        <v>0.33333333333333331</v>
      </c>
      <c r="BK158" s="1867"/>
      <c r="BL158" s="1713"/>
      <c r="BM158" s="1713"/>
      <c r="BO158" s="1645" t="s">
        <v>1541</v>
      </c>
      <c r="BP158" s="1691" t="s">
        <v>372</v>
      </c>
      <c r="BQ158" s="2061" t="s">
        <v>374</v>
      </c>
      <c r="BR158" s="1621">
        <v>0.33333333333333331</v>
      </c>
      <c r="BS158" s="1621">
        <v>0.33333333333333331</v>
      </c>
      <c r="BT158" s="1621">
        <v>0.33333333333333331</v>
      </c>
      <c r="BU158" s="1621">
        <v>0.33333333333333331</v>
      </c>
      <c r="BV158" s="1621">
        <v>0.33333333333333331</v>
      </c>
      <c r="BW158" s="1621">
        <v>0.33333333333333331</v>
      </c>
      <c r="BX158" s="1621">
        <v>0.33333333333333331</v>
      </c>
      <c r="BY158" s="1621">
        <v>0.33333333333333331</v>
      </c>
      <c r="BZ158" s="1621">
        <v>0.33333333333333331</v>
      </c>
      <c r="CA158" s="1621">
        <v>0.33333333333333331</v>
      </c>
      <c r="CB158" s="1867"/>
      <c r="CC158" s="1713"/>
      <c r="CD158" s="1713"/>
    </row>
    <row r="159" spans="1:83" s="1603" customFormat="1">
      <c r="A159"/>
      <c r="B159" s="1595" t="str">
        <f t="shared" si="143"/>
        <v>LR3</v>
      </c>
      <c r="C159" s="1596" t="str">
        <f t="shared" si="140"/>
        <v>敷地外環境</v>
      </c>
      <c r="D159" s="2088" t="e">
        <f>IF(I$116=0,0,G159/I$116)</f>
        <v>#VALUE!</v>
      </c>
      <c r="E159" s="2054" t="e">
        <f>IF(J$116=0,0,H159/J$116)</f>
        <v>#DIV/0!</v>
      </c>
      <c r="F159"/>
      <c r="G159" s="2054" t="e">
        <f t="shared" si="138"/>
        <v>#DIV/0!</v>
      </c>
      <c r="H159" s="2054" t="e">
        <f t="shared" si="139"/>
        <v>#DIV/0!</v>
      </c>
      <c r="I159" s="2054" t="e">
        <f>G160+G161+G169</f>
        <v>#DIV/0!</v>
      </c>
      <c r="J159" s="2054" t="e">
        <f>H160+H161+H169</f>
        <v>#DIV/0!</v>
      </c>
      <c r="K159" s="2054" t="e">
        <f>IF(スコア表示!W159=0,0,1)</f>
        <v>#DIV/0!</v>
      </c>
      <c r="L159" s="2054">
        <f>IF(スコア表示!AA159=0,0,1)</f>
        <v>0</v>
      </c>
      <c r="M159" s="2054" t="e">
        <f t="shared" si="141"/>
        <v>#DIV/0!</v>
      </c>
      <c r="N159" s="2054" t="e">
        <f t="shared" si="145"/>
        <v>#DIV/0!</v>
      </c>
      <c r="O159"/>
      <c r="P159" s="1596" t="str">
        <f t="shared" si="146"/>
        <v>LR3</v>
      </c>
      <c r="Q159" s="1596" t="str">
        <f t="shared" si="147"/>
        <v>LR</v>
      </c>
      <c r="R159" s="2055" t="str">
        <f t="shared" si="142"/>
        <v>敷地外環境</v>
      </c>
      <c r="S159" s="1601">
        <f t="shared" si="110"/>
        <v>0.3</v>
      </c>
      <c r="T159" s="1601">
        <f t="shared" si="111"/>
        <v>0.3</v>
      </c>
      <c r="U159" s="1601">
        <f t="shared" si="112"/>
        <v>0.3</v>
      </c>
      <c r="V159" s="1601">
        <f t="shared" si="113"/>
        <v>0.3</v>
      </c>
      <c r="W159" s="1601">
        <f t="shared" si="114"/>
        <v>0.3</v>
      </c>
      <c r="X159" s="1601">
        <f t="shared" si="115"/>
        <v>0.3</v>
      </c>
      <c r="Y159" s="1601">
        <f t="shared" si="116"/>
        <v>0.3</v>
      </c>
      <c r="Z159" s="1601">
        <f t="shared" si="117"/>
        <v>0.3</v>
      </c>
      <c r="AA159" s="1601">
        <f t="shared" si="118"/>
        <v>0.3</v>
      </c>
      <c r="AB159" s="1601">
        <f t="shared" si="119"/>
        <v>0.3</v>
      </c>
      <c r="AC159" s="1681">
        <f t="shared" si="149"/>
        <v>0</v>
      </c>
      <c r="AD159" s="1682">
        <f t="shared" si="150"/>
        <v>0</v>
      </c>
      <c r="AE159" s="1682">
        <f t="shared" si="151"/>
        <v>0</v>
      </c>
      <c r="AF159"/>
      <c r="AG159" s="1596" t="s">
        <v>1663</v>
      </c>
      <c r="AH159" s="2091" t="s">
        <v>1499</v>
      </c>
      <c r="AI159" s="2055" t="s">
        <v>1664</v>
      </c>
      <c r="AJ159" s="2057">
        <v>0.3</v>
      </c>
      <c r="AK159" s="2057">
        <v>0.3</v>
      </c>
      <c r="AL159" s="2057">
        <v>0.3</v>
      </c>
      <c r="AM159" s="2057">
        <v>0.3</v>
      </c>
      <c r="AN159" s="2057">
        <v>0.3</v>
      </c>
      <c r="AO159" s="2057">
        <v>0.3</v>
      </c>
      <c r="AP159" s="2057">
        <v>0.3</v>
      </c>
      <c r="AQ159" s="2057">
        <v>0.3</v>
      </c>
      <c r="AR159" s="2057">
        <v>0.3</v>
      </c>
      <c r="AS159" s="2057">
        <v>0.3</v>
      </c>
      <c r="AT159" s="2093">
        <v>0</v>
      </c>
      <c r="AU159" s="2094">
        <v>0</v>
      </c>
      <c r="AV159" s="2094">
        <v>0</v>
      </c>
      <c r="AW159"/>
      <c r="AX159" s="1596" t="s">
        <v>1542</v>
      </c>
      <c r="AY159" s="2091" t="s">
        <v>1500</v>
      </c>
      <c r="AZ159" s="2055" t="s">
        <v>1543</v>
      </c>
      <c r="BA159" s="2057">
        <v>0.3</v>
      </c>
      <c r="BB159" s="2057">
        <v>0.3</v>
      </c>
      <c r="BC159" s="2057">
        <v>0.3</v>
      </c>
      <c r="BD159" s="2057">
        <v>0.3</v>
      </c>
      <c r="BE159" s="2057">
        <v>0.3</v>
      </c>
      <c r="BF159" s="2057">
        <v>0.3</v>
      </c>
      <c r="BG159" s="2057">
        <v>0.3</v>
      </c>
      <c r="BH159" s="2057">
        <v>0.3</v>
      </c>
      <c r="BI159" s="2057">
        <v>0.3</v>
      </c>
      <c r="BJ159" s="2057">
        <v>0.3</v>
      </c>
      <c r="BK159" s="2093"/>
      <c r="BL159" s="2094"/>
      <c r="BM159" s="2094"/>
      <c r="BN159"/>
      <c r="BO159" s="1596" t="s">
        <v>1542</v>
      </c>
      <c r="BP159" s="2091" t="s">
        <v>1500</v>
      </c>
      <c r="BQ159" s="2055" t="s">
        <v>1543</v>
      </c>
      <c r="BR159" s="2057">
        <v>0.3</v>
      </c>
      <c r="BS159" s="2057">
        <v>0.3</v>
      </c>
      <c r="BT159" s="2057">
        <v>0.3</v>
      </c>
      <c r="BU159" s="2057">
        <v>0.3</v>
      </c>
      <c r="BV159" s="2057">
        <v>0.3</v>
      </c>
      <c r="BW159" s="2057">
        <v>0.3</v>
      </c>
      <c r="BX159" s="2057">
        <v>0.3</v>
      </c>
      <c r="BY159" s="2057">
        <v>0.3</v>
      </c>
      <c r="BZ159" s="2057">
        <v>0.3</v>
      </c>
      <c r="CA159" s="2057">
        <v>0.3</v>
      </c>
      <c r="CB159" s="2093"/>
      <c r="CC159" s="2094"/>
      <c r="CD159" s="2094"/>
      <c r="CE159"/>
    </row>
    <row r="160" spans="1:83" s="1603" customFormat="1">
      <c r="A160"/>
      <c r="B160" s="2056">
        <f t="shared" si="143"/>
        <v>1</v>
      </c>
      <c r="C160" s="1639" t="str">
        <f t="shared" si="140"/>
        <v>地球温暖化への配慮</v>
      </c>
      <c r="D160" s="2059" t="e">
        <f>IF(I$159=0,0,G160/I$159)</f>
        <v>#DIV/0!</v>
      </c>
      <c r="E160" s="2059" t="e">
        <f>IF(J$159=0,0,H160/J$159)</f>
        <v>#DIV/0!</v>
      </c>
      <c r="F160"/>
      <c r="G160" s="1741" t="e">
        <f t="shared" si="138"/>
        <v>#DIV/0!</v>
      </c>
      <c r="H160" s="1741" t="e">
        <f t="shared" si="139"/>
        <v>#DIV/0!</v>
      </c>
      <c r="I160" s="1741"/>
      <c r="J160" s="1741"/>
      <c r="K160" s="1741" t="e">
        <f>IF(スコア表示!W160=0,0,1)</f>
        <v>#DIV/0!</v>
      </c>
      <c r="L160" s="1741">
        <f>IF(スコア表示!AA160=0,0,1)</f>
        <v>0</v>
      </c>
      <c r="M160" s="1741" t="e">
        <f t="shared" si="141"/>
        <v>#DIV/0!</v>
      </c>
      <c r="N160" s="1741" t="e">
        <f t="shared" si="145"/>
        <v>#DIV/0!</v>
      </c>
      <c r="O160"/>
      <c r="P160" s="2098">
        <f t="shared" si="146"/>
        <v>1</v>
      </c>
      <c r="Q160" s="1742" t="str">
        <f t="shared" si="147"/>
        <v>LR3</v>
      </c>
      <c r="R160" s="1778" t="str">
        <f t="shared" si="142"/>
        <v>地球温暖化への配慮</v>
      </c>
      <c r="S160" s="1709">
        <f t="shared" ref="S160:S180" si="152">IF($P$3=1,BA160,IF($P$3=2,BR160,AJ160))</f>
        <v>0.33333333333333331</v>
      </c>
      <c r="T160" s="1709">
        <f t="shared" ref="T160:T180" si="153">IF($P$3=1,BB160,IF($P$3=2,BS160,AK160))</f>
        <v>0.33333333333333331</v>
      </c>
      <c r="U160" s="1709">
        <f t="shared" ref="U160:U180" si="154">IF($P$3=1,BC160,IF($P$3=2,BT160,AL160))</f>
        <v>0.33333333333333331</v>
      </c>
      <c r="V160" s="1709">
        <f t="shared" ref="V160:V180" si="155">IF($P$3=1,BD160,IF($P$3=2,BU160,AM160))</f>
        <v>0.33333333333333331</v>
      </c>
      <c r="W160" s="1709">
        <f t="shared" ref="W160:W180" si="156">IF($P$3=1,BE160,IF($P$3=2,BV160,AN160))</f>
        <v>0.33333333333333331</v>
      </c>
      <c r="X160" s="1709">
        <f t="shared" ref="X160:X180" si="157">IF($P$3=1,BF160,IF($P$3=2,BW160,AO160))</f>
        <v>0.33333333333333331</v>
      </c>
      <c r="Y160" s="1709">
        <f t="shared" ref="Y160:Y180" si="158">IF($P$3=1,BG160,IF($P$3=2,BX160,AP160))</f>
        <v>0.33333333333333331</v>
      </c>
      <c r="Z160" s="1709">
        <f t="shared" ref="Z160:Z180" si="159">IF($P$3=1,BH160,IF($P$3=2,BY160,AQ160))</f>
        <v>0.33333333333333331</v>
      </c>
      <c r="AA160" s="1709">
        <f t="shared" ref="AA160:AA180" si="160">IF($P$3=1,BI160,IF($P$3=2,BZ160,AR160))</f>
        <v>0.33333333333333331</v>
      </c>
      <c r="AB160" s="1709">
        <f t="shared" ref="AB160:AB180" si="161">IF($P$3=1,BJ160,IF($P$3=2,CA160,AS160))</f>
        <v>0.33333333333333331</v>
      </c>
      <c r="AC160" s="1657">
        <f t="shared" si="149"/>
        <v>0</v>
      </c>
      <c r="AD160" s="1608">
        <f t="shared" si="150"/>
        <v>0</v>
      </c>
      <c r="AE160" s="1608">
        <f t="shared" si="151"/>
        <v>0</v>
      </c>
      <c r="AF160"/>
      <c r="AG160" s="1639">
        <v>1</v>
      </c>
      <c r="AH160" s="1742" t="s">
        <v>375</v>
      </c>
      <c r="AI160" s="1778" t="s">
        <v>1101</v>
      </c>
      <c r="AJ160" s="1709">
        <v>0.33333333333333331</v>
      </c>
      <c r="AK160" s="1709">
        <v>0.33333333333333331</v>
      </c>
      <c r="AL160" s="1709">
        <v>0.33333333333333331</v>
      </c>
      <c r="AM160" s="1709">
        <v>0.33333333333333331</v>
      </c>
      <c r="AN160" s="1709">
        <v>0.33333333333333331</v>
      </c>
      <c r="AO160" s="1709">
        <v>0.33333333333333331</v>
      </c>
      <c r="AP160" s="1709">
        <v>0.33333333333333331</v>
      </c>
      <c r="AQ160" s="1709">
        <v>0.33333333333333331</v>
      </c>
      <c r="AR160" s="1709">
        <v>0.33333333333333331</v>
      </c>
      <c r="AS160" s="1709">
        <v>0.33333333333333331</v>
      </c>
      <c r="AT160" s="2060">
        <v>0</v>
      </c>
      <c r="AU160" s="1709">
        <v>0</v>
      </c>
      <c r="AV160" s="1709">
        <v>0</v>
      </c>
      <c r="AW160"/>
      <c r="AX160" s="1639">
        <v>1</v>
      </c>
      <c r="AY160" s="1742" t="s">
        <v>375</v>
      </c>
      <c r="AZ160" s="1778" t="s">
        <v>1101</v>
      </c>
      <c r="BA160" s="1709">
        <f t="shared" ref="BA160:BJ161" si="162">1/3</f>
        <v>0.33333333333333331</v>
      </c>
      <c r="BB160" s="1709">
        <f t="shared" si="162"/>
        <v>0.33333333333333331</v>
      </c>
      <c r="BC160" s="1709">
        <f t="shared" si="162"/>
        <v>0.33333333333333331</v>
      </c>
      <c r="BD160" s="1709">
        <f t="shared" si="162"/>
        <v>0.33333333333333331</v>
      </c>
      <c r="BE160" s="1709">
        <f t="shared" si="162"/>
        <v>0.33333333333333331</v>
      </c>
      <c r="BF160" s="1709">
        <f t="shared" si="162"/>
        <v>0.33333333333333331</v>
      </c>
      <c r="BG160" s="1709">
        <f t="shared" si="162"/>
        <v>0.33333333333333331</v>
      </c>
      <c r="BH160" s="1709">
        <f t="shared" si="162"/>
        <v>0.33333333333333331</v>
      </c>
      <c r="BI160" s="1709">
        <f t="shared" si="162"/>
        <v>0.33333333333333331</v>
      </c>
      <c r="BJ160" s="1709">
        <f t="shared" si="162"/>
        <v>0.33333333333333331</v>
      </c>
      <c r="BK160" s="2060"/>
      <c r="BL160" s="1709"/>
      <c r="BM160" s="1709"/>
      <c r="BN160"/>
      <c r="BO160" s="1639">
        <v>1</v>
      </c>
      <c r="BP160" s="1742" t="s">
        <v>375</v>
      </c>
      <c r="BQ160" s="1778" t="s">
        <v>1101</v>
      </c>
      <c r="BR160" s="1709">
        <f t="shared" ref="BR160:CA161" si="163">1/3</f>
        <v>0.33333333333333331</v>
      </c>
      <c r="BS160" s="1709">
        <f t="shared" si="163"/>
        <v>0.33333333333333331</v>
      </c>
      <c r="BT160" s="1709">
        <f t="shared" si="163"/>
        <v>0.33333333333333331</v>
      </c>
      <c r="BU160" s="1709">
        <f t="shared" si="163"/>
        <v>0.33333333333333331</v>
      </c>
      <c r="BV160" s="1709">
        <f t="shared" si="163"/>
        <v>0.33333333333333331</v>
      </c>
      <c r="BW160" s="1709">
        <f t="shared" si="163"/>
        <v>0.33333333333333331</v>
      </c>
      <c r="BX160" s="1709">
        <f t="shared" si="163"/>
        <v>0.33333333333333331</v>
      </c>
      <c r="BY160" s="1709">
        <f t="shared" si="163"/>
        <v>0.33333333333333331</v>
      </c>
      <c r="BZ160" s="1709">
        <f t="shared" si="163"/>
        <v>0.33333333333333331</v>
      </c>
      <c r="CA160" s="1709">
        <f t="shared" si="163"/>
        <v>0.33333333333333331</v>
      </c>
      <c r="CB160" s="2060"/>
      <c r="CC160" s="1709"/>
      <c r="CD160" s="1709"/>
      <c r="CE160"/>
    </row>
    <row r="161" spans="1:83" s="1603" customFormat="1">
      <c r="A161"/>
      <c r="B161" s="1595">
        <f t="shared" si="143"/>
        <v>2</v>
      </c>
      <c r="C161" s="1639" t="str">
        <f t="shared" si="140"/>
        <v>地域環境への配慮</v>
      </c>
      <c r="D161" s="2059" t="e">
        <f>IF(I$159=0,0,G161/I$159)</f>
        <v>#DIV/0!</v>
      </c>
      <c r="E161" s="2059" t="e">
        <f>IF(J$159=0,0,H161/J$159)</f>
        <v>#DIV/0!</v>
      </c>
      <c r="F161"/>
      <c r="G161" s="1741" t="e">
        <f t="shared" si="138"/>
        <v>#DIV/0!</v>
      </c>
      <c r="H161" s="1741" t="e">
        <f t="shared" si="139"/>
        <v>#DIV/0!</v>
      </c>
      <c r="I161" s="1741" t="e">
        <f>G162+G163+G164</f>
        <v>#DIV/0!</v>
      </c>
      <c r="J161" s="1741" t="e">
        <f>H162+H163+H164</f>
        <v>#DIV/0!</v>
      </c>
      <c r="K161" s="1741" t="e">
        <f>IF(スコア表示!W161=0,0,1)</f>
        <v>#DIV/0!</v>
      </c>
      <c r="L161" s="1741" t="e">
        <f>IF(スコア表示!AA161=0,0,1)</f>
        <v>#DIV/0!</v>
      </c>
      <c r="M161" s="1741" t="e">
        <f t="shared" si="141"/>
        <v>#DIV/0!</v>
      </c>
      <c r="N161" s="1741" t="e">
        <f t="shared" si="145"/>
        <v>#DIV/0!</v>
      </c>
      <c r="O161"/>
      <c r="P161" s="2098">
        <f t="shared" si="146"/>
        <v>2</v>
      </c>
      <c r="Q161" s="1742" t="str">
        <f t="shared" si="147"/>
        <v>LR3</v>
      </c>
      <c r="R161" s="1778" t="str">
        <f t="shared" si="142"/>
        <v>地域環境への配慮</v>
      </c>
      <c r="S161" s="1709">
        <f t="shared" si="152"/>
        <v>0.33333333333333331</v>
      </c>
      <c r="T161" s="1709">
        <f t="shared" si="153"/>
        <v>0.33333333333333331</v>
      </c>
      <c r="U161" s="1709">
        <f t="shared" si="154"/>
        <v>0.33333333333333331</v>
      </c>
      <c r="V161" s="1709">
        <f t="shared" si="155"/>
        <v>0.33333333333333331</v>
      </c>
      <c r="W161" s="1709">
        <f t="shared" si="156"/>
        <v>0.33333333333333331</v>
      </c>
      <c r="X161" s="1709">
        <f t="shared" si="157"/>
        <v>0.33333333333333331</v>
      </c>
      <c r="Y161" s="1709">
        <f t="shared" si="158"/>
        <v>0.33333333333333331</v>
      </c>
      <c r="Z161" s="1709">
        <f t="shared" si="159"/>
        <v>0.33333333333333331</v>
      </c>
      <c r="AA161" s="1709">
        <f t="shared" si="160"/>
        <v>0.33333333333333331</v>
      </c>
      <c r="AB161" s="1709">
        <f t="shared" si="161"/>
        <v>0.33333333333333331</v>
      </c>
      <c r="AC161" s="1657">
        <f t="shared" si="149"/>
        <v>0</v>
      </c>
      <c r="AD161" s="1608">
        <f t="shared" si="150"/>
        <v>0</v>
      </c>
      <c r="AE161" s="1608">
        <f t="shared" si="151"/>
        <v>0</v>
      </c>
      <c r="AF161"/>
      <c r="AG161" s="1639">
        <v>2</v>
      </c>
      <c r="AH161" s="1742" t="s">
        <v>375</v>
      </c>
      <c r="AI161" s="1778" t="s">
        <v>1102</v>
      </c>
      <c r="AJ161" s="1709">
        <v>0.33333333333333331</v>
      </c>
      <c r="AK161" s="1709">
        <v>0.33333333333333331</v>
      </c>
      <c r="AL161" s="1709">
        <v>0.33333333333333331</v>
      </c>
      <c r="AM161" s="1709">
        <v>0.33333333333333331</v>
      </c>
      <c r="AN161" s="1709">
        <v>0.33333333333333331</v>
      </c>
      <c r="AO161" s="1709">
        <v>0.33333333333333331</v>
      </c>
      <c r="AP161" s="1709">
        <v>0.33333333333333331</v>
      </c>
      <c r="AQ161" s="1709">
        <v>0.33333333333333331</v>
      </c>
      <c r="AR161" s="1709">
        <v>0.33333333333333331</v>
      </c>
      <c r="AS161" s="1709">
        <v>0.33333333333333331</v>
      </c>
      <c r="AT161" s="2060">
        <v>0</v>
      </c>
      <c r="AU161" s="1709">
        <v>0</v>
      </c>
      <c r="AV161" s="1709">
        <v>0</v>
      </c>
      <c r="AW161"/>
      <c r="AX161" s="1639">
        <v>2</v>
      </c>
      <c r="AY161" s="1742" t="s">
        <v>375</v>
      </c>
      <c r="AZ161" s="1778" t="s">
        <v>1102</v>
      </c>
      <c r="BA161" s="1709">
        <f t="shared" si="162"/>
        <v>0.33333333333333331</v>
      </c>
      <c r="BB161" s="1709">
        <f t="shared" si="162"/>
        <v>0.33333333333333331</v>
      </c>
      <c r="BC161" s="1709">
        <f t="shared" si="162"/>
        <v>0.33333333333333331</v>
      </c>
      <c r="BD161" s="1709">
        <f t="shared" si="162"/>
        <v>0.33333333333333331</v>
      </c>
      <c r="BE161" s="1709">
        <f t="shared" si="162"/>
        <v>0.33333333333333331</v>
      </c>
      <c r="BF161" s="1709">
        <f t="shared" si="162"/>
        <v>0.33333333333333331</v>
      </c>
      <c r="BG161" s="1709">
        <f t="shared" si="162"/>
        <v>0.33333333333333331</v>
      </c>
      <c r="BH161" s="1709">
        <f t="shared" si="162"/>
        <v>0.33333333333333331</v>
      </c>
      <c r="BI161" s="1709">
        <f t="shared" si="162"/>
        <v>0.33333333333333331</v>
      </c>
      <c r="BJ161" s="1709">
        <f t="shared" si="162"/>
        <v>0.33333333333333331</v>
      </c>
      <c r="BK161" s="2060"/>
      <c r="BL161" s="1709"/>
      <c r="BM161" s="1709"/>
      <c r="BN161"/>
      <c r="BO161" s="1639">
        <v>2</v>
      </c>
      <c r="BP161" s="1742" t="s">
        <v>375</v>
      </c>
      <c r="BQ161" s="1778" t="s">
        <v>1102</v>
      </c>
      <c r="BR161" s="1709">
        <f t="shared" si="163"/>
        <v>0.33333333333333331</v>
      </c>
      <c r="BS161" s="1709">
        <f t="shared" si="163"/>
        <v>0.33333333333333331</v>
      </c>
      <c r="BT161" s="1709">
        <f t="shared" si="163"/>
        <v>0.33333333333333331</v>
      </c>
      <c r="BU161" s="1709">
        <f t="shared" si="163"/>
        <v>0.33333333333333331</v>
      </c>
      <c r="BV161" s="1709">
        <f t="shared" si="163"/>
        <v>0.33333333333333331</v>
      </c>
      <c r="BW161" s="1709">
        <f t="shared" si="163"/>
        <v>0.33333333333333331</v>
      </c>
      <c r="BX161" s="1709">
        <f t="shared" si="163"/>
        <v>0.33333333333333331</v>
      </c>
      <c r="BY161" s="1709">
        <f t="shared" si="163"/>
        <v>0.33333333333333331</v>
      </c>
      <c r="BZ161" s="1709">
        <f t="shared" si="163"/>
        <v>0.33333333333333331</v>
      </c>
      <c r="CA161" s="1709">
        <f t="shared" si="163"/>
        <v>0.33333333333333331</v>
      </c>
      <c r="CB161" s="2060"/>
      <c r="CC161" s="1709"/>
      <c r="CD161" s="1709"/>
      <c r="CE161"/>
    </row>
    <row r="162" spans="1:83">
      <c r="B162" s="1595" t="str">
        <f t="shared" si="143"/>
        <v>2.1</v>
      </c>
      <c r="C162" s="1732" t="str">
        <f t="shared" si="140"/>
        <v>大気汚染防止</v>
      </c>
      <c r="D162" s="1714" t="e">
        <f t="shared" ref="D162:E164" si="164">IF(I$161=0,0,G162/I$161)</f>
        <v>#DIV/0!</v>
      </c>
      <c r="E162" s="1714" t="e">
        <f t="shared" si="164"/>
        <v>#DIV/0!</v>
      </c>
      <c r="G162" s="1689" t="e">
        <f t="shared" si="138"/>
        <v>#DIV/0!</v>
      </c>
      <c r="H162" s="1689" t="e">
        <f t="shared" si="139"/>
        <v>#DIV/0!</v>
      </c>
      <c r="I162" s="1689"/>
      <c r="J162" s="1689"/>
      <c r="K162" s="1689">
        <f>IF(スコア表示!W162=0,0,1)</f>
        <v>1</v>
      </c>
      <c r="L162" s="1689">
        <f>IF(スコア表示!AA162=0,0,1)</f>
        <v>0</v>
      </c>
      <c r="M162" s="1689" t="e">
        <f t="shared" si="141"/>
        <v>#DIV/0!</v>
      </c>
      <c r="N162" s="1689" t="e">
        <f t="shared" si="145"/>
        <v>#DIV/0!</v>
      </c>
      <c r="P162" s="2099" t="str">
        <f t="shared" si="146"/>
        <v>2.1</v>
      </c>
      <c r="Q162" s="1691" t="str">
        <f t="shared" si="147"/>
        <v>LR3 2</v>
      </c>
      <c r="R162" s="1735" t="str">
        <f t="shared" si="142"/>
        <v>大気汚染防止</v>
      </c>
      <c r="S162" s="1621">
        <f t="shared" si="152"/>
        <v>0.25</v>
      </c>
      <c r="T162" s="1621">
        <f t="shared" si="153"/>
        <v>0.25</v>
      </c>
      <c r="U162" s="1621">
        <f t="shared" si="154"/>
        <v>0.25</v>
      </c>
      <c r="V162" s="1621">
        <f t="shared" si="155"/>
        <v>0.25</v>
      </c>
      <c r="W162" s="1621">
        <f t="shared" si="156"/>
        <v>0.25</v>
      </c>
      <c r="X162" s="1621">
        <f t="shared" si="157"/>
        <v>0.25</v>
      </c>
      <c r="Y162" s="1621">
        <f t="shared" si="158"/>
        <v>0.25</v>
      </c>
      <c r="Z162" s="1621">
        <f t="shared" si="159"/>
        <v>0.25</v>
      </c>
      <c r="AA162" s="1621">
        <f t="shared" si="160"/>
        <v>0.25</v>
      </c>
      <c r="AB162" s="1621">
        <f t="shared" si="161"/>
        <v>0.25</v>
      </c>
      <c r="AC162" s="1617">
        <f t="shared" si="149"/>
        <v>0</v>
      </c>
      <c r="AD162" s="1616">
        <f t="shared" si="150"/>
        <v>0</v>
      </c>
      <c r="AE162" s="1616">
        <f t="shared" si="151"/>
        <v>0</v>
      </c>
      <c r="AG162" s="1628" t="s">
        <v>1504</v>
      </c>
      <c r="AH162" s="1691" t="s">
        <v>376</v>
      </c>
      <c r="AI162" s="1735" t="s">
        <v>1103</v>
      </c>
      <c r="AJ162" s="1621">
        <v>0.25</v>
      </c>
      <c r="AK162" s="1621">
        <v>0.25</v>
      </c>
      <c r="AL162" s="1621">
        <v>0.25</v>
      </c>
      <c r="AM162" s="1621">
        <v>0.25</v>
      </c>
      <c r="AN162" s="1621">
        <v>0.25</v>
      </c>
      <c r="AO162" s="1621">
        <v>0.25</v>
      </c>
      <c r="AP162" s="1621">
        <v>0.25</v>
      </c>
      <c r="AQ162" s="1621">
        <v>0.25</v>
      </c>
      <c r="AR162" s="1621">
        <v>0.25</v>
      </c>
      <c r="AS162" s="1621">
        <v>0.25</v>
      </c>
      <c r="AT162" s="1623"/>
      <c r="AU162" s="1621"/>
      <c r="AV162" s="1621"/>
      <c r="AX162" s="1628" t="s">
        <v>1504</v>
      </c>
      <c r="AY162" s="1691" t="s">
        <v>376</v>
      </c>
      <c r="AZ162" s="1735" t="s">
        <v>1103</v>
      </c>
      <c r="BA162" s="1621">
        <v>0.25</v>
      </c>
      <c r="BB162" s="1621">
        <v>0.25</v>
      </c>
      <c r="BC162" s="1621">
        <v>0.25</v>
      </c>
      <c r="BD162" s="1621">
        <v>0.25</v>
      </c>
      <c r="BE162" s="1621">
        <v>0.25</v>
      </c>
      <c r="BF162" s="1621">
        <v>0.25</v>
      </c>
      <c r="BG162" s="1621">
        <v>0.25</v>
      </c>
      <c r="BH162" s="1621">
        <v>0.25</v>
      </c>
      <c r="BI162" s="1621">
        <v>0.25</v>
      </c>
      <c r="BJ162" s="1621">
        <v>0.25</v>
      </c>
      <c r="BK162" s="1623"/>
      <c r="BL162" s="1621"/>
      <c r="BM162" s="1621"/>
      <c r="BO162" s="1628" t="s">
        <v>1589</v>
      </c>
      <c r="BP162" s="1691" t="s">
        <v>376</v>
      </c>
      <c r="BQ162" s="1735" t="s">
        <v>1103</v>
      </c>
      <c r="BR162" s="1621">
        <v>0.25</v>
      </c>
      <c r="BS162" s="1621">
        <v>0.25</v>
      </c>
      <c r="BT162" s="1621">
        <v>0.25</v>
      </c>
      <c r="BU162" s="1621">
        <v>0.25</v>
      </c>
      <c r="BV162" s="1621">
        <v>0.25</v>
      </c>
      <c r="BW162" s="1621">
        <v>0.25</v>
      </c>
      <c r="BX162" s="1621">
        <v>0.25</v>
      </c>
      <c r="BY162" s="1621">
        <v>0.25</v>
      </c>
      <c r="BZ162" s="1621">
        <v>0.25</v>
      </c>
      <c r="CA162" s="1621">
        <v>0.25</v>
      </c>
      <c r="CB162" s="1623"/>
      <c r="CC162" s="1621"/>
      <c r="CD162" s="1621"/>
    </row>
    <row r="163" spans="1:83">
      <c r="B163" s="1595" t="str">
        <f t="shared" si="143"/>
        <v>2.2</v>
      </c>
      <c r="C163" s="1732" t="str">
        <f t="shared" si="140"/>
        <v>温熱環境悪化の改善</v>
      </c>
      <c r="D163" s="1714" t="e">
        <f t="shared" si="164"/>
        <v>#DIV/0!</v>
      </c>
      <c r="E163" s="1714" t="e">
        <f t="shared" si="164"/>
        <v>#DIV/0!</v>
      </c>
      <c r="G163" s="1689" t="e">
        <f t="shared" si="138"/>
        <v>#DIV/0!</v>
      </c>
      <c r="H163" s="1689" t="e">
        <f t="shared" si="139"/>
        <v>#DIV/0!</v>
      </c>
      <c r="I163" s="1689"/>
      <c r="J163" s="1689"/>
      <c r="K163" s="1689">
        <f>IF(スコア表示!W163=0,0,1)</f>
        <v>1</v>
      </c>
      <c r="L163" s="1689">
        <f>IF(スコア表示!AA163=0,0,1)</f>
        <v>0</v>
      </c>
      <c r="M163" s="1689" t="e">
        <f t="shared" si="141"/>
        <v>#DIV/0!</v>
      </c>
      <c r="N163" s="1689" t="e">
        <f t="shared" si="145"/>
        <v>#DIV/0!</v>
      </c>
      <c r="P163" s="2099" t="str">
        <f t="shared" si="146"/>
        <v>2.2</v>
      </c>
      <c r="Q163" s="1691" t="str">
        <f t="shared" si="147"/>
        <v>LR3 2</v>
      </c>
      <c r="R163" s="1735" t="str">
        <f t="shared" si="142"/>
        <v>温熱環境悪化の改善</v>
      </c>
      <c r="S163" s="2084">
        <f t="shared" si="152"/>
        <v>0.5</v>
      </c>
      <c r="T163" s="2084">
        <f t="shared" si="153"/>
        <v>0.5</v>
      </c>
      <c r="U163" s="2084">
        <f t="shared" si="154"/>
        <v>0.5</v>
      </c>
      <c r="V163" s="2084">
        <f t="shared" si="155"/>
        <v>0.5</v>
      </c>
      <c r="W163" s="2084">
        <f t="shared" si="156"/>
        <v>0.5</v>
      </c>
      <c r="X163" s="2084">
        <f t="shared" si="157"/>
        <v>0.5</v>
      </c>
      <c r="Y163" s="2084">
        <f t="shared" si="158"/>
        <v>0.5</v>
      </c>
      <c r="Z163" s="2084">
        <f t="shared" si="159"/>
        <v>0.5</v>
      </c>
      <c r="AA163" s="2084">
        <f t="shared" si="160"/>
        <v>0.5</v>
      </c>
      <c r="AB163" s="2084">
        <f t="shared" si="161"/>
        <v>0.5</v>
      </c>
      <c r="AC163" s="1660">
        <f t="shared" si="149"/>
        <v>0</v>
      </c>
      <c r="AD163" s="1659">
        <f t="shared" si="150"/>
        <v>0</v>
      </c>
      <c r="AE163" s="1659">
        <f t="shared" si="151"/>
        <v>0</v>
      </c>
      <c r="AG163" s="1628" t="s">
        <v>1506</v>
      </c>
      <c r="AH163" s="1691" t="s">
        <v>376</v>
      </c>
      <c r="AI163" s="1735" t="s">
        <v>1544</v>
      </c>
      <c r="AJ163" s="2084">
        <v>0.5</v>
      </c>
      <c r="AK163" s="2084">
        <v>0.5</v>
      </c>
      <c r="AL163" s="2084">
        <v>0.5</v>
      </c>
      <c r="AM163" s="2084">
        <v>0.5</v>
      </c>
      <c r="AN163" s="2084">
        <v>0.5</v>
      </c>
      <c r="AO163" s="2084">
        <v>0.5</v>
      </c>
      <c r="AP163" s="2084">
        <v>0.5</v>
      </c>
      <c r="AQ163" s="2084">
        <v>0.5</v>
      </c>
      <c r="AR163" s="2084">
        <v>0.5</v>
      </c>
      <c r="AS163" s="2084">
        <v>0.5</v>
      </c>
      <c r="AT163" s="2085"/>
      <c r="AU163" s="2084"/>
      <c r="AV163" s="2084"/>
      <c r="AX163" s="1628" t="s">
        <v>1506</v>
      </c>
      <c r="AY163" s="1691" t="s">
        <v>376</v>
      </c>
      <c r="AZ163" s="1735" t="s">
        <v>1544</v>
      </c>
      <c r="BA163" s="2084">
        <v>0.5</v>
      </c>
      <c r="BB163" s="2084">
        <v>0.5</v>
      </c>
      <c r="BC163" s="2084">
        <v>0.5</v>
      </c>
      <c r="BD163" s="2084">
        <v>0.5</v>
      </c>
      <c r="BE163" s="2084">
        <v>0.5</v>
      </c>
      <c r="BF163" s="2084">
        <v>0.5</v>
      </c>
      <c r="BG163" s="2084">
        <v>0.5</v>
      </c>
      <c r="BH163" s="2084">
        <v>0.5</v>
      </c>
      <c r="BI163" s="2084">
        <v>0.5</v>
      </c>
      <c r="BJ163" s="2084">
        <v>0.5</v>
      </c>
      <c r="BK163" s="2085"/>
      <c r="BL163" s="2084"/>
      <c r="BM163" s="2084"/>
      <c r="BO163" s="1628" t="s">
        <v>1590</v>
      </c>
      <c r="BP163" s="1691" t="s">
        <v>376</v>
      </c>
      <c r="BQ163" s="1735" t="s">
        <v>1591</v>
      </c>
      <c r="BR163" s="2084">
        <v>0.5</v>
      </c>
      <c r="BS163" s="2084">
        <v>0.5</v>
      </c>
      <c r="BT163" s="2084">
        <v>0.5</v>
      </c>
      <c r="BU163" s="2084">
        <v>0.5</v>
      </c>
      <c r="BV163" s="2084">
        <v>0.5</v>
      </c>
      <c r="BW163" s="2084">
        <v>0.5</v>
      </c>
      <c r="BX163" s="2084">
        <v>0.5</v>
      </c>
      <c r="BY163" s="2084">
        <v>0.5</v>
      </c>
      <c r="BZ163" s="2084">
        <v>0.5</v>
      </c>
      <c r="CA163" s="2084">
        <v>0.5</v>
      </c>
      <c r="CB163" s="2085"/>
      <c r="CC163" s="2084"/>
      <c r="CD163" s="2084"/>
    </row>
    <row r="164" spans="1:83">
      <c r="B164" s="1595" t="str">
        <f t="shared" si="143"/>
        <v>2.3</v>
      </c>
      <c r="C164" s="1732" t="str">
        <f t="shared" si="140"/>
        <v>地域インフラへの負荷抑制</v>
      </c>
      <c r="D164" s="1714" t="e">
        <f t="shared" si="164"/>
        <v>#DIV/0!</v>
      </c>
      <c r="E164" s="1714" t="e">
        <f t="shared" si="164"/>
        <v>#DIV/0!</v>
      </c>
      <c r="G164" s="1689" t="e">
        <f t="shared" si="138"/>
        <v>#DIV/0!</v>
      </c>
      <c r="H164" s="1689" t="e">
        <f t="shared" si="139"/>
        <v>#DIV/0!</v>
      </c>
      <c r="I164" s="1689" t="e">
        <f>SUM(G165:G168)</f>
        <v>#DIV/0!</v>
      </c>
      <c r="J164" s="1689" t="e">
        <f>SUM(H165:H168)</f>
        <v>#DIV/0!</v>
      </c>
      <c r="K164" s="1689" t="e">
        <f>IF(スコア表示!W164=0,0,1)</f>
        <v>#DIV/0!</v>
      </c>
      <c r="L164" s="1689" t="e">
        <f>IF(スコア表示!AA164=0,0,1)</f>
        <v>#DIV/0!</v>
      </c>
      <c r="M164" s="1689" t="e">
        <f t="shared" si="141"/>
        <v>#DIV/0!</v>
      </c>
      <c r="N164" s="1689" t="e">
        <f t="shared" si="145"/>
        <v>#DIV/0!</v>
      </c>
      <c r="P164" s="2099" t="str">
        <f t="shared" si="146"/>
        <v>2.3</v>
      </c>
      <c r="Q164" s="1691" t="str">
        <f t="shared" si="147"/>
        <v>LR3 2</v>
      </c>
      <c r="R164" s="1735" t="str">
        <f t="shared" si="142"/>
        <v>地域インフラへの負荷抑制</v>
      </c>
      <c r="S164" s="2084">
        <f t="shared" si="152"/>
        <v>0.25</v>
      </c>
      <c r="T164" s="2084">
        <f t="shared" si="153"/>
        <v>0.25</v>
      </c>
      <c r="U164" s="2084">
        <f t="shared" si="154"/>
        <v>0.25</v>
      </c>
      <c r="V164" s="2084">
        <f t="shared" si="155"/>
        <v>0.25</v>
      </c>
      <c r="W164" s="2084">
        <f t="shared" si="156"/>
        <v>0.25</v>
      </c>
      <c r="X164" s="2084">
        <f t="shared" si="157"/>
        <v>0.25</v>
      </c>
      <c r="Y164" s="2084">
        <f t="shared" si="158"/>
        <v>0.25</v>
      </c>
      <c r="Z164" s="2084">
        <f t="shared" si="159"/>
        <v>0.25</v>
      </c>
      <c r="AA164" s="2084">
        <f t="shared" si="160"/>
        <v>0.25</v>
      </c>
      <c r="AB164" s="2084">
        <f t="shared" si="161"/>
        <v>0.25</v>
      </c>
      <c r="AC164" s="1660">
        <f t="shared" si="149"/>
        <v>0</v>
      </c>
      <c r="AD164" s="1659">
        <f t="shared" si="150"/>
        <v>0</v>
      </c>
      <c r="AE164" s="1659">
        <f t="shared" si="151"/>
        <v>0</v>
      </c>
      <c r="AG164" s="1628" t="s">
        <v>1545</v>
      </c>
      <c r="AH164" s="1691" t="s">
        <v>376</v>
      </c>
      <c r="AI164" s="1735" t="s">
        <v>903</v>
      </c>
      <c r="AJ164" s="2084">
        <v>0.25</v>
      </c>
      <c r="AK164" s="2084">
        <v>0.25</v>
      </c>
      <c r="AL164" s="2084">
        <v>0.25</v>
      </c>
      <c r="AM164" s="2084">
        <v>0.25</v>
      </c>
      <c r="AN164" s="2084">
        <v>0.25</v>
      </c>
      <c r="AO164" s="2084">
        <v>0.25</v>
      </c>
      <c r="AP164" s="2084">
        <v>0.25</v>
      </c>
      <c r="AQ164" s="2084">
        <v>0.25</v>
      </c>
      <c r="AR164" s="2084">
        <v>0.25</v>
      </c>
      <c r="AS164" s="2084">
        <v>0.25</v>
      </c>
      <c r="AT164" s="2085"/>
      <c r="AU164" s="2084"/>
      <c r="AV164" s="2084"/>
      <c r="AX164" s="1628" t="s">
        <v>1545</v>
      </c>
      <c r="AY164" s="1691" t="s">
        <v>376</v>
      </c>
      <c r="AZ164" s="1735" t="s">
        <v>903</v>
      </c>
      <c r="BA164" s="2084">
        <v>0.25</v>
      </c>
      <c r="BB164" s="2084">
        <v>0.25</v>
      </c>
      <c r="BC164" s="2084">
        <v>0.25</v>
      </c>
      <c r="BD164" s="2084">
        <v>0.25</v>
      </c>
      <c r="BE164" s="2084">
        <v>0.25</v>
      </c>
      <c r="BF164" s="2084">
        <v>0.25</v>
      </c>
      <c r="BG164" s="2084">
        <v>0.25</v>
      </c>
      <c r="BH164" s="2084">
        <v>0.25</v>
      </c>
      <c r="BI164" s="2084">
        <v>0.25</v>
      </c>
      <c r="BJ164" s="2084">
        <v>0.25</v>
      </c>
      <c r="BK164" s="2085"/>
      <c r="BL164" s="2084"/>
      <c r="BM164" s="2084"/>
      <c r="BO164" s="1628" t="s">
        <v>1592</v>
      </c>
      <c r="BP164" s="1691" t="s">
        <v>376</v>
      </c>
      <c r="BQ164" s="1735" t="s">
        <v>903</v>
      </c>
      <c r="BR164" s="2084">
        <v>0.25</v>
      </c>
      <c r="BS164" s="2084">
        <v>0.25</v>
      </c>
      <c r="BT164" s="2084">
        <v>0.25</v>
      </c>
      <c r="BU164" s="2084">
        <v>0.25</v>
      </c>
      <c r="BV164" s="2084">
        <v>0.25</v>
      </c>
      <c r="BW164" s="2084">
        <v>0.25</v>
      </c>
      <c r="BX164" s="2084">
        <v>0.25</v>
      </c>
      <c r="BY164" s="2084">
        <v>0.25</v>
      </c>
      <c r="BZ164" s="2084">
        <v>0.25</v>
      </c>
      <c r="CA164" s="2084">
        <v>0.25</v>
      </c>
      <c r="CB164" s="2085"/>
      <c r="CC164" s="2084"/>
      <c r="CD164" s="2084"/>
    </row>
    <row r="165" spans="1:83">
      <c r="B165" s="1595" t="str">
        <f t="shared" si="143"/>
        <v>2.3.1</v>
      </c>
      <c r="C165" s="1645" t="str">
        <f t="shared" si="140"/>
        <v>雨水排水負荷低減</v>
      </c>
      <c r="D165" s="1714" t="e">
        <f t="shared" ref="D165:E168" si="165">IF(I$164=0,0,G165/I$164)</f>
        <v>#DIV/0!</v>
      </c>
      <c r="E165" s="1714" t="e">
        <f t="shared" si="165"/>
        <v>#DIV/0!</v>
      </c>
      <c r="G165" s="1689" t="e">
        <f t="shared" si="138"/>
        <v>#DIV/0!</v>
      </c>
      <c r="H165" s="1689" t="e">
        <f t="shared" si="139"/>
        <v>#DIV/0!</v>
      </c>
      <c r="I165" s="1689"/>
      <c r="J165" s="1689"/>
      <c r="K165" s="1689">
        <f>IF(スコア表示!W165=0,0,1)</f>
        <v>1</v>
      </c>
      <c r="L165" s="1689">
        <f>IF(スコア表示!AA165=0,0,1)</f>
        <v>0</v>
      </c>
      <c r="M165" s="1689" t="e">
        <f t="shared" si="141"/>
        <v>#DIV/0!</v>
      </c>
      <c r="N165" s="1689" t="e">
        <f t="shared" si="145"/>
        <v>#DIV/0!</v>
      </c>
      <c r="P165" s="1628" t="str">
        <f t="shared" si="146"/>
        <v>2.3.1</v>
      </c>
      <c r="Q165" s="1691" t="str">
        <f t="shared" si="147"/>
        <v>LR3 2.3</v>
      </c>
      <c r="R165" s="1692" t="str">
        <f t="shared" si="142"/>
        <v>雨水排水負荷低減</v>
      </c>
      <c r="S165" s="1621">
        <f t="shared" si="152"/>
        <v>0.25</v>
      </c>
      <c r="T165" s="1621">
        <f t="shared" si="153"/>
        <v>0.25</v>
      </c>
      <c r="U165" s="1621">
        <f t="shared" si="154"/>
        <v>0.25</v>
      </c>
      <c r="V165" s="1621">
        <f t="shared" si="155"/>
        <v>0.25</v>
      </c>
      <c r="W165" s="1621">
        <f t="shared" si="156"/>
        <v>0.25</v>
      </c>
      <c r="X165" s="1621">
        <f t="shared" si="157"/>
        <v>0.25</v>
      </c>
      <c r="Y165" s="1621">
        <f t="shared" si="158"/>
        <v>0.25</v>
      </c>
      <c r="Z165" s="1621">
        <f t="shared" si="159"/>
        <v>0.25</v>
      </c>
      <c r="AA165" s="1621">
        <f t="shared" si="160"/>
        <v>0.25</v>
      </c>
      <c r="AB165" s="1621">
        <f t="shared" si="161"/>
        <v>0.25</v>
      </c>
      <c r="AC165" s="1660">
        <f t="shared" si="149"/>
        <v>0</v>
      </c>
      <c r="AD165" s="1659">
        <f t="shared" si="150"/>
        <v>0</v>
      </c>
      <c r="AE165" s="1659">
        <f t="shared" si="151"/>
        <v>0</v>
      </c>
      <c r="AG165" s="1628" t="s">
        <v>1417</v>
      </c>
      <c r="AH165" s="1691" t="s">
        <v>377</v>
      </c>
      <c r="AI165" s="1692" t="s">
        <v>1546</v>
      </c>
      <c r="AJ165" s="1621">
        <v>0.25</v>
      </c>
      <c r="AK165" s="1621">
        <v>0.25</v>
      </c>
      <c r="AL165" s="1621">
        <v>0.25</v>
      </c>
      <c r="AM165" s="1621">
        <v>0.25</v>
      </c>
      <c r="AN165" s="1621">
        <v>0.25</v>
      </c>
      <c r="AO165" s="1621">
        <v>0.25</v>
      </c>
      <c r="AP165" s="1621">
        <v>0.25</v>
      </c>
      <c r="AQ165" s="1621">
        <v>0.25</v>
      </c>
      <c r="AR165" s="1621">
        <v>0.25</v>
      </c>
      <c r="AS165" s="1621">
        <v>0.25</v>
      </c>
      <c r="AT165" s="2085"/>
      <c r="AU165" s="2084"/>
      <c r="AV165" s="2084"/>
      <c r="AX165" s="1628" t="s">
        <v>1417</v>
      </c>
      <c r="AY165" s="1691" t="s">
        <v>377</v>
      </c>
      <c r="AZ165" s="1692" t="s">
        <v>1546</v>
      </c>
      <c r="BA165" s="1621">
        <v>0.25</v>
      </c>
      <c r="BB165" s="1621">
        <v>0.25</v>
      </c>
      <c r="BC165" s="1621">
        <v>0.25</v>
      </c>
      <c r="BD165" s="1621">
        <v>0.25</v>
      </c>
      <c r="BE165" s="1621">
        <v>0.25</v>
      </c>
      <c r="BF165" s="1621">
        <v>0.25</v>
      </c>
      <c r="BG165" s="1621">
        <v>0.25</v>
      </c>
      <c r="BH165" s="1621">
        <v>0.25</v>
      </c>
      <c r="BI165" s="1621">
        <v>0.25</v>
      </c>
      <c r="BJ165" s="1621">
        <v>0.25</v>
      </c>
      <c r="BK165" s="2085"/>
      <c r="BL165" s="2084"/>
      <c r="BM165" s="2084"/>
      <c r="BO165" s="1628" t="s">
        <v>1593</v>
      </c>
      <c r="BP165" s="1691" t="s">
        <v>377</v>
      </c>
      <c r="BQ165" s="1692" t="s">
        <v>1594</v>
      </c>
      <c r="BR165" s="1621">
        <v>0.25</v>
      </c>
      <c r="BS165" s="1621">
        <v>0.25</v>
      </c>
      <c r="BT165" s="1621">
        <v>0.25</v>
      </c>
      <c r="BU165" s="1621">
        <v>0.25</v>
      </c>
      <c r="BV165" s="1621">
        <v>0.25</v>
      </c>
      <c r="BW165" s="1621">
        <v>0.25</v>
      </c>
      <c r="BX165" s="1621">
        <v>0.25</v>
      </c>
      <c r="BY165" s="1621">
        <v>0.25</v>
      </c>
      <c r="BZ165" s="1621">
        <v>0.25</v>
      </c>
      <c r="CA165" s="1621">
        <v>0.25</v>
      </c>
      <c r="CB165" s="2085"/>
      <c r="CC165" s="2084"/>
      <c r="CD165" s="2084"/>
    </row>
    <row r="166" spans="1:83">
      <c r="B166" s="1595" t="str">
        <f t="shared" si="143"/>
        <v>2.3.2</v>
      </c>
      <c r="C166" s="1645" t="str">
        <f t="shared" si="140"/>
        <v>汚水処理負荷抑制</v>
      </c>
      <c r="D166" s="1714" t="e">
        <f t="shared" si="165"/>
        <v>#DIV/0!</v>
      </c>
      <c r="E166" s="1714" t="e">
        <f t="shared" si="165"/>
        <v>#DIV/0!</v>
      </c>
      <c r="G166" s="1689" t="e">
        <f t="shared" si="138"/>
        <v>#DIV/0!</v>
      </c>
      <c r="H166" s="1689" t="e">
        <f t="shared" si="139"/>
        <v>#DIV/0!</v>
      </c>
      <c r="I166" s="1689"/>
      <c r="J166" s="1689"/>
      <c r="K166" s="1689">
        <f>IF(スコア表示!W166=0,0,1)</f>
        <v>1</v>
      </c>
      <c r="L166" s="1689">
        <f>IF(スコア表示!AA166=0,0,1)</f>
        <v>0</v>
      </c>
      <c r="M166" s="1689" t="e">
        <f t="shared" si="141"/>
        <v>#DIV/0!</v>
      </c>
      <c r="N166" s="1689" t="e">
        <f t="shared" si="145"/>
        <v>#DIV/0!</v>
      </c>
      <c r="P166" s="1628" t="str">
        <f t="shared" si="146"/>
        <v>2.3.2</v>
      </c>
      <c r="Q166" s="1691" t="str">
        <f t="shared" si="147"/>
        <v>LR3 2.3</v>
      </c>
      <c r="R166" s="1692" t="str">
        <f t="shared" si="142"/>
        <v>汚水処理負荷抑制</v>
      </c>
      <c r="S166" s="1621">
        <f t="shared" si="152"/>
        <v>0.25</v>
      </c>
      <c r="T166" s="1621">
        <f t="shared" si="153"/>
        <v>0.25</v>
      </c>
      <c r="U166" s="1621">
        <f t="shared" si="154"/>
        <v>0.25</v>
      </c>
      <c r="V166" s="1621">
        <f t="shared" si="155"/>
        <v>0.25</v>
      </c>
      <c r="W166" s="1621">
        <f t="shared" si="156"/>
        <v>0.25</v>
      </c>
      <c r="X166" s="1621">
        <f t="shared" si="157"/>
        <v>0.25</v>
      </c>
      <c r="Y166" s="1621">
        <f t="shared" si="158"/>
        <v>0.25</v>
      </c>
      <c r="Z166" s="1621">
        <f t="shared" si="159"/>
        <v>0.25</v>
      </c>
      <c r="AA166" s="1621">
        <f t="shared" si="160"/>
        <v>0.25</v>
      </c>
      <c r="AB166" s="1621">
        <f t="shared" si="161"/>
        <v>0.25</v>
      </c>
      <c r="AC166" s="1660">
        <f t="shared" si="149"/>
        <v>0</v>
      </c>
      <c r="AD166" s="1659">
        <f t="shared" si="150"/>
        <v>0</v>
      </c>
      <c r="AE166" s="1659">
        <f t="shared" si="151"/>
        <v>0</v>
      </c>
      <c r="AG166" s="1628" t="s">
        <v>1419</v>
      </c>
      <c r="AH166" s="1691" t="s">
        <v>377</v>
      </c>
      <c r="AI166" s="1692" t="s">
        <v>1547</v>
      </c>
      <c r="AJ166" s="1621">
        <v>0.25</v>
      </c>
      <c r="AK166" s="1621">
        <v>0.25</v>
      </c>
      <c r="AL166" s="1621">
        <v>0.25</v>
      </c>
      <c r="AM166" s="1621">
        <v>0.25</v>
      </c>
      <c r="AN166" s="1621">
        <v>0.25</v>
      </c>
      <c r="AO166" s="1621">
        <v>0.25</v>
      </c>
      <c r="AP166" s="1621">
        <v>0.25</v>
      </c>
      <c r="AQ166" s="1621">
        <v>0.25</v>
      </c>
      <c r="AR166" s="1621">
        <v>0.25</v>
      </c>
      <c r="AS166" s="1621">
        <v>0.25</v>
      </c>
      <c r="AT166" s="2085"/>
      <c r="AU166" s="2084"/>
      <c r="AV166" s="2084"/>
      <c r="AX166" s="1628" t="s">
        <v>1419</v>
      </c>
      <c r="AY166" s="1691" t="s">
        <v>377</v>
      </c>
      <c r="AZ166" s="1692" t="s">
        <v>1547</v>
      </c>
      <c r="BA166" s="1621">
        <v>0.25</v>
      </c>
      <c r="BB166" s="1621">
        <v>0.25</v>
      </c>
      <c r="BC166" s="1621">
        <v>0.25</v>
      </c>
      <c r="BD166" s="1621">
        <v>0.25</v>
      </c>
      <c r="BE166" s="1621">
        <v>0.25</v>
      </c>
      <c r="BF166" s="1621">
        <v>0.25</v>
      </c>
      <c r="BG166" s="1621">
        <v>0.25</v>
      </c>
      <c r="BH166" s="1621">
        <v>0.25</v>
      </c>
      <c r="BI166" s="1621">
        <v>0.25</v>
      </c>
      <c r="BJ166" s="1621">
        <v>0.25</v>
      </c>
      <c r="BK166" s="2085"/>
      <c r="BL166" s="2084"/>
      <c r="BM166" s="2084"/>
      <c r="BO166" s="1628" t="s">
        <v>1595</v>
      </c>
      <c r="BP166" s="1691" t="s">
        <v>377</v>
      </c>
      <c r="BQ166" s="1692" t="s">
        <v>1596</v>
      </c>
      <c r="BR166" s="1621">
        <v>0.25</v>
      </c>
      <c r="BS166" s="1621">
        <v>0.25</v>
      </c>
      <c r="BT166" s="1621">
        <v>0.25</v>
      </c>
      <c r="BU166" s="1621">
        <v>0.25</v>
      </c>
      <c r="BV166" s="1621">
        <v>0.25</v>
      </c>
      <c r="BW166" s="1621">
        <v>0.25</v>
      </c>
      <c r="BX166" s="1621">
        <v>0.25</v>
      </c>
      <c r="BY166" s="1621">
        <v>0.25</v>
      </c>
      <c r="BZ166" s="1621">
        <v>0.25</v>
      </c>
      <c r="CA166" s="1621">
        <v>0.25</v>
      </c>
      <c r="CB166" s="2085"/>
      <c r="CC166" s="2084"/>
      <c r="CD166" s="2084"/>
    </row>
    <row r="167" spans="1:83">
      <c r="B167" s="1595" t="str">
        <f t="shared" si="143"/>
        <v>2.3.3</v>
      </c>
      <c r="C167" s="1645" t="str">
        <f t="shared" si="140"/>
        <v>交通負荷抑制</v>
      </c>
      <c r="D167" s="1714" t="e">
        <f t="shared" si="165"/>
        <v>#DIV/0!</v>
      </c>
      <c r="E167" s="1714" t="e">
        <f t="shared" si="165"/>
        <v>#DIV/0!</v>
      </c>
      <c r="G167" s="1689" t="e">
        <f t="shared" si="138"/>
        <v>#DIV/0!</v>
      </c>
      <c r="H167" s="1689" t="e">
        <f t="shared" si="139"/>
        <v>#DIV/0!</v>
      </c>
      <c r="I167" s="1689"/>
      <c r="J167" s="1689"/>
      <c r="K167" s="1689">
        <f>IF(スコア表示!W167=0,0,1)</f>
        <v>1</v>
      </c>
      <c r="L167" s="1689">
        <f>IF(スコア表示!AA167=0,0,1)</f>
        <v>0</v>
      </c>
      <c r="M167" s="1689" t="e">
        <f t="shared" si="141"/>
        <v>#DIV/0!</v>
      </c>
      <c r="N167" s="1689" t="e">
        <f t="shared" si="145"/>
        <v>#DIV/0!</v>
      </c>
      <c r="P167" s="1628" t="str">
        <f t="shared" si="146"/>
        <v>2.3.3</v>
      </c>
      <c r="Q167" s="1691" t="str">
        <f t="shared" si="147"/>
        <v>LR3 2.3</v>
      </c>
      <c r="R167" s="1692" t="str">
        <f t="shared" si="142"/>
        <v>交通負荷抑制</v>
      </c>
      <c r="S167" s="1621">
        <f t="shared" si="152"/>
        <v>0.25</v>
      </c>
      <c r="T167" s="1621">
        <f t="shared" si="153"/>
        <v>0.25</v>
      </c>
      <c r="U167" s="1621">
        <f t="shared" si="154"/>
        <v>0.25</v>
      </c>
      <c r="V167" s="1621">
        <f t="shared" si="155"/>
        <v>0.25</v>
      </c>
      <c r="W167" s="1621">
        <f t="shared" si="156"/>
        <v>0.25</v>
      </c>
      <c r="X167" s="1621">
        <f t="shared" si="157"/>
        <v>0.25</v>
      </c>
      <c r="Y167" s="1621">
        <f t="shared" si="158"/>
        <v>0.25</v>
      </c>
      <c r="Z167" s="1621">
        <f t="shared" si="159"/>
        <v>0.25</v>
      </c>
      <c r="AA167" s="1621">
        <f t="shared" si="160"/>
        <v>0.25</v>
      </c>
      <c r="AB167" s="1621">
        <f t="shared" si="161"/>
        <v>0.25</v>
      </c>
      <c r="AC167" s="1660">
        <f t="shared" si="149"/>
        <v>0</v>
      </c>
      <c r="AD167" s="1659">
        <f t="shared" si="150"/>
        <v>0</v>
      </c>
      <c r="AE167" s="1659">
        <f t="shared" si="151"/>
        <v>0</v>
      </c>
      <c r="AG167" s="1628" t="s">
        <v>1548</v>
      </c>
      <c r="AH167" s="1691" t="s">
        <v>377</v>
      </c>
      <c r="AI167" s="1692" t="s">
        <v>1104</v>
      </c>
      <c r="AJ167" s="1621">
        <v>0.25</v>
      </c>
      <c r="AK167" s="1621">
        <v>0.25</v>
      </c>
      <c r="AL167" s="1621">
        <v>0.25</v>
      </c>
      <c r="AM167" s="1621">
        <v>0.25</v>
      </c>
      <c r="AN167" s="1621">
        <v>0.25</v>
      </c>
      <c r="AO167" s="1621">
        <v>0.25</v>
      </c>
      <c r="AP167" s="1621">
        <v>0.25</v>
      </c>
      <c r="AQ167" s="1621">
        <v>0.25</v>
      </c>
      <c r="AR167" s="1621">
        <v>0.25</v>
      </c>
      <c r="AS167" s="1621">
        <v>0.25</v>
      </c>
      <c r="AT167" s="2085"/>
      <c r="AU167" s="2084"/>
      <c r="AV167" s="2084"/>
      <c r="AX167" s="1628" t="s">
        <v>1548</v>
      </c>
      <c r="AY167" s="1691" t="s">
        <v>377</v>
      </c>
      <c r="AZ167" s="1692" t="s">
        <v>1104</v>
      </c>
      <c r="BA167" s="1621">
        <v>0.25</v>
      </c>
      <c r="BB167" s="1621">
        <v>0.25</v>
      </c>
      <c r="BC167" s="1621">
        <v>0.25</v>
      </c>
      <c r="BD167" s="1621">
        <v>0.25</v>
      </c>
      <c r="BE167" s="1621">
        <v>0.25</v>
      </c>
      <c r="BF167" s="1621">
        <v>0.25</v>
      </c>
      <c r="BG167" s="1621">
        <v>0.25</v>
      </c>
      <c r="BH167" s="1621">
        <v>0.25</v>
      </c>
      <c r="BI167" s="1621">
        <v>0.25</v>
      </c>
      <c r="BJ167" s="1621">
        <v>0.25</v>
      </c>
      <c r="BK167" s="2085"/>
      <c r="BL167" s="2084"/>
      <c r="BM167" s="2084"/>
      <c r="BO167" s="1628" t="s">
        <v>1597</v>
      </c>
      <c r="BP167" s="1691" t="s">
        <v>377</v>
      </c>
      <c r="BQ167" s="1692" t="s">
        <v>1104</v>
      </c>
      <c r="BR167" s="1621">
        <v>0.25</v>
      </c>
      <c r="BS167" s="1621">
        <v>0.25</v>
      </c>
      <c r="BT167" s="1621">
        <v>0.25</v>
      </c>
      <c r="BU167" s="1621">
        <v>0.25</v>
      </c>
      <c r="BV167" s="1621">
        <v>0.25</v>
      </c>
      <c r="BW167" s="1621">
        <v>0.25</v>
      </c>
      <c r="BX167" s="1621">
        <v>0.25</v>
      </c>
      <c r="BY167" s="1621">
        <v>0.25</v>
      </c>
      <c r="BZ167" s="1621">
        <v>0.25</v>
      </c>
      <c r="CA167" s="1621">
        <v>0.25</v>
      </c>
      <c r="CB167" s="2085"/>
      <c r="CC167" s="2084"/>
      <c r="CD167" s="2084"/>
    </row>
    <row r="168" spans="1:83">
      <c r="B168" s="1595" t="str">
        <f t="shared" si="143"/>
        <v>2.3.4</v>
      </c>
      <c r="C168" s="1732" t="str">
        <f t="shared" si="140"/>
        <v>廃棄物処理負荷抑制</v>
      </c>
      <c r="D168" s="1714" t="e">
        <f t="shared" si="165"/>
        <v>#DIV/0!</v>
      </c>
      <c r="E168" s="1714" t="e">
        <f t="shared" si="165"/>
        <v>#DIV/0!</v>
      </c>
      <c r="G168" s="1689" t="e">
        <f t="shared" si="138"/>
        <v>#DIV/0!</v>
      </c>
      <c r="H168" s="1689" t="e">
        <f t="shared" si="139"/>
        <v>#DIV/0!</v>
      </c>
      <c r="I168" s="1689"/>
      <c r="J168" s="1689"/>
      <c r="K168" s="1689">
        <f>IF(スコア表示!W168=0,0,1)</f>
        <v>1</v>
      </c>
      <c r="L168" s="1689">
        <f>IF(スコア表示!AA168=0,0,1)</f>
        <v>0</v>
      </c>
      <c r="M168" s="1689" t="e">
        <f t="shared" si="141"/>
        <v>#DIV/0!</v>
      </c>
      <c r="N168" s="1689" t="e">
        <f t="shared" si="145"/>
        <v>#DIV/0!</v>
      </c>
      <c r="P168" s="1628" t="str">
        <f t="shared" si="146"/>
        <v>2.3.4</v>
      </c>
      <c r="Q168" s="1691" t="str">
        <f t="shared" si="147"/>
        <v>LR3 2.3</v>
      </c>
      <c r="R168" s="1693" t="str">
        <f t="shared" si="142"/>
        <v>廃棄物処理負荷抑制</v>
      </c>
      <c r="S168" s="1621">
        <f t="shared" si="152"/>
        <v>0.25</v>
      </c>
      <c r="T168" s="1621">
        <f t="shared" si="153"/>
        <v>0.25</v>
      </c>
      <c r="U168" s="1621">
        <f t="shared" si="154"/>
        <v>0.25</v>
      </c>
      <c r="V168" s="1621">
        <f t="shared" si="155"/>
        <v>0.25</v>
      </c>
      <c r="W168" s="1621">
        <f t="shared" si="156"/>
        <v>0.25</v>
      </c>
      <c r="X168" s="1621">
        <f t="shared" si="157"/>
        <v>0.25</v>
      </c>
      <c r="Y168" s="1621">
        <f t="shared" si="158"/>
        <v>0.25</v>
      </c>
      <c r="Z168" s="1621">
        <f t="shared" si="159"/>
        <v>0.25</v>
      </c>
      <c r="AA168" s="1621">
        <f t="shared" si="160"/>
        <v>0.25</v>
      </c>
      <c r="AB168" s="1621">
        <f t="shared" si="161"/>
        <v>0.25</v>
      </c>
      <c r="AC168" s="1660">
        <f t="shared" si="149"/>
        <v>0</v>
      </c>
      <c r="AD168" s="1659">
        <f t="shared" si="150"/>
        <v>0</v>
      </c>
      <c r="AE168" s="1659">
        <f t="shared" si="151"/>
        <v>0</v>
      </c>
      <c r="AG168" s="1628" t="s">
        <v>1549</v>
      </c>
      <c r="AH168" s="1691" t="s">
        <v>377</v>
      </c>
      <c r="AI168" s="1693" t="s">
        <v>1105</v>
      </c>
      <c r="AJ168" s="1621">
        <v>0.25</v>
      </c>
      <c r="AK168" s="1621">
        <v>0.25</v>
      </c>
      <c r="AL168" s="1621">
        <v>0.25</v>
      </c>
      <c r="AM168" s="1621">
        <v>0.25</v>
      </c>
      <c r="AN168" s="1621">
        <v>0.25</v>
      </c>
      <c r="AO168" s="1621">
        <v>0.25</v>
      </c>
      <c r="AP168" s="1621">
        <v>0.25</v>
      </c>
      <c r="AQ168" s="1621">
        <v>0.25</v>
      </c>
      <c r="AR168" s="1621">
        <v>0.25</v>
      </c>
      <c r="AS168" s="1621">
        <v>0.25</v>
      </c>
      <c r="AT168" s="2085"/>
      <c r="AU168" s="2084"/>
      <c r="AV168" s="2084"/>
      <c r="AX168" s="1628" t="s">
        <v>1549</v>
      </c>
      <c r="AY168" s="1691" t="s">
        <v>377</v>
      </c>
      <c r="AZ168" s="1693" t="s">
        <v>1105</v>
      </c>
      <c r="BA168" s="1621">
        <v>0.25</v>
      </c>
      <c r="BB168" s="1621">
        <v>0.25</v>
      </c>
      <c r="BC168" s="1621">
        <v>0.25</v>
      </c>
      <c r="BD168" s="1621">
        <v>0.25</v>
      </c>
      <c r="BE168" s="1621">
        <v>0.25</v>
      </c>
      <c r="BF168" s="1621">
        <v>0.25</v>
      </c>
      <c r="BG168" s="1621">
        <v>0.25</v>
      </c>
      <c r="BH168" s="1621">
        <v>0.25</v>
      </c>
      <c r="BI168" s="1621">
        <v>0.25</v>
      </c>
      <c r="BJ168" s="1621">
        <v>0.25</v>
      </c>
      <c r="BK168" s="2085"/>
      <c r="BL168" s="2084"/>
      <c r="BM168" s="2084"/>
      <c r="BO168" s="1628" t="s">
        <v>1598</v>
      </c>
      <c r="BP168" s="1691" t="s">
        <v>377</v>
      </c>
      <c r="BQ168" s="1693" t="s">
        <v>1105</v>
      </c>
      <c r="BR168" s="1621">
        <v>0.25</v>
      </c>
      <c r="BS168" s="1621">
        <v>0.25</v>
      </c>
      <c r="BT168" s="1621">
        <v>0.25</v>
      </c>
      <c r="BU168" s="1621">
        <v>0.25</v>
      </c>
      <c r="BV168" s="1621">
        <v>0.25</v>
      </c>
      <c r="BW168" s="1621">
        <v>0.25</v>
      </c>
      <c r="BX168" s="1621">
        <v>0.25</v>
      </c>
      <c r="BY168" s="1621">
        <v>0.25</v>
      </c>
      <c r="BZ168" s="1621">
        <v>0.25</v>
      </c>
      <c r="CA168" s="1621">
        <v>0.25</v>
      </c>
      <c r="CB168" s="2085"/>
      <c r="CC168" s="2084"/>
      <c r="CD168" s="2084"/>
    </row>
    <row r="169" spans="1:83" s="1603" customFormat="1">
      <c r="A169"/>
      <c r="B169" s="1595">
        <f t="shared" si="143"/>
        <v>3</v>
      </c>
      <c r="C169" s="1687" t="str">
        <f t="shared" si="140"/>
        <v>周辺環境への配慮</v>
      </c>
      <c r="D169" s="2059" t="e">
        <f>IF(I$159=0,0,G169/I$159)</f>
        <v>#DIV/0!</v>
      </c>
      <c r="E169" s="2059" t="e">
        <f>IF(J$159=0,0,H169/J$159)</f>
        <v>#DIV/0!</v>
      </c>
      <c r="F169"/>
      <c r="G169" s="1741" t="e">
        <f t="shared" ref="G169:G180" si="166">K169*M169</f>
        <v>#DIV/0!</v>
      </c>
      <c r="H169" s="1741" t="e">
        <f t="shared" ref="H169:H180" si="167">L169*N169</f>
        <v>#DIV/0!</v>
      </c>
      <c r="I169" s="1741" t="e">
        <f>G170+G174+G178</f>
        <v>#DIV/0!</v>
      </c>
      <c r="J169" s="1741" t="e">
        <f>H170+H174+H178</f>
        <v>#DIV/0!</v>
      </c>
      <c r="K169" s="1741" t="e">
        <f>IF(スコア表示!W169=0,0,1)</f>
        <v>#DIV/0!</v>
      </c>
      <c r="L169" s="1741" t="e">
        <f>IF(スコア表示!AA169=0,0,1)</f>
        <v>#DIV/0!</v>
      </c>
      <c r="M169" s="1741" t="e">
        <f t="shared" si="141"/>
        <v>#DIV/0!</v>
      </c>
      <c r="N169" s="1741" t="e">
        <f t="shared" si="145"/>
        <v>#DIV/0!</v>
      </c>
      <c r="O169"/>
      <c r="P169" s="2098">
        <f t="shared" si="146"/>
        <v>3</v>
      </c>
      <c r="Q169" s="1742" t="str">
        <f t="shared" si="147"/>
        <v>LR3</v>
      </c>
      <c r="R169" s="1778" t="str">
        <f t="shared" si="142"/>
        <v>周辺環境への配慮</v>
      </c>
      <c r="S169" s="1709">
        <f t="shared" si="152"/>
        <v>0.33333333333333331</v>
      </c>
      <c r="T169" s="1709">
        <f t="shared" si="153"/>
        <v>0.33333333333333331</v>
      </c>
      <c r="U169" s="1709">
        <f t="shared" si="154"/>
        <v>0.33333333333333331</v>
      </c>
      <c r="V169" s="1709">
        <f t="shared" si="155"/>
        <v>0.33333333333333331</v>
      </c>
      <c r="W169" s="1709">
        <f t="shared" si="156"/>
        <v>0.33333333333333331</v>
      </c>
      <c r="X169" s="1709">
        <f t="shared" si="157"/>
        <v>0.33333333333333331</v>
      </c>
      <c r="Y169" s="1709">
        <f t="shared" si="158"/>
        <v>0.33333333333333331</v>
      </c>
      <c r="Z169" s="1709">
        <f t="shared" si="159"/>
        <v>0.33333333333333331</v>
      </c>
      <c r="AA169" s="1709">
        <f t="shared" si="160"/>
        <v>0.33333333333333331</v>
      </c>
      <c r="AB169" s="1709">
        <f t="shared" si="161"/>
        <v>0.33333333333333331</v>
      </c>
      <c r="AC169" s="1657">
        <f t="shared" si="149"/>
        <v>0</v>
      </c>
      <c r="AD169" s="1608">
        <f t="shared" si="150"/>
        <v>0</v>
      </c>
      <c r="AE169" s="1608">
        <f t="shared" si="151"/>
        <v>0</v>
      </c>
      <c r="AF169"/>
      <c r="AG169" s="1639">
        <v>3</v>
      </c>
      <c r="AH169" s="1742" t="s">
        <v>375</v>
      </c>
      <c r="AI169" s="1778" t="s">
        <v>1106</v>
      </c>
      <c r="AJ169" s="1709">
        <v>0.33333333333333331</v>
      </c>
      <c r="AK169" s="1709">
        <v>0.33333333333333331</v>
      </c>
      <c r="AL169" s="1709">
        <v>0.33333333333333331</v>
      </c>
      <c r="AM169" s="1709">
        <v>0.33333333333333331</v>
      </c>
      <c r="AN169" s="1709">
        <v>0.33333333333333331</v>
      </c>
      <c r="AO169" s="1709">
        <v>0.33333333333333331</v>
      </c>
      <c r="AP169" s="1709">
        <v>0.33333333333333331</v>
      </c>
      <c r="AQ169" s="1709">
        <v>0.33333333333333331</v>
      </c>
      <c r="AR169" s="1709">
        <v>0.33333333333333331</v>
      </c>
      <c r="AS169" s="1709">
        <v>0.33333333333333331</v>
      </c>
      <c r="AT169" s="2060">
        <v>0</v>
      </c>
      <c r="AU169" s="1709">
        <v>0</v>
      </c>
      <c r="AV169" s="1709">
        <v>0</v>
      </c>
      <c r="AW169"/>
      <c r="AX169" s="1639">
        <v>3</v>
      </c>
      <c r="AY169" s="1742" t="s">
        <v>375</v>
      </c>
      <c r="AZ169" s="1778" t="s">
        <v>1106</v>
      </c>
      <c r="BA169" s="1709">
        <f t="shared" ref="BA169:BJ169" si="168">1/3</f>
        <v>0.33333333333333331</v>
      </c>
      <c r="BB169" s="1709">
        <f t="shared" si="168"/>
        <v>0.33333333333333331</v>
      </c>
      <c r="BC169" s="1709">
        <f t="shared" si="168"/>
        <v>0.33333333333333331</v>
      </c>
      <c r="BD169" s="1709">
        <f t="shared" si="168"/>
        <v>0.33333333333333331</v>
      </c>
      <c r="BE169" s="1709">
        <f t="shared" si="168"/>
        <v>0.33333333333333331</v>
      </c>
      <c r="BF169" s="1709">
        <f t="shared" si="168"/>
        <v>0.33333333333333331</v>
      </c>
      <c r="BG169" s="1709">
        <f t="shared" si="168"/>
        <v>0.33333333333333331</v>
      </c>
      <c r="BH169" s="1709">
        <f t="shared" si="168"/>
        <v>0.33333333333333331</v>
      </c>
      <c r="BI169" s="1709">
        <f t="shared" si="168"/>
        <v>0.33333333333333331</v>
      </c>
      <c r="BJ169" s="1709">
        <f t="shared" si="168"/>
        <v>0.33333333333333331</v>
      </c>
      <c r="BK169" s="2060"/>
      <c r="BL169" s="1709"/>
      <c r="BM169" s="1709"/>
      <c r="BN169"/>
      <c r="BO169" s="1639">
        <v>3</v>
      </c>
      <c r="BP169" s="1742" t="s">
        <v>375</v>
      </c>
      <c r="BQ169" s="1778" t="s">
        <v>1106</v>
      </c>
      <c r="BR169" s="1709">
        <f t="shared" ref="BR169:CA169" si="169">1/3</f>
        <v>0.33333333333333331</v>
      </c>
      <c r="BS169" s="1709">
        <f t="shared" si="169"/>
        <v>0.33333333333333331</v>
      </c>
      <c r="BT169" s="1709">
        <f t="shared" si="169"/>
        <v>0.33333333333333331</v>
      </c>
      <c r="BU169" s="1709">
        <f t="shared" si="169"/>
        <v>0.33333333333333331</v>
      </c>
      <c r="BV169" s="1709">
        <f t="shared" si="169"/>
        <v>0.33333333333333331</v>
      </c>
      <c r="BW169" s="1709">
        <f t="shared" si="169"/>
        <v>0.33333333333333331</v>
      </c>
      <c r="BX169" s="1709">
        <f t="shared" si="169"/>
        <v>0.33333333333333331</v>
      </c>
      <c r="BY169" s="1709">
        <f t="shared" si="169"/>
        <v>0.33333333333333331</v>
      </c>
      <c r="BZ169" s="1709">
        <f t="shared" si="169"/>
        <v>0.33333333333333331</v>
      </c>
      <c r="CA169" s="1709">
        <f t="shared" si="169"/>
        <v>0.33333333333333331</v>
      </c>
      <c r="CB169" s="2060"/>
      <c r="CC169" s="1709"/>
      <c r="CD169" s="1709"/>
      <c r="CE169"/>
    </row>
    <row r="170" spans="1:83">
      <c r="B170" s="1595" t="str">
        <f t="shared" si="143"/>
        <v>3.1</v>
      </c>
      <c r="C170" s="1732" t="str">
        <f t="shared" si="140"/>
        <v>騒音・振動・悪臭の防止</v>
      </c>
      <c r="D170" s="1714" t="e">
        <f>IF(I$169=0,0,G170/I$169)</f>
        <v>#DIV/0!</v>
      </c>
      <c r="E170" s="1714" t="e">
        <f>IF(J$169=0,0,H170/J$169)</f>
        <v>#DIV/0!</v>
      </c>
      <c r="G170" s="1689" t="e">
        <f t="shared" si="166"/>
        <v>#DIV/0!</v>
      </c>
      <c r="H170" s="1689" t="e">
        <f t="shared" si="167"/>
        <v>#DIV/0!</v>
      </c>
      <c r="I170" s="1689" t="e">
        <f>SUM(G171:G173)</f>
        <v>#DIV/0!</v>
      </c>
      <c r="J170" s="1689" t="e">
        <f>SUM(H171:H173)</f>
        <v>#DIV/0!</v>
      </c>
      <c r="K170" s="1689" t="e">
        <f>IF(スコア表示!W170=0,0,1)</f>
        <v>#DIV/0!</v>
      </c>
      <c r="L170" s="1689" t="e">
        <f>IF(スコア表示!AA170=0,0,1)</f>
        <v>#DIV/0!</v>
      </c>
      <c r="M170" s="1689" t="e">
        <f t="shared" si="141"/>
        <v>#DIV/0!</v>
      </c>
      <c r="N170" s="1689" t="e">
        <f t="shared" si="145"/>
        <v>#DIV/0!</v>
      </c>
      <c r="P170" s="2099" t="str">
        <f t="shared" si="146"/>
        <v>3.1</v>
      </c>
      <c r="Q170" s="1691" t="str">
        <f t="shared" si="147"/>
        <v>LR3 3</v>
      </c>
      <c r="R170" s="1735" t="str">
        <f t="shared" si="142"/>
        <v>騒音・振動・悪臭の防止</v>
      </c>
      <c r="S170" s="2084">
        <f t="shared" si="152"/>
        <v>0.4</v>
      </c>
      <c r="T170" s="2084">
        <f t="shared" si="153"/>
        <v>0.4</v>
      </c>
      <c r="U170" s="2084">
        <f t="shared" si="154"/>
        <v>0.4</v>
      </c>
      <c r="V170" s="2084">
        <f t="shared" si="155"/>
        <v>0.4</v>
      </c>
      <c r="W170" s="2084">
        <f t="shared" si="156"/>
        <v>0.4</v>
      </c>
      <c r="X170" s="2084">
        <f t="shared" si="157"/>
        <v>0.4</v>
      </c>
      <c r="Y170" s="2084">
        <f t="shared" si="158"/>
        <v>0.4</v>
      </c>
      <c r="Z170" s="2084">
        <f t="shared" si="159"/>
        <v>0.4</v>
      </c>
      <c r="AA170" s="2084">
        <f t="shared" si="160"/>
        <v>0.4</v>
      </c>
      <c r="AB170" s="2084">
        <f t="shared" si="161"/>
        <v>0.4</v>
      </c>
      <c r="AC170" s="1660">
        <f t="shared" si="149"/>
        <v>0</v>
      </c>
      <c r="AD170" s="1659">
        <f t="shared" si="150"/>
        <v>0</v>
      </c>
      <c r="AE170" s="1659">
        <f t="shared" si="151"/>
        <v>0</v>
      </c>
      <c r="AG170" s="1628" t="s">
        <v>1491</v>
      </c>
      <c r="AH170" s="1691" t="s">
        <v>378</v>
      </c>
      <c r="AI170" s="1735" t="s">
        <v>1107</v>
      </c>
      <c r="AJ170" s="2084">
        <v>0.4</v>
      </c>
      <c r="AK170" s="2084">
        <v>0.4</v>
      </c>
      <c r="AL170" s="2084">
        <v>0.4</v>
      </c>
      <c r="AM170" s="2084">
        <v>0.4</v>
      </c>
      <c r="AN170" s="2084">
        <v>0.4</v>
      </c>
      <c r="AO170" s="2084">
        <v>0.4</v>
      </c>
      <c r="AP170" s="2084">
        <v>0.4</v>
      </c>
      <c r="AQ170" s="2084">
        <v>0.4</v>
      </c>
      <c r="AR170" s="2084">
        <v>0.4</v>
      </c>
      <c r="AS170" s="2084">
        <v>0.4</v>
      </c>
      <c r="AT170" s="2085"/>
      <c r="AU170" s="2084"/>
      <c r="AV170" s="2084"/>
      <c r="AX170" s="1628" t="s">
        <v>1491</v>
      </c>
      <c r="AY170" s="1691" t="s">
        <v>378</v>
      </c>
      <c r="AZ170" s="1735" t="s">
        <v>1107</v>
      </c>
      <c r="BA170" s="2084">
        <v>0.4</v>
      </c>
      <c r="BB170" s="2084">
        <v>0.4</v>
      </c>
      <c r="BC170" s="2084">
        <v>0.4</v>
      </c>
      <c r="BD170" s="2084">
        <v>0.4</v>
      </c>
      <c r="BE170" s="2084">
        <v>0.4</v>
      </c>
      <c r="BF170" s="2084">
        <v>0.4</v>
      </c>
      <c r="BG170" s="2084">
        <v>0.4</v>
      </c>
      <c r="BH170" s="2084">
        <v>0.4</v>
      </c>
      <c r="BI170" s="2084">
        <v>0.4</v>
      </c>
      <c r="BJ170" s="2084">
        <v>0.4</v>
      </c>
      <c r="BK170" s="2085"/>
      <c r="BL170" s="2084"/>
      <c r="BM170" s="2084"/>
      <c r="BO170" s="1628" t="s">
        <v>1599</v>
      </c>
      <c r="BP170" s="1691" t="s">
        <v>378</v>
      </c>
      <c r="BQ170" s="1735" t="s">
        <v>1107</v>
      </c>
      <c r="BR170" s="2084">
        <v>0.4</v>
      </c>
      <c r="BS170" s="2084">
        <v>0.4</v>
      </c>
      <c r="BT170" s="2084">
        <v>0.4</v>
      </c>
      <c r="BU170" s="2084">
        <v>0.4</v>
      </c>
      <c r="BV170" s="2084">
        <v>0.4</v>
      </c>
      <c r="BW170" s="2084">
        <v>0.4</v>
      </c>
      <c r="BX170" s="2084">
        <v>0.4</v>
      </c>
      <c r="BY170" s="2084">
        <v>0.4</v>
      </c>
      <c r="BZ170" s="2084">
        <v>0.4</v>
      </c>
      <c r="CA170" s="2084">
        <v>0.4</v>
      </c>
      <c r="CB170" s="2085"/>
      <c r="CC170" s="2084"/>
      <c r="CD170" s="2084"/>
    </row>
    <row r="171" spans="1:83">
      <c r="B171" s="1595" t="str">
        <f t="shared" si="143"/>
        <v>3.1.1</v>
      </c>
      <c r="C171" s="1639" t="str">
        <f t="shared" si="140"/>
        <v>騒音</v>
      </c>
      <c r="D171" s="1714" t="e">
        <f t="shared" ref="D171:E173" si="170">IF(I$170=0,0,G171/I$170)</f>
        <v>#DIV/0!</v>
      </c>
      <c r="E171" s="1714" t="e">
        <f t="shared" si="170"/>
        <v>#DIV/0!</v>
      </c>
      <c r="G171" s="1689" t="e">
        <f t="shared" si="166"/>
        <v>#DIV/0!</v>
      </c>
      <c r="H171" s="1689" t="e">
        <f t="shared" si="167"/>
        <v>#DIV/0!</v>
      </c>
      <c r="I171" s="1689"/>
      <c r="J171" s="1689"/>
      <c r="K171" s="1689">
        <f>IF(スコア表示!W171=0,0,1)</f>
        <v>1</v>
      </c>
      <c r="L171" s="1689">
        <f>IF(スコア表示!AA171=0,0,1)</f>
        <v>0</v>
      </c>
      <c r="M171" s="1689" t="e">
        <f t="shared" si="141"/>
        <v>#DIV/0!</v>
      </c>
      <c r="N171" s="1689" t="e">
        <f t="shared" si="145"/>
        <v>#DIV/0!</v>
      </c>
      <c r="P171" s="1628" t="str">
        <f t="shared" si="146"/>
        <v>3.1.1</v>
      </c>
      <c r="Q171" s="1645" t="str">
        <f t="shared" si="147"/>
        <v>LR3 3.1</v>
      </c>
      <c r="R171" s="1735" t="str">
        <f t="shared" si="142"/>
        <v>騒音</v>
      </c>
      <c r="S171" s="1621">
        <f t="shared" si="152"/>
        <v>0.33333333333333331</v>
      </c>
      <c r="T171" s="1621">
        <f t="shared" si="153"/>
        <v>0.33333333333333331</v>
      </c>
      <c r="U171" s="1621">
        <f t="shared" si="154"/>
        <v>0.33333333333333331</v>
      </c>
      <c r="V171" s="1621">
        <f t="shared" si="155"/>
        <v>0.33333333333333331</v>
      </c>
      <c r="W171" s="1621">
        <f t="shared" si="156"/>
        <v>0.33333333333333331</v>
      </c>
      <c r="X171" s="1621">
        <f t="shared" si="157"/>
        <v>0.33333333333333331</v>
      </c>
      <c r="Y171" s="1621">
        <f t="shared" si="158"/>
        <v>0.33333333333333331</v>
      </c>
      <c r="Z171" s="1621">
        <f t="shared" si="159"/>
        <v>0.33333333333333331</v>
      </c>
      <c r="AA171" s="1621">
        <f t="shared" si="160"/>
        <v>0.33333333333333331</v>
      </c>
      <c r="AB171" s="1621">
        <f t="shared" si="161"/>
        <v>0.33333333333333331</v>
      </c>
      <c r="AC171" s="1617">
        <f t="shared" si="149"/>
        <v>0</v>
      </c>
      <c r="AD171" s="1616">
        <f t="shared" si="150"/>
        <v>0</v>
      </c>
      <c r="AE171" s="1616">
        <f t="shared" si="151"/>
        <v>0</v>
      </c>
      <c r="AG171" s="1628" t="s">
        <v>1550</v>
      </c>
      <c r="AH171" s="1645" t="s">
        <v>379</v>
      </c>
      <c r="AI171" s="1735" t="s">
        <v>1108</v>
      </c>
      <c r="AJ171" s="1621">
        <v>0.33333333333333331</v>
      </c>
      <c r="AK171" s="1621">
        <v>0.33333333333333331</v>
      </c>
      <c r="AL171" s="1621">
        <v>0.33333333333333331</v>
      </c>
      <c r="AM171" s="1621">
        <v>0.33333333333333331</v>
      </c>
      <c r="AN171" s="1621">
        <v>0.33333333333333331</v>
      </c>
      <c r="AO171" s="1621">
        <v>0.33333333333333331</v>
      </c>
      <c r="AP171" s="1621">
        <v>0.33333333333333331</v>
      </c>
      <c r="AQ171" s="1621">
        <v>0.33333333333333331</v>
      </c>
      <c r="AR171" s="1621">
        <v>0.33333333333333331</v>
      </c>
      <c r="AS171" s="1621">
        <v>0.33333333333333331</v>
      </c>
      <c r="AT171" s="1623"/>
      <c r="AU171" s="1621"/>
      <c r="AV171" s="1621"/>
      <c r="AX171" s="1628" t="s">
        <v>1550</v>
      </c>
      <c r="AY171" s="1645" t="s">
        <v>379</v>
      </c>
      <c r="AZ171" s="1735" t="s">
        <v>1108</v>
      </c>
      <c r="BA171" s="1621">
        <v>0.33333333333333331</v>
      </c>
      <c r="BB171" s="1621">
        <v>0.33333333333333331</v>
      </c>
      <c r="BC171" s="1621">
        <v>0.33333333333333331</v>
      </c>
      <c r="BD171" s="1621">
        <v>0.33333333333333331</v>
      </c>
      <c r="BE171" s="1621">
        <v>0.33333333333333331</v>
      </c>
      <c r="BF171" s="1621">
        <v>0.33333333333333331</v>
      </c>
      <c r="BG171" s="1621">
        <v>0.33333333333333331</v>
      </c>
      <c r="BH171" s="1621">
        <v>0.33333333333333331</v>
      </c>
      <c r="BI171" s="1621">
        <v>0.33333333333333331</v>
      </c>
      <c r="BJ171" s="1621">
        <v>0.33333333333333331</v>
      </c>
      <c r="BK171" s="1621"/>
      <c r="BL171" s="1621"/>
      <c r="BM171" s="1621"/>
      <c r="BO171" s="1628" t="s">
        <v>1600</v>
      </c>
      <c r="BP171" s="1645" t="s">
        <v>379</v>
      </c>
      <c r="BQ171" s="1735" t="s">
        <v>1108</v>
      </c>
      <c r="BR171" s="1621">
        <v>0.33333333333333331</v>
      </c>
      <c r="BS171" s="1621">
        <v>0.33333333333333331</v>
      </c>
      <c r="BT171" s="1621">
        <v>0.33333333333333331</v>
      </c>
      <c r="BU171" s="1621">
        <v>0.33333333333333331</v>
      </c>
      <c r="BV171" s="1621">
        <v>0.33333333333333331</v>
      </c>
      <c r="BW171" s="1621">
        <v>0.33333333333333331</v>
      </c>
      <c r="BX171" s="1621">
        <v>0.33333333333333331</v>
      </c>
      <c r="BY171" s="1621">
        <v>0.33333333333333331</v>
      </c>
      <c r="BZ171" s="1621">
        <v>0.33333333333333331</v>
      </c>
      <c r="CA171" s="1621">
        <v>0.33333333333333331</v>
      </c>
      <c r="CB171" s="1621"/>
      <c r="CC171" s="1621"/>
      <c r="CD171" s="1621"/>
    </row>
    <row r="172" spans="1:83">
      <c r="B172" s="1595" t="str">
        <f t="shared" si="143"/>
        <v>3.1.2</v>
      </c>
      <c r="C172" s="1732" t="str">
        <f t="shared" si="140"/>
        <v>振動</v>
      </c>
      <c r="D172" s="1714" t="e">
        <f t="shared" si="170"/>
        <v>#DIV/0!</v>
      </c>
      <c r="E172" s="1714" t="e">
        <f t="shared" si="170"/>
        <v>#DIV/0!</v>
      </c>
      <c r="G172" s="1689" t="e">
        <f t="shared" si="166"/>
        <v>#DIV/0!</v>
      </c>
      <c r="H172" s="1689" t="e">
        <f t="shared" si="167"/>
        <v>#DIV/0!</v>
      </c>
      <c r="I172" s="1689"/>
      <c r="J172" s="1689"/>
      <c r="K172" s="1689">
        <f>IF(スコア表示!W172=0,0,1)</f>
        <v>1</v>
      </c>
      <c r="L172" s="1689">
        <f>IF(スコア表示!AA172=0,0,1)</f>
        <v>0</v>
      </c>
      <c r="M172" s="1689" t="e">
        <f t="shared" si="141"/>
        <v>#DIV/0!</v>
      </c>
      <c r="N172" s="1689" t="e">
        <f t="shared" si="145"/>
        <v>#DIV/0!</v>
      </c>
      <c r="P172" s="1628" t="str">
        <f t="shared" si="146"/>
        <v>3.1.2</v>
      </c>
      <c r="Q172" s="1645" t="str">
        <f t="shared" si="147"/>
        <v>LR3 3.1</v>
      </c>
      <c r="R172" s="1735" t="str">
        <f t="shared" si="142"/>
        <v>振動</v>
      </c>
      <c r="S172" s="1621">
        <f t="shared" si="152"/>
        <v>0.33333333333333331</v>
      </c>
      <c r="T172" s="1621">
        <f t="shared" si="153"/>
        <v>0.33333333333333331</v>
      </c>
      <c r="U172" s="1621">
        <f t="shared" si="154"/>
        <v>0.33333333333333331</v>
      </c>
      <c r="V172" s="1621">
        <f t="shared" si="155"/>
        <v>0.33333333333333331</v>
      </c>
      <c r="W172" s="1621">
        <f t="shared" si="156"/>
        <v>0.33333333333333331</v>
      </c>
      <c r="X172" s="1621">
        <f t="shared" si="157"/>
        <v>0.33333333333333331</v>
      </c>
      <c r="Y172" s="1621">
        <f t="shared" si="158"/>
        <v>0.33333333333333331</v>
      </c>
      <c r="Z172" s="1621">
        <f t="shared" si="159"/>
        <v>0.33333333333333331</v>
      </c>
      <c r="AA172" s="1621">
        <f t="shared" si="160"/>
        <v>0.33333333333333331</v>
      </c>
      <c r="AB172" s="1621">
        <f t="shared" si="161"/>
        <v>0.33333333333333331</v>
      </c>
      <c r="AC172" s="1617">
        <f t="shared" si="149"/>
        <v>0</v>
      </c>
      <c r="AD172" s="1616">
        <f t="shared" si="150"/>
        <v>0</v>
      </c>
      <c r="AE172" s="1616">
        <f t="shared" si="151"/>
        <v>0</v>
      </c>
      <c r="AG172" s="1628" t="s">
        <v>1422</v>
      </c>
      <c r="AH172" s="1645" t="s">
        <v>379</v>
      </c>
      <c r="AI172" s="1735" t="s">
        <v>1109</v>
      </c>
      <c r="AJ172" s="1621">
        <v>0.33333333333333331</v>
      </c>
      <c r="AK172" s="1621">
        <v>0.33333333333333331</v>
      </c>
      <c r="AL172" s="1621">
        <v>0.33333333333333331</v>
      </c>
      <c r="AM172" s="1621">
        <v>0.33333333333333331</v>
      </c>
      <c r="AN172" s="1621">
        <v>0.33333333333333331</v>
      </c>
      <c r="AO172" s="1621">
        <v>0.33333333333333331</v>
      </c>
      <c r="AP172" s="1621">
        <v>0.33333333333333331</v>
      </c>
      <c r="AQ172" s="1621">
        <v>0.33333333333333331</v>
      </c>
      <c r="AR172" s="1621">
        <v>0.33333333333333331</v>
      </c>
      <c r="AS172" s="1621">
        <v>0.33333333333333331</v>
      </c>
      <c r="AT172" s="1623"/>
      <c r="AU172" s="1621"/>
      <c r="AV172" s="1621"/>
      <c r="AX172" s="1628" t="s">
        <v>1422</v>
      </c>
      <c r="AY172" s="1645" t="s">
        <v>379</v>
      </c>
      <c r="AZ172" s="1735" t="s">
        <v>1109</v>
      </c>
      <c r="BA172" s="1621">
        <v>0.33333333333333331</v>
      </c>
      <c r="BB172" s="1621">
        <v>0.33333333333333331</v>
      </c>
      <c r="BC172" s="1621">
        <v>0.33333333333333331</v>
      </c>
      <c r="BD172" s="1621">
        <v>0.33333333333333331</v>
      </c>
      <c r="BE172" s="1621">
        <v>0.33333333333333331</v>
      </c>
      <c r="BF172" s="1621">
        <v>0.33333333333333331</v>
      </c>
      <c r="BG172" s="1621">
        <v>0.33333333333333331</v>
      </c>
      <c r="BH172" s="1621">
        <v>0.33333333333333331</v>
      </c>
      <c r="BI172" s="1621">
        <v>0.33333333333333331</v>
      </c>
      <c r="BJ172" s="1621">
        <v>0.33333333333333331</v>
      </c>
      <c r="BK172" s="1621"/>
      <c r="BL172" s="1621"/>
      <c r="BM172" s="1621"/>
      <c r="BO172" s="1628" t="s">
        <v>1601</v>
      </c>
      <c r="BP172" s="1645" t="s">
        <v>379</v>
      </c>
      <c r="BQ172" s="1735" t="s">
        <v>1109</v>
      </c>
      <c r="BR172" s="1621">
        <v>0.33333333333333331</v>
      </c>
      <c r="BS172" s="1621">
        <v>0.33333333333333331</v>
      </c>
      <c r="BT172" s="1621">
        <v>0.33333333333333331</v>
      </c>
      <c r="BU172" s="1621">
        <v>0.33333333333333331</v>
      </c>
      <c r="BV172" s="1621">
        <v>0.33333333333333331</v>
      </c>
      <c r="BW172" s="1621">
        <v>0.33333333333333331</v>
      </c>
      <c r="BX172" s="1621">
        <v>0.33333333333333331</v>
      </c>
      <c r="BY172" s="1621">
        <v>0.33333333333333331</v>
      </c>
      <c r="BZ172" s="1621">
        <v>0.33333333333333331</v>
      </c>
      <c r="CA172" s="1621">
        <v>0.33333333333333331</v>
      </c>
      <c r="CB172" s="1621"/>
      <c r="CC172" s="1621"/>
      <c r="CD172" s="1621"/>
    </row>
    <row r="173" spans="1:83">
      <c r="B173" s="1595" t="str">
        <f t="shared" si="143"/>
        <v>3.1.3</v>
      </c>
      <c r="C173" s="1732" t="str">
        <f t="shared" ref="C173:C180" si="171">R173</f>
        <v>悪臭</v>
      </c>
      <c r="D173" s="1714" t="e">
        <f t="shared" si="170"/>
        <v>#DIV/0!</v>
      </c>
      <c r="E173" s="1714" t="e">
        <f t="shared" si="170"/>
        <v>#DIV/0!</v>
      </c>
      <c r="G173" s="1689" t="e">
        <f t="shared" si="166"/>
        <v>#DIV/0!</v>
      </c>
      <c r="H173" s="1689" t="e">
        <f t="shared" si="167"/>
        <v>#DIV/0!</v>
      </c>
      <c r="I173" s="1689"/>
      <c r="J173" s="1689"/>
      <c r="K173" s="1689">
        <f>IF(スコア表示!W173=0,0,1)</f>
        <v>1</v>
      </c>
      <c r="L173" s="1689">
        <f>IF(スコア表示!AA173=0,0,1)</f>
        <v>0</v>
      </c>
      <c r="M173" s="1689" t="e">
        <f t="shared" ref="M173:M180" si="172">SUMPRODUCT($S$7:$AB$7,S173:AB173)</f>
        <v>#DIV/0!</v>
      </c>
      <c r="N173" s="1689" t="e">
        <f t="shared" si="145"/>
        <v>#DIV/0!</v>
      </c>
      <c r="P173" s="1628" t="str">
        <f t="shared" si="146"/>
        <v>3.1.3</v>
      </c>
      <c r="Q173" s="1645" t="str">
        <f t="shared" si="147"/>
        <v>LR3 3.1</v>
      </c>
      <c r="R173" s="1735" t="str">
        <f t="shared" ref="R173:R180" si="173">AI173</f>
        <v>悪臭</v>
      </c>
      <c r="S173" s="1621">
        <f t="shared" si="152"/>
        <v>0.33333333333333331</v>
      </c>
      <c r="T173" s="1621">
        <f t="shared" si="153"/>
        <v>0.33333333333333331</v>
      </c>
      <c r="U173" s="1621">
        <f t="shared" si="154"/>
        <v>0.33333333333333331</v>
      </c>
      <c r="V173" s="1621">
        <f t="shared" si="155"/>
        <v>0.33333333333333331</v>
      </c>
      <c r="W173" s="1621">
        <f t="shared" si="156"/>
        <v>0.33333333333333331</v>
      </c>
      <c r="X173" s="1621">
        <f t="shared" si="157"/>
        <v>0.33333333333333331</v>
      </c>
      <c r="Y173" s="1621">
        <f t="shared" si="158"/>
        <v>0.33333333333333331</v>
      </c>
      <c r="Z173" s="1621">
        <f t="shared" si="159"/>
        <v>0.33333333333333331</v>
      </c>
      <c r="AA173" s="1621">
        <f t="shared" si="160"/>
        <v>0.33333333333333331</v>
      </c>
      <c r="AB173" s="1621">
        <f t="shared" si="161"/>
        <v>0.33333333333333331</v>
      </c>
      <c r="AC173" s="1617">
        <f t="shared" si="149"/>
        <v>0</v>
      </c>
      <c r="AD173" s="1616">
        <f t="shared" si="150"/>
        <v>0</v>
      </c>
      <c r="AE173" s="1616">
        <f t="shared" si="151"/>
        <v>0</v>
      </c>
      <c r="AG173" s="1628" t="s">
        <v>1551</v>
      </c>
      <c r="AH173" s="1645" t="s">
        <v>379</v>
      </c>
      <c r="AI173" s="1735" t="s">
        <v>904</v>
      </c>
      <c r="AJ173" s="1621">
        <v>0.33333333333333331</v>
      </c>
      <c r="AK173" s="1621">
        <v>0.33333333333333331</v>
      </c>
      <c r="AL173" s="1621">
        <v>0.33333333333333331</v>
      </c>
      <c r="AM173" s="1621">
        <v>0.33333333333333331</v>
      </c>
      <c r="AN173" s="1621">
        <v>0.33333333333333331</v>
      </c>
      <c r="AO173" s="1621">
        <v>0.33333333333333331</v>
      </c>
      <c r="AP173" s="1621">
        <v>0.33333333333333331</v>
      </c>
      <c r="AQ173" s="1621">
        <v>0.33333333333333331</v>
      </c>
      <c r="AR173" s="1621">
        <v>0.33333333333333331</v>
      </c>
      <c r="AS173" s="1621">
        <v>0.33333333333333331</v>
      </c>
      <c r="AT173" s="1623"/>
      <c r="AU173" s="1621"/>
      <c r="AV173" s="1621"/>
      <c r="AX173" s="1628" t="s">
        <v>1551</v>
      </c>
      <c r="AY173" s="1645" t="s">
        <v>379</v>
      </c>
      <c r="AZ173" s="1735" t="s">
        <v>904</v>
      </c>
      <c r="BA173" s="1621">
        <v>0.33333333333333331</v>
      </c>
      <c r="BB173" s="1621">
        <v>0.33333333333333331</v>
      </c>
      <c r="BC173" s="1621">
        <v>0.33333333333333331</v>
      </c>
      <c r="BD173" s="1621">
        <v>0.33333333333333331</v>
      </c>
      <c r="BE173" s="1621">
        <v>0.33333333333333331</v>
      </c>
      <c r="BF173" s="1621">
        <v>0.33333333333333331</v>
      </c>
      <c r="BG173" s="1621">
        <v>0.33333333333333331</v>
      </c>
      <c r="BH173" s="1621">
        <v>0.33333333333333331</v>
      </c>
      <c r="BI173" s="1621">
        <v>0.33333333333333331</v>
      </c>
      <c r="BJ173" s="1621">
        <v>0.33333333333333331</v>
      </c>
      <c r="BK173" s="1621"/>
      <c r="BL173" s="1621"/>
      <c r="BM173" s="1621"/>
      <c r="BO173" s="1628" t="s">
        <v>1602</v>
      </c>
      <c r="BP173" s="1645" t="s">
        <v>379</v>
      </c>
      <c r="BQ173" s="1735" t="s">
        <v>904</v>
      </c>
      <c r="BR173" s="1621">
        <v>0.33333333333333331</v>
      </c>
      <c r="BS173" s="1621">
        <v>0.33333333333333331</v>
      </c>
      <c r="BT173" s="1621">
        <v>0.33333333333333331</v>
      </c>
      <c r="BU173" s="1621">
        <v>0.33333333333333331</v>
      </c>
      <c r="BV173" s="1621">
        <v>0.33333333333333331</v>
      </c>
      <c r="BW173" s="1621">
        <v>0.33333333333333331</v>
      </c>
      <c r="BX173" s="1621">
        <v>0.33333333333333331</v>
      </c>
      <c r="BY173" s="1621">
        <v>0.33333333333333331</v>
      </c>
      <c r="BZ173" s="1621">
        <v>0.33333333333333331</v>
      </c>
      <c r="CA173" s="1621">
        <v>0.33333333333333331</v>
      </c>
      <c r="CB173" s="1621"/>
      <c r="CC173" s="1621"/>
      <c r="CD173" s="1621"/>
    </row>
    <row r="174" spans="1:83">
      <c r="B174" s="1595" t="str">
        <f t="shared" si="143"/>
        <v>3.2</v>
      </c>
      <c r="C174" s="1732" t="str">
        <f t="shared" si="171"/>
        <v>風害，日照阻害の抑制</v>
      </c>
      <c r="D174" s="1714" t="e">
        <f>IF(I$169=0,0,G174/I$169)</f>
        <v>#DIV/0!</v>
      </c>
      <c r="E174" s="1714" t="e">
        <f>IF(J$169=0,0,H174/J$169)</f>
        <v>#DIV/0!</v>
      </c>
      <c r="G174" s="1689" t="e">
        <f t="shared" si="166"/>
        <v>#DIV/0!</v>
      </c>
      <c r="H174" s="1689" t="e">
        <f t="shared" si="167"/>
        <v>#DIV/0!</v>
      </c>
      <c r="I174" s="1689" t="e">
        <f>SUM(G175:G177)</f>
        <v>#DIV/0!</v>
      </c>
      <c r="J174" s="1689" t="e">
        <f>SUM(H175:H177)</f>
        <v>#DIV/0!</v>
      </c>
      <c r="K174" s="1689" t="e">
        <f>IF(スコア表示!W174=0,0,1)</f>
        <v>#DIV/0!</v>
      </c>
      <c r="L174" s="1689" t="e">
        <f>IF(スコア表示!AA174=0,0,1)</f>
        <v>#DIV/0!</v>
      </c>
      <c r="M174" s="1689" t="e">
        <f t="shared" si="172"/>
        <v>#DIV/0!</v>
      </c>
      <c r="N174" s="1689" t="e">
        <f t="shared" si="145"/>
        <v>#DIV/0!</v>
      </c>
      <c r="P174" s="2099" t="str">
        <f t="shared" si="146"/>
        <v>3.2</v>
      </c>
      <c r="Q174" s="1691" t="str">
        <f t="shared" si="147"/>
        <v>LR3 3</v>
      </c>
      <c r="R174" s="1735" t="str">
        <f>AI174</f>
        <v>風害，日照阻害の抑制</v>
      </c>
      <c r="S174" s="2084">
        <f t="shared" si="152"/>
        <v>0.4</v>
      </c>
      <c r="T174" s="2084">
        <f t="shared" si="153"/>
        <v>0.4</v>
      </c>
      <c r="U174" s="2084">
        <f t="shared" si="154"/>
        <v>0.4</v>
      </c>
      <c r="V174" s="2084">
        <f t="shared" si="155"/>
        <v>0.4</v>
      </c>
      <c r="W174" s="2084">
        <f t="shared" si="156"/>
        <v>0.4</v>
      </c>
      <c r="X174" s="2084">
        <f t="shared" si="157"/>
        <v>0.4</v>
      </c>
      <c r="Y174" s="2084">
        <f t="shared" si="158"/>
        <v>0.4</v>
      </c>
      <c r="Z174" s="2084">
        <f t="shared" si="159"/>
        <v>0.4</v>
      </c>
      <c r="AA174" s="2084">
        <f t="shared" si="160"/>
        <v>0.4</v>
      </c>
      <c r="AB174" s="2084">
        <f t="shared" si="161"/>
        <v>0.4</v>
      </c>
      <c r="AC174" s="1660">
        <f t="shared" si="149"/>
        <v>0</v>
      </c>
      <c r="AD174" s="1659">
        <f t="shared" si="150"/>
        <v>0</v>
      </c>
      <c r="AE174" s="1659">
        <f t="shared" si="151"/>
        <v>0</v>
      </c>
      <c r="AG174" s="1628" t="s">
        <v>1493</v>
      </c>
      <c r="AH174" s="1691" t="s">
        <v>378</v>
      </c>
      <c r="AI174" s="1735" t="s">
        <v>1853</v>
      </c>
      <c r="AJ174" s="2084">
        <v>0.4</v>
      </c>
      <c r="AK174" s="2084">
        <v>0.4</v>
      </c>
      <c r="AL174" s="2084">
        <v>0.4</v>
      </c>
      <c r="AM174" s="2084">
        <v>0.4</v>
      </c>
      <c r="AN174" s="2084">
        <v>0.4</v>
      </c>
      <c r="AO174" s="2084">
        <v>0.4</v>
      </c>
      <c r="AP174" s="2084">
        <v>0.4</v>
      </c>
      <c r="AQ174" s="2084">
        <v>0.4</v>
      </c>
      <c r="AR174" s="2084">
        <v>0.4</v>
      </c>
      <c r="AS174" s="2084">
        <v>0.4</v>
      </c>
      <c r="AT174" s="2085"/>
      <c r="AU174" s="2084"/>
      <c r="AV174" s="2084"/>
      <c r="AX174" s="1628" t="s">
        <v>1493</v>
      </c>
      <c r="AY174" s="1691" t="s">
        <v>378</v>
      </c>
      <c r="AZ174" s="1735" t="s">
        <v>1852</v>
      </c>
      <c r="BA174" s="2084">
        <v>0.4</v>
      </c>
      <c r="BB174" s="2084">
        <v>0.4</v>
      </c>
      <c r="BC174" s="2084">
        <v>0.4</v>
      </c>
      <c r="BD174" s="2084">
        <v>0.4</v>
      </c>
      <c r="BE174" s="2084">
        <v>0.4</v>
      </c>
      <c r="BF174" s="2084">
        <v>0.4</v>
      </c>
      <c r="BG174" s="2084">
        <v>0.4</v>
      </c>
      <c r="BH174" s="2084">
        <v>0.4</v>
      </c>
      <c r="BI174" s="2084">
        <v>0.4</v>
      </c>
      <c r="BJ174" s="2084">
        <v>0.4</v>
      </c>
      <c r="BK174" s="2085"/>
      <c r="BL174" s="2084"/>
      <c r="BM174" s="2084"/>
      <c r="BO174" s="1628" t="s">
        <v>1603</v>
      </c>
      <c r="BP174" s="1691" t="s">
        <v>378</v>
      </c>
      <c r="BQ174" s="1735" t="s">
        <v>1852</v>
      </c>
      <c r="BR174" s="2084">
        <v>0.4</v>
      </c>
      <c r="BS174" s="2084">
        <v>0.4</v>
      </c>
      <c r="BT174" s="2084">
        <v>0.4</v>
      </c>
      <c r="BU174" s="2084">
        <v>0.4</v>
      </c>
      <c r="BV174" s="2084">
        <v>0.4</v>
      </c>
      <c r="BW174" s="2084">
        <v>0.4</v>
      </c>
      <c r="BX174" s="2084">
        <v>0.4</v>
      </c>
      <c r="BY174" s="2084">
        <v>0.4</v>
      </c>
      <c r="BZ174" s="2084">
        <v>0.4</v>
      </c>
      <c r="CA174" s="2084">
        <v>0.4</v>
      </c>
      <c r="CB174" s="2085"/>
      <c r="CC174" s="2084"/>
      <c r="CD174" s="2084"/>
    </row>
    <row r="175" spans="1:83">
      <c r="B175" s="1595" t="str">
        <f t="shared" ref="B175:B180" si="174">P175</f>
        <v>3.2.1</v>
      </c>
      <c r="C175" s="1732" t="str">
        <f t="shared" si="171"/>
        <v>風害の抑制</v>
      </c>
      <c r="D175" s="1714" t="e">
        <f t="shared" ref="D175:E177" si="175">IF(I$174=0,0,G175/I$174)</f>
        <v>#DIV/0!</v>
      </c>
      <c r="E175" s="1714" t="e">
        <f t="shared" si="175"/>
        <v>#DIV/0!</v>
      </c>
      <c r="G175" s="1689" t="e">
        <f t="shared" si="166"/>
        <v>#DIV/0!</v>
      </c>
      <c r="H175" s="1689" t="e">
        <f t="shared" si="167"/>
        <v>#DIV/0!</v>
      </c>
      <c r="I175" s="1689"/>
      <c r="J175" s="1689"/>
      <c r="K175" s="1689">
        <f>IF(スコア表示!W175=0,0,1)</f>
        <v>1</v>
      </c>
      <c r="L175" s="1689">
        <f>IF(スコア表示!AA175=0,0,1)</f>
        <v>0</v>
      </c>
      <c r="M175" s="1689" t="e">
        <f t="shared" si="172"/>
        <v>#DIV/0!</v>
      </c>
      <c r="N175" s="1689" t="e">
        <f t="shared" si="145"/>
        <v>#DIV/0!</v>
      </c>
      <c r="P175" s="1628" t="str">
        <f t="shared" si="146"/>
        <v>3.2.1</v>
      </c>
      <c r="Q175" s="1691" t="str">
        <f t="shared" si="147"/>
        <v>LR3 3.2</v>
      </c>
      <c r="R175" s="1692" t="str">
        <f t="shared" si="173"/>
        <v>風害の抑制</v>
      </c>
      <c r="S175" s="1621">
        <f t="shared" si="152"/>
        <v>0.7</v>
      </c>
      <c r="T175" s="1621">
        <f t="shared" si="153"/>
        <v>0.7</v>
      </c>
      <c r="U175" s="1621">
        <f t="shared" si="154"/>
        <v>0.7</v>
      </c>
      <c r="V175" s="1621">
        <f t="shared" si="155"/>
        <v>0.7</v>
      </c>
      <c r="W175" s="1621">
        <f t="shared" si="156"/>
        <v>0.7</v>
      </c>
      <c r="X175" s="1621">
        <f t="shared" si="157"/>
        <v>0.7</v>
      </c>
      <c r="Y175" s="1621">
        <f t="shared" si="158"/>
        <v>0.7</v>
      </c>
      <c r="Z175" s="1621">
        <f t="shared" si="159"/>
        <v>0.7</v>
      </c>
      <c r="AA175" s="1621">
        <f t="shared" si="160"/>
        <v>0.7</v>
      </c>
      <c r="AB175" s="1621">
        <f t="shared" si="161"/>
        <v>0.6</v>
      </c>
      <c r="AC175" s="1660">
        <f t="shared" si="149"/>
        <v>0</v>
      </c>
      <c r="AD175" s="1659">
        <f t="shared" si="150"/>
        <v>0</v>
      </c>
      <c r="AE175" s="1659">
        <f t="shared" si="151"/>
        <v>0</v>
      </c>
      <c r="AG175" s="1628" t="s">
        <v>1425</v>
      </c>
      <c r="AH175" s="1691" t="s">
        <v>380</v>
      </c>
      <c r="AI175" s="1692" t="s">
        <v>1552</v>
      </c>
      <c r="AJ175" s="1621">
        <v>0.7</v>
      </c>
      <c r="AK175" s="1621">
        <v>0.7</v>
      </c>
      <c r="AL175" s="1621">
        <v>0.7</v>
      </c>
      <c r="AM175" s="1621">
        <v>0.7</v>
      </c>
      <c r="AN175" s="1621">
        <v>0.7</v>
      </c>
      <c r="AO175" s="1621">
        <v>0.7</v>
      </c>
      <c r="AP175" s="1621">
        <v>0.7</v>
      </c>
      <c r="AQ175" s="1621">
        <v>0.7</v>
      </c>
      <c r="AR175" s="1621">
        <v>0.7</v>
      </c>
      <c r="AS175" s="2347">
        <v>0.6</v>
      </c>
      <c r="AT175" s="2085"/>
      <c r="AU175" s="2084"/>
      <c r="AV175" s="2084"/>
      <c r="AX175" s="1628" t="s">
        <v>1425</v>
      </c>
      <c r="AY175" s="1691" t="s">
        <v>380</v>
      </c>
      <c r="AZ175" s="1692" t="s">
        <v>1552</v>
      </c>
      <c r="BA175" s="1621">
        <v>0.7</v>
      </c>
      <c r="BB175" s="1621">
        <v>0.7</v>
      </c>
      <c r="BC175" s="1621">
        <v>0.7</v>
      </c>
      <c r="BD175" s="1621">
        <v>0.7</v>
      </c>
      <c r="BE175" s="1621">
        <v>0.7</v>
      </c>
      <c r="BF175" s="1621">
        <v>0.7</v>
      </c>
      <c r="BG175" s="1621">
        <v>0.7</v>
      </c>
      <c r="BH175" s="1621">
        <v>0.7</v>
      </c>
      <c r="BI175" s="1621">
        <v>0.7</v>
      </c>
      <c r="BJ175" s="2084">
        <v>0.6</v>
      </c>
      <c r="BK175" s="2085"/>
      <c r="BL175" s="2084"/>
      <c r="BM175" s="2084"/>
      <c r="BO175" s="1628" t="s">
        <v>1604</v>
      </c>
      <c r="BP175" s="1691" t="s">
        <v>380</v>
      </c>
      <c r="BQ175" s="1692" t="s">
        <v>1605</v>
      </c>
      <c r="BR175" s="1621">
        <v>0.7</v>
      </c>
      <c r="BS175" s="1621">
        <v>0.7</v>
      </c>
      <c r="BT175" s="1621">
        <v>0.7</v>
      </c>
      <c r="BU175" s="1621">
        <v>0.7</v>
      </c>
      <c r="BV175" s="1621">
        <v>0.7</v>
      </c>
      <c r="BW175" s="1621">
        <v>0.7</v>
      </c>
      <c r="BX175" s="1621">
        <v>0.7</v>
      </c>
      <c r="BY175" s="1621">
        <v>0.7</v>
      </c>
      <c r="BZ175" s="1621">
        <v>0.7</v>
      </c>
      <c r="CA175" s="2084">
        <v>0.6</v>
      </c>
      <c r="CB175" s="2085"/>
      <c r="CC175" s="2084"/>
      <c r="CD175" s="2084"/>
    </row>
    <row r="176" spans="1:83">
      <c r="B176" s="1595" t="str">
        <f t="shared" si="174"/>
        <v>3.2.2</v>
      </c>
      <c r="C176" s="1732" t="str">
        <f t="shared" si="171"/>
        <v>砂塵の抑制</v>
      </c>
      <c r="D176" s="1714" t="e">
        <f t="shared" si="175"/>
        <v>#DIV/0!</v>
      </c>
      <c r="E176" s="1714" t="e">
        <f t="shared" si="175"/>
        <v>#DIV/0!</v>
      </c>
      <c r="G176" s="1689" t="e">
        <f t="shared" si="166"/>
        <v>#DIV/0!</v>
      </c>
      <c r="H176" s="1689" t="e">
        <f t="shared" si="167"/>
        <v>#DIV/0!</v>
      </c>
      <c r="I176" s="1689"/>
      <c r="J176" s="1689"/>
      <c r="K176" s="1689">
        <f>IF(スコア表示!W176=0,0,1)</f>
        <v>1</v>
      </c>
      <c r="L176" s="1689">
        <f>IF(スコア表示!AA176=0,0,1)</f>
        <v>0</v>
      </c>
      <c r="M176" s="1689" t="e">
        <f t="shared" si="172"/>
        <v>#DIV/0!</v>
      </c>
      <c r="N176" s="1689" t="e">
        <f t="shared" si="145"/>
        <v>#DIV/0!</v>
      </c>
      <c r="P176" s="1628" t="str">
        <f t="shared" si="146"/>
        <v>3.2.2</v>
      </c>
      <c r="Q176" s="1691" t="str">
        <f t="shared" si="147"/>
        <v>LR3 3.2</v>
      </c>
      <c r="R176" s="1692" t="str">
        <f t="shared" si="173"/>
        <v>砂塵の抑制</v>
      </c>
      <c r="S176" s="1621">
        <f t="shared" si="152"/>
        <v>0</v>
      </c>
      <c r="T176" s="1621">
        <f t="shared" si="153"/>
        <v>0</v>
      </c>
      <c r="U176" s="1621">
        <f t="shared" si="154"/>
        <v>0</v>
      </c>
      <c r="V176" s="1621">
        <f t="shared" si="155"/>
        <v>0</v>
      </c>
      <c r="W176" s="1621">
        <f t="shared" si="156"/>
        <v>0</v>
      </c>
      <c r="X176" s="1621">
        <f t="shared" si="157"/>
        <v>0</v>
      </c>
      <c r="Y176" s="1621">
        <f t="shared" si="158"/>
        <v>0</v>
      </c>
      <c r="Z176" s="1621">
        <f t="shared" si="159"/>
        <v>0</v>
      </c>
      <c r="AA176" s="1621">
        <f t="shared" si="160"/>
        <v>0</v>
      </c>
      <c r="AB176" s="1621">
        <f t="shared" si="161"/>
        <v>0.2</v>
      </c>
      <c r="AC176" s="1660">
        <f t="shared" si="149"/>
        <v>0</v>
      </c>
      <c r="AD176" s="1659">
        <f t="shared" si="150"/>
        <v>0</v>
      </c>
      <c r="AE176" s="1659">
        <f t="shared" si="151"/>
        <v>0</v>
      </c>
      <c r="AG176" s="1628" t="s">
        <v>373</v>
      </c>
      <c r="AH176" s="1691" t="s">
        <v>381</v>
      </c>
      <c r="AI176" s="1692" t="s">
        <v>1110</v>
      </c>
      <c r="AJ176" s="1621"/>
      <c r="AK176" s="1621"/>
      <c r="AL176" s="1621"/>
      <c r="AM176" s="1621"/>
      <c r="AN176" s="1621"/>
      <c r="AO176" s="1621"/>
      <c r="AP176" s="1621"/>
      <c r="AQ176" s="1621"/>
      <c r="AR176" s="1621"/>
      <c r="AS176" s="2347">
        <v>0.2</v>
      </c>
      <c r="AT176" s="2085"/>
      <c r="AU176" s="2084"/>
      <c r="AV176" s="2084"/>
      <c r="AX176" s="1628" t="s">
        <v>1427</v>
      </c>
      <c r="AY176" s="1691" t="s">
        <v>1553</v>
      </c>
      <c r="AZ176" s="1692" t="s">
        <v>1110</v>
      </c>
      <c r="BA176" s="1621"/>
      <c r="BB176" s="1621"/>
      <c r="BC176" s="1621"/>
      <c r="BD176" s="1621"/>
      <c r="BE176" s="1621"/>
      <c r="BF176" s="1621"/>
      <c r="BG176" s="1621"/>
      <c r="BH176" s="1621"/>
      <c r="BI176" s="1621"/>
      <c r="BJ176" s="2084">
        <v>0.2</v>
      </c>
      <c r="BK176" s="2085"/>
      <c r="BL176" s="2084"/>
      <c r="BM176" s="2084"/>
      <c r="BO176" s="1628" t="s">
        <v>1606</v>
      </c>
      <c r="BP176" s="1691" t="s">
        <v>1607</v>
      </c>
      <c r="BQ176" s="1692" t="s">
        <v>1110</v>
      </c>
      <c r="BR176" s="1621"/>
      <c r="BS176" s="1621"/>
      <c r="BT176" s="1621"/>
      <c r="BU176" s="1621"/>
      <c r="BV176" s="1621"/>
      <c r="BW176" s="1621"/>
      <c r="BX176" s="1621"/>
      <c r="BY176" s="1621"/>
      <c r="BZ176" s="1621"/>
      <c r="CA176" s="2084">
        <v>0.2</v>
      </c>
      <c r="CB176" s="2085"/>
      <c r="CC176" s="2084"/>
      <c r="CD176" s="2084"/>
    </row>
    <row r="177" spans="2:82" s="1556" customFormat="1">
      <c r="B177" s="1595" t="str">
        <f t="shared" si="174"/>
        <v>3.2.3</v>
      </c>
      <c r="C177" s="1732" t="str">
        <f t="shared" si="171"/>
        <v>日照阻害の抑制</v>
      </c>
      <c r="D177" s="1714" t="e">
        <f t="shared" si="175"/>
        <v>#DIV/0!</v>
      </c>
      <c r="E177" s="1714" t="e">
        <f t="shared" si="175"/>
        <v>#DIV/0!</v>
      </c>
      <c r="F177"/>
      <c r="G177" s="1689" t="e">
        <f t="shared" si="166"/>
        <v>#DIV/0!</v>
      </c>
      <c r="H177" s="1689" t="e">
        <f t="shared" si="167"/>
        <v>#DIV/0!</v>
      </c>
      <c r="I177" s="1689"/>
      <c r="J177" s="1689"/>
      <c r="K177" s="1689">
        <f>IF(スコア表示!W177=0,0,1)</f>
        <v>1</v>
      </c>
      <c r="L177" s="1689">
        <f>IF(スコア表示!AA177=0,0,1)</f>
        <v>0</v>
      </c>
      <c r="M177" s="1689" t="e">
        <f t="shared" si="172"/>
        <v>#DIV/0!</v>
      </c>
      <c r="N177" s="1689" t="e">
        <f t="shared" si="145"/>
        <v>#DIV/0!</v>
      </c>
      <c r="O177"/>
      <c r="P177" s="1628" t="str">
        <f t="shared" si="146"/>
        <v>3.2.3</v>
      </c>
      <c r="Q177" s="1691" t="str">
        <f t="shared" si="147"/>
        <v>LR3 3.2</v>
      </c>
      <c r="R177" s="1692" t="str">
        <f t="shared" si="173"/>
        <v>日照阻害の抑制</v>
      </c>
      <c r="S177" s="1621">
        <f t="shared" si="152"/>
        <v>0.3</v>
      </c>
      <c r="T177" s="1621">
        <f t="shared" si="153"/>
        <v>0.3</v>
      </c>
      <c r="U177" s="1621">
        <f t="shared" si="154"/>
        <v>0.3</v>
      </c>
      <c r="V177" s="1621">
        <f t="shared" si="155"/>
        <v>0.3</v>
      </c>
      <c r="W177" s="1621">
        <f t="shared" si="156"/>
        <v>0.3</v>
      </c>
      <c r="X177" s="1621">
        <f t="shared" si="157"/>
        <v>0.3</v>
      </c>
      <c r="Y177" s="1621">
        <f t="shared" si="158"/>
        <v>0.3</v>
      </c>
      <c r="Z177" s="1621">
        <f t="shared" si="159"/>
        <v>0.3</v>
      </c>
      <c r="AA177" s="1621">
        <f t="shared" si="160"/>
        <v>0.3</v>
      </c>
      <c r="AB177" s="1621">
        <f t="shared" si="161"/>
        <v>0.2</v>
      </c>
      <c r="AC177" s="1660">
        <f t="shared" si="149"/>
        <v>0</v>
      </c>
      <c r="AD177" s="1659">
        <f t="shared" si="150"/>
        <v>0</v>
      </c>
      <c r="AE177" s="1659">
        <f t="shared" si="151"/>
        <v>0</v>
      </c>
      <c r="AF177"/>
      <c r="AG177" s="1628" t="s">
        <v>1427</v>
      </c>
      <c r="AH177" s="1691" t="s">
        <v>380</v>
      </c>
      <c r="AI177" s="1692" t="s">
        <v>1554</v>
      </c>
      <c r="AJ177" s="1621">
        <v>0.3</v>
      </c>
      <c r="AK177" s="1621">
        <v>0.3</v>
      </c>
      <c r="AL177" s="1621">
        <v>0.3</v>
      </c>
      <c r="AM177" s="1621">
        <v>0.3</v>
      </c>
      <c r="AN177" s="1621">
        <v>0.3</v>
      </c>
      <c r="AO177" s="1621">
        <v>0.3</v>
      </c>
      <c r="AP177" s="1621">
        <v>0.3</v>
      </c>
      <c r="AQ177" s="1621">
        <v>0.3</v>
      </c>
      <c r="AR177" s="1621">
        <v>0.3</v>
      </c>
      <c r="AS177" s="2347">
        <v>0.2</v>
      </c>
      <c r="AT177" s="2085"/>
      <c r="AU177" s="2084"/>
      <c r="AV177" s="2084"/>
      <c r="AW177"/>
      <c r="AX177" s="1628" t="s">
        <v>1540</v>
      </c>
      <c r="AY177" s="1691" t="s">
        <v>380</v>
      </c>
      <c r="AZ177" s="1692" t="s">
        <v>1554</v>
      </c>
      <c r="BA177" s="1621">
        <v>0.3</v>
      </c>
      <c r="BB177" s="1621">
        <v>0.3</v>
      </c>
      <c r="BC177" s="1621">
        <v>0.3</v>
      </c>
      <c r="BD177" s="1621">
        <v>0.3</v>
      </c>
      <c r="BE177" s="1621">
        <v>0.3</v>
      </c>
      <c r="BF177" s="1621">
        <v>0.3</v>
      </c>
      <c r="BG177" s="1621">
        <v>0.3</v>
      </c>
      <c r="BH177" s="1621">
        <v>0.3</v>
      </c>
      <c r="BI177" s="1621">
        <v>0.3</v>
      </c>
      <c r="BJ177" s="2084">
        <v>0.2</v>
      </c>
      <c r="BK177" s="2085"/>
      <c r="BL177" s="2084"/>
      <c r="BM177" s="2084"/>
      <c r="BN177"/>
      <c r="BO177" s="1628" t="s">
        <v>1608</v>
      </c>
      <c r="BP177" s="1691" t="s">
        <v>380</v>
      </c>
      <c r="BQ177" s="1692" t="s">
        <v>1609</v>
      </c>
      <c r="BR177" s="1621">
        <v>0.3</v>
      </c>
      <c r="BS177" s="1621">
        <v>0.3</v>
      </c>
      <c r="BT177" s="1621">
        <v>0.3</v>
      </c>
      <c r="BU177" s="1621">
        <v>0.3</v>
      </c>
      <c r="BV177" s="1621">
        <v>0.3</v>
      </c>
      <c r="BW177" s="1621">
        <v>0.3</v>
      </c>
      <c r="BX177" s="1621">
        <v>0.3</v>
      </c>
      <c r="BY177" s="1621">
        <v>0.3</v>
      </c>
      <c r="BZ177" s="1621">
        <v>0.3</v>
      </c>
      <c r="CA177" s="2084">
        <v>0.2</v>
      </c>
      <c r="CB177" s="2085"/>
      <c r="CC177" s="2084"/>
      <c r="CD177" s="2084"/>
    </row>
    <row r="178" spans="2:82" s="1556" customFormat="1">
      <c r="B178" s="1595" t="str">
        <f t="shared" si="174"/>
        <v>3.3</v>
      </c>
      <c r="C178" s="1732" t="str">
        <f t="shared" si="171"/>
        <v>光害の抑制</v>
      </c>
      <c r="D178" s="1714" t="e">
        <f>IF(I$169=0,0,G178/I$169)</f>
        <v>#DIV/0!</v>
      </c>
      <c r="E178" s="1714" t="e">
        <f>IF(J$169=0,0,H178/J$169)</f>
        <v>#DIV/0!</v>
      </c>
      <c r="F178"/>
      <c r="G178" s="1689" t="e">
        <f t="shared" si="166"/>
        <v>#DIV/0!</v>
      </c>
      <c r="H178" s="1689" t="e">
        <f t="shared" si="167"/>
        <v>#DIV/0!</v>
      </c>
      <c r="I178" s="1689" t="e">
        <f>SUM(G179:G180)</f>
        <v>#DIV/0!</v>
      </c>
      <c r="J178" s="1689" t="e">
        <f>SUM(H179:H180)</f>
        <v>#DIV/0!</v>
      </c>
      <c r="K178" s="1689" t="e">
        <f>IF(スコア表示!W178=0,0,1)</f>
        <v>#DIV/0!</v>
      </c>
      <c r="L178" s="1689" t="e">
        <f>IF(スコア表示!AA178=0,0,1)</f>
        <v>#DIV/0!</v>
      </c>
      <c r="M178" s="1689" t="e">
        <f t="shared" si="172"/>
        <v>#DIV/0!</v>
      </c>
      <c r="N178" s="1689" t="e">
        <f t="shared" si="145"/>
        <v>#DIV/0!</v>
      </c>
      <c r="O178"/>
      <c r="P178" s="2099" t="str">
        <f t="shared" si="146"/>
        <v>3.3</v>
      </c>
      <c r="Q178" s="1691" t="str">
        <f t="shared" si="147"/>
        <v>LR3 3</v>
      </c>
      <c r="R178" s="1735" t="str">
        <f t="shared" si="173"/>
        <v>光害の抑制</v>
      </c>
      <c r="S178" s="2084">
        <f t="shared" si="152"/>
        <v>0.2</v>
      </c>
      <c r="T178" s="2084">
        <f t="shared" si="153"/>
        <v>0.2</v>
      </c>
      <c r="U178" s="2084">
        <f t="shared" si="154"/>
        <v>0.2</v>
      </c>
      <c r="V178" s="2084">
        <f t="shared" si="155"/>
        <v>0.2</v>
      </c>
      <c r="W178" s="2084">
        <f t="shared" si="156"/>
        <v>0.2</v>
      </c>
      <c r="X178" s="2084">
        <f t="shared" si="157"/>
        <v>0.2</v>
      </c>
      <c r="Y178" s="2084">
        <f t="shared" si="158"/>
        <v>0.2</v>
      </c>
      <c r="Z178" s="2084">
        <f t="shared" si="159"/>
        <v>0.2</v>
      </c>
      <c r="AA178" s="2084">
        <f t="shared" si="160"/>
        <v>0.2</v>
      </c>
      <c r="AB178" s="2084">
        <f t="shared" si="161"/>
        <v>0.2</v>
      </c>
      <c r="AC178" s="1660">
        <f t="shared" si="149"/>
        <v>0</v>
      </c>
      <c r="AD178" s="1659">
        <f t="shared" si="150"/>
        <v>0</v>
      </c>
      <c r="AE178" s="1659">
        <f t="shared" si="151"/>
        <v>0</v>
      </c>
      <c r="AF178"/>
      <c r="AG178" s="1628" t="s">
        <v>1555</v>
      </c>
      <c r="AH178" s="1691" t="s">
        <v>378</v>
      </c>
      <c r="AI178" s="1692" t="s">
        <v>1112</v>
      </c>
      <c r="AJ178" s="1621">
        <v>0.2</v>
      </c>
      <c r="AK178" s="1621">
        <v>0.2</v>
      </c>
      <c r="AL178" s="1621">
        <v>0.2</v>
      </c>
      <c r="AM178" s="1621">
        <v>0.2</v>
      </c>
      <c r="AN178" s="1621">
        <v>0.2</v>
      </c>
      <c r="AO178" s="1621">
        <v>0.2</v>
      </c>
      <c r="AP178" s="1621">
        <v>0.2</v>
      </c>
      <c r="AQ178" s="1621">
        <v>0.2</v>
      </c>
      <c r="AR178" s="1621">
        <v>0.2</v>
      </c>
      <c r="AS178" s="2084">
        <v>0.2</v>
      </c>
      <c r="AT178" s="2085"/>
      <c r="AU178" s="2084"/>
      <c r="AV178" s="2084"/>
      <c r="AW178"/>
      <c r="AX178" s="1628" t="s">
        <v>1555</v>
      </c>
      <c r="AY178" s="1691" t="s">
        <v>378</v>
      </c>
      <c r="AZ178" s="1692" t="s">
        <v>1112</v>
      </c>
      <c r="BA178" s="2084">
        <v>0.2</v>
      </c>
      <c r="BB178" s="2084">
        <v>0.2</v>
      </c>
      <c r="BC178" s="2084">
        <v>0.2</v>
      </c>
      <c r="BD178" s="2084">
        <v>0.2</v>
      </c>
      <c r="BE178" s="2084">
        <v>0.2</v>
      </c>
      <c r="BF178" s="2084">
        <v>0.2</v>
      </c>
      <c r="BG178" s="2084">
        <v>0.2</v>
      </c>
      <c r="BH178" s="2084">
        <v>0.2</v>
      </c>
      <c r="BI178" s="2084">
        <v>0.2</v>
      </c>
      <c r="BJ178" s="2084">
        <v>0.2</v>
      </c>
      <c r="BK178" s="2085"/>
      <c r="BL178" s="2084"/>
      <c r="BM178" s="2084"/>
      <c r="BN178"/>
      <c r="BO178" s="1628" t="s">
        <v>1610</v>
      </c>
      <c r="BP178" s="1691" t="s">
        <v>378</v>
      </c>
      <c r="BQ178" s="1692" t="s">
        <v>1112</v>
      </c>
      <c r="BR178" s="2084">
        <v>0.2</v>
      </c>
      <c r="BS178" s="2084">
        <v>0.2</v>
      </c>
      <c r="BT178" s="2084">
        <v>0.2</v>
      </c>
      <c r="BU178" s="2084">
        <v>0.2</v>
      </c>
      <c r="BV178" s="2084">
        <v>0.2</v>
      </c>
      <c r="BW178" s="2084">
        <v>0.2</v>
      </c>
      <c r="BX178" s="2084">
        <v>0.2</v>
      </c>
      <c r="BY178" s="2084">
        <v>0.2</v>
      </c>
      <c r="BZ178" s="2084">
        <v>0.2</v>
      </c>
      <c r="CA178" s="2084">
        <v>0.2</v>
      </c>
      <c r="CB178" s="2085"/>
      <c r="CC178" s="2084"/>
      <c r="CD178" s="2084"/>
    </row>
    <row r="179" spans="2:82" s="1556" customFormat="1">
      <c r="B179" s="1595" t="str">
        <f t="shared" si="174"/>
        <v>3.3.1</v>
      </c>
      <c r="C179" s="1743" t="str">
        <f t="shared" si="171"/>
        <v>屋外照明及び屋内照明のうち外に漏れる光への対策</v>
      </c>
      <c r="D179" s="1714" t="e">
        <f>IF(I$178=0,0,G179/I$178)</f>
        <v>#DIV/0!</v>
      </c>
      <c r="E179" s="1714" t="e">
        <f>IF(J$178=0,0,H179/J$178)</f>
        <v>#DIV/0!</v>
      </c>
      <c r="F179"/>
      <c r="G179" s="1689" t="e">
        <f t="shared" si="166"/>
        <v>#DIV/0!</v>
      </c>
      <c r="H179" s="1689" t="e">
        <f t="shared" si="167"/>
        <v>#DIV/0!</v>
      </c>
      <c r="I179" s="1689"/>
      <c r="J179" s="1689"/>
      <c r="K179" s="1689">
        <f>IF(スコア表示!W179=0,0,1)</f>
        <v>1</v>
      </c>
      <c r="L179" s="1689">
        <f>IF(スコア表示!AA179=0,0,1)</f>
        <v>0</v>
      </c>
      <c r="M179" s="1689" t="e">
        <f t="shared" si="172"/>
        <v>#DIV/0!</v>
      </c>
      <c r="N179" s="1689" t="e">
        <f t="shared" si="145"/>
        <v>#DIV/0!</v>
      </c>
      <c r="O179"/>
      <c r="P179" s="1628" t="str">
        <f t="shared" si="146"/>
        <v>3.3.1</v>
      </c>
      <c r="Q179" s="1691" t="str">
        <f t="shared" si="147"/>
        <v>LR3 3.3</v>
      </c>
      <c r="R179" s="1692" t="str">
        <f t="shared" si="173"/>
        <v>屋外照明及び屋内照明のうち外に漏れる光への対策</v>
      </c>
      <c r="S179" s="1621">
        <f t="shared" si="152"/>
        <v>0.7</v>
      </c>
      <c r="T179" s="1621">
        <f t="shared" si="153"/>
        <v>0.7</v>
      </c>
      <c r="U179" s="1621">
        <f t="shared" si="154"/>
        <v>0.7</v>
      </c>
      <c r="V179" s="1621">
        <f t="shared" si="155"/>
        <v>0.7</v>
      </c>
      <c r="W179" s="1621">
        <f t="shared" si="156"/>
        <v>0.7</v>
      </c>
      <c r="X179" s="1621">
        <f t="shared" si="157"/>
        <v>0.7</v>
      </c>
      <c r="Y179" s="1621">
        <f t="shared" si="158"/>
        <v>0.7</v>
      </c>
      <c r="Z179" s="1621">
        <f t="shared" si="159"/>
        <v>0.7</v>
      </c>
      <c r="AA179" s="1621">
        <f t="shared" si="160"/>
        <v>0.7</v>
      </c>
      <c r="AB179" s="1621">
        <f t="shared" si="161"/>
        <v>0.7</v>
      </c>
      <c r="AC179" s="1660">
        <f t="shared" si="149"/>
        <v>0</v>
      </c>
      <c r="AD179" s="1659">
        <f t="shared" si="150"/>
        <v>0</v>
      </c>
      <c r="AE179" s="1659">
        <f t="shared" si="151"/>
        <v>0</v>
      </c>
      <c r="AF179"/>
      <c r="AG179" s="1628" t="s">
        <v>1430</v>
      </c>
      <c r="AH179" s="1691" t="s">
        <v>381</v>
      </c>
      <c r="AI179" s="1692" t="s">
        <v>1556</v>
      </c>
      <c r="AJ179" s="2084">
        <v>0.7</v>
      </c>
      <c r="AK179" s="2084">
        <v>0.7</v>
      </c>
      <c r="AL179" s="2084">
        <v>0.7</v>
      </c>
      <c r="AM179" s="2084">
        <v>0.7</v>
      </c>
      <c r="AN179" s="2084">
        <v>0.7</v>
      </c>
      <c r="AO179" s="2084">
        <v>0.7</v>
      </c>
      <c r="AP179" s="2084">
        <v>0.7</v>
      </c>
      <c r="AQ179" s="2084">
        <v>0.7</v>
      </c>
      <c r="AR179" s="2084">
        <v>0.7</v>
      </c>
      <c r="AS179" s="1621">
        <v>0.7</v>
      </c>
      <c r="AT179" s="2085"/>
      <c r="AU179" s="2084"/>
      <c r="AV179" s="2084"/>
      <c r="AW179"/>
      <c r="AX179" s="1628" t="s">
        <v>1430</v>
      </c>
      <c r="AY179" s="1691" t="s">
        <v>381</v>
      </c>
      <c r="AZ179" s="1692" t="s">
        <v>1556</v>
      </c>
      <c r="BA179" s="1621">
        <v>0.7</v>
      </c>
      <c r="BB179" s="1621">
        <v>0.7</v>
      </c>
      <c r="BC179" s="1621">
        <v>0.7</v>
      </c>
      <c r="BD179" s="1621">
        <v>0.7</v>
      </c>
      <c r="BE179" s="1621">
        <v>0.7</v>
      </c>
      <c r="BF179" s="1621">
        <v>0.7</v>
      </c>
      <c r="BG179" s="1621">
        <v>0.7</v>
      </c>
      <c r="BH179" s="1621">
        <v>0.7</v>
      </c>
      <c r="BI179" s="1621">
        <v>0.7</v>
      </c>
      <c r="BJ179" s="1621">
        <v>0.7</v>
      </c>
      <c r="BK179" s="2085"/>
      <c r="BL179" s="2084"/>
      <c r="BM179" s="2084"/>
      <c r="BN179"/>
      <c r="BO179" s="1628" t="s">
        <v>1611</v>
      </c>
      <c r="BP179" s="1691" t="s">
        <v>381</v>
      </c>
      <c r="BQ179" s="1692" t="s">
        <v>1612</v>
      </c>
      <c r="BR179" s="1621">
        <v>0.7</v>
      </c>
      <c r="BS179" s="1621">
        <v>0.7</v>
      </c>
      <c r="BT179" s="1621">
        <v>0.7</v>
      </c>
      <c r="BU179" s="1621">
        <v>0.7</v>
      </c>
      <c r="BV179" s="1621">
        <v>0.7</v>
      </c>
      <c r="BW179" s="1621">
        <v>0.7</v>
      </c>
      <c r="BX179" s="1621">
        <v>0.7</v>
      </c>
      <c r="BY179" s="1621">
        <v>0.7</v>
      </c>
      <c r="BZ179" s="1621">
        <v>0.7</v>
      </c>
      <c r="CA179" s="1621">
        <v>0.7</v>
      </c>
      <c r="CB179" s="2085"/>
      <c r="CC179" s="2084"/>
      <c r="CD179" s="2084"/>
    </row>
    <row r="180" spans="2:82" s="1556" customFormat="1">
      <c r="B180" s="1595" t="str">
        <f t="shared" si="174"/>
        <v>3.3.2</v>
      </c>
      <c r="C180" s="1735" t="str">
        <f t="shared" si="171"/>
        <v>昼光の建物外壁による反射光（グレア）への対策</v>
      </c>
      <c r="D180" s="1714" t="e">
        <f>IF(I$178=0,0,G180/I$178)</f>
        <v>#DIV/0!</v>
      </c>
      <c r="E180" s="1714" t="e">
        <f>IF(J$178=0,0,H180/J$178)</f>
        <v>#DIV/0!</v>
      </c>
      <c r="F180"/>
      <c r="G180" s="1689" t="e">
        <f t="shared" si="166"/>
        <v>#DIV/0!</v>
      </c>
      <c r="H180" s="1689" t="e">
        <f t="shared" si="167"/>
        <v>#DIV/0!</v>
      </c>
      <c r="I180" s="1689"/>
      <c r="J180" s="1689"/>
      <c r="K180" s="1689">
        <f>IF(スコア表示!W180=0,0,1)</f>
        <v>1</v>
      </c>
      <c r="L180" s="1689">
        <f>IF(スコア表示!AA180=0,0,1)</f>
        <v>0</v>
      </c>
      <c r="M180" s="1689" t="e">
        <f t="shared" si="172"/>
        <v>#DIV/0!</v>
      </c>
      <c r="N180" s="1689" t="e">
        <f t="shared" si="145"/>
        <v>#DIV/0!</v>
      </c>
      <c r="O180"/>
      <c r="P180" s="1628" t="str">
        <f t="shared" si="146"/>
        <v>3.3.2</v>
      </c>
      <c r="Q180" s="1691" t="str">
        <f t="shared" si="147"/>
        <v>LR3 3.3</v>
      </c>
      <c r="R180" s="1692" t="str">
        <f t="shared" si="173"/>
        <v>昼光の建物外壁による反射光（グレア）への対策</v>
      </c>
      <c r="S180" s="1621">
        <f t="shared" si="152"/>
        <v>0.3</v>
      </c>
      <c r="T180" s="1621">
        <f t="shared" si="153"/>
        <v>0.3</v>
      </c>
      <c r="U180" s="1621">
        <f t="shared" si="154"/>
        <v>0.3</v>
      </c>
      <c r="V180" s="1621">
        <f t="shared" si="155"/>
        <v>0.3</v>
      </c>
      <c r="W180" s="1621">
        <f t="shared" si="156"/>
        <v>0.3</v>
      </c>
      <c r="X180" s="1621">
        <f t="shared" si="157"/>
        <v>0.3</v>
      </c>
      <c r="Y180" s="1621">
        <f t="shared" si="158"/>
        <v>0.3</v>
      </c>
      <c r="Z180" s="1621">
        <f t="shared" si="159"/>
        <v>0.3</v>
      </c>
      <c r="AA180" s="1621">
        <f t="shared" si="160"/>
        <v>0.3</v>
      </c>
      <c r="AB180" s="1621">
        <f t="shared" si="161"/>
        <v>0.3</v>
      </c>
      <c r="AC180" s="1660">
        <f t="shared" si="149"/>
        <v>0</v>
      </c>
      <c r="AD180" s="1659">
        <f t="shared" si="150"/>
        <v>0</v>
      </c>
      <c r="AE180" s="1659">
        <f t="shared" si="151"/>
        <v>0</v>
      </c>
      <c r="AF180"/>
      <c r="AG180" s="1628" t="s">
        <v>1476</v>
      </c>
      <c r="AH180" s="1691" t="s">
        <v>381</v>
      </c>
      <c r="AI180" s="1692" t="s">
        <v>1557</v>
      </c>
      <c r="AJ180" s="1621">
        <v>0.3</v>
      </c>
      <c r="AK180" s="1621">
        <v>0.3</v>
      </c>
      <c r="AL180" s="1621">
        <v>0.3</v>
      </c>
      <c r="AM180" s="1621">
        <v>0.3</v>
      </c>
      <c r="AN180" s="1621">
        <v>0.3</v>
      </c>
      <c r="AO180" s="1621">
        <v>0.3</v>
      </c>
      <c r="AP180" s="1621">
        <v>0.3</v>
      </c>
      <c r="AQ180" s="1621">
        <v>0.3</v>
      </c>
      <c r="AR180" s="1621">
        <v>0.3</v>
      </c>
      <c r="AS180" s="1621">
        <v>0.3</v>
      </c>
      <c r="AT180" s="2085"/>
      <c r="AU180" s="2084"/>
      <c r="AV180" s="2084"/>
      <c r="AW180"/>
      <c r="AX180" s="1628" t="s">
        <v>1476</v>
      </c>
      <c r="AY180" s="1691" t="s">
        <v>381</v>
      </c>
      <c r="AZ180" s="1692" t="s">
        <v>1557</v>
      </c>
      <c r="BA180" s="1621">
        <v>0.3</v>
      </c>
      <c r="BB180" s="1621">
        <v>0.3</v>
      </c>
      <c r="BC180" s="1621">
        <v>0.3</v>
      </c>
      <c r="BD180" s="1621">
        <v>0.3</v>
      </c>
      <c r="BE180" s="1621">
        <v>0.3</v>
      </c>
      <c r="BF180" s="1621">
        <v>0.3</v>
      </c>
      <c r="BG180" s="1621">
        <v>0.3</v>
      </c>
      <c r="BH180" s="1621">
        <v>0.3</v>
      </c>
      <c r="BI180" s="1621">
        <v>0.3</v>
      </c>
      <c r="BJ180" s="1621">
        <v>0.3</v>
      </c>
      <c r="BK180" s="2085"/>
      <c r="BL180" s="2084"/>
      <c r="BM180" s="2084"/>
      <c r="BN180"/>
      <c r="BO180" s="1628" t="s">
        <v>1613</v>
      </c>
      <c r="BP180" s="1691" t="s">
        <v>381</v>
      </c>
      <c r="BQ180" s="1692" t="s">
        <v>1614</v>
      </c>
      <c r="BR180" s="1621">
        <v>0.3</v>
      </c>
      <c r="BS180" s="1621">
        <v>0.3</v>
      </c>
      <c r="BT180" s="1621">
        <v>0.3</v>
      </c>
      <c r="BU180" s="1621">
        <v>0.3</v>
      </c>
      <c r="BV180" s="1621">
        <v>0.3</v>
      </c>
      <c r="BW180" s="1621">
        <v>0.3</v>
      </c>
      <c r="BX180" s="1621">
        <v>0.3</v>
      </c>
      <c r="BY180" s="1621">
        <v>0.3</v>
      </c>
      <c r="BZ180" s="1621">
        <v>0.3</v>
      </c>
      <c r="CA180" s="1621">
        <v>0.3</v>
      </c>
      <c r="CB180" s="2085"/>
      <c r="CC180" s="2084"/>
      <c r="CD180" s="2084"/>
    </row>
    <row r="181" spans="2:82" s="1556" customFormat="1">
      <c r="B181" s="1997"/>
      <c r="C181" s="1998"/>
      <c r="D181" s="1999"/>
      <c r="E181" s="2000"/>
      <c r="F181"/>
      <c r="G181" s="2000"/>
      <c r="H181" s="2000"/>
      <c r="I181" s="2000"/>
      <c r="J181" s="2000"/>
      <c r="K181" s="2000"/>
      <c r="L181" s="2000"/>
      <c r="M181" s="2000"/>
      <c r="N181" s="2000"/>
      <c r="O181"/>
      <c r="P181" s="2001"/>
      <c r="Q181" s="2001"/>
      <c r="R181" s="2002"/>
      <c r="S181" s="2003"/>
      <c r="T181" s="2003"/>
      <c r="U181" s="2003"/>
      <c r="V181" s="2003"/>
      <c r="W181" s="2003"/>
      <c r="X181" s="2003"/>
      <c r="Y181" s="2003"/>
      <c r="Z181" s="2003"/>
      <c r="AA181" s="2003"/>
      <c r="AB181" s="2003"/>
      <c r="AC181" s="2003"/>
      <c r="AD181" s="2003"/>
      <c r="AE181" s="2003"/>
      <c r="AF181"/>
      <c r="AG181" s="2004"/>
      <c r="AH181" s="1745"/>
      <c r="AI181" s="2005"/>
      <c r="AJ181" s="1745"/>
      <c r="AK181" s="1745"/>
      <c r="AL181" s="1745"/>
      <c r="AM181" s="1745"/>
      <c r="AN181" s="1745"/>
      <c r="AO181" s="1745"/>
      <c r="AP181" s="1745"/>
      <c r="AQ181" s="1745"/>
      <c r="AR181" s="1745"/>
      <c r="AS181" s="1745"/>
      <c r="AT181" s="1745"/>
      <c r="AU181" s="1745"/>
      <c r="AV181" s="1745"/>
      <c r="AW181"/>
      <c r="AX181" s="2004"/>
      <c r="AY181" s="1745"/>
      <c r="AZ181" s="2005"/>
      <c r="BA181" s="1745"/>
      <c r="BB181" s="1745"/>
      <c r="BC181" s="1745"/>
      <c r="BD181" s="1745"/>
      <c r="BE181" s="1745"/>
      <c r="BF181" s="1745"/>
      <c r="BG181" s="1745"/>
      <c r="BH181" s="1745"/>
      <c r="BI181" s="1745"/>
      <c r="BJ181" s="1745"/>
      <c r="BK181" s="1745"/>
      <c r="BL181" s="1745"/>
      <c r="BM181" s="1745"/>
      <c r="BN181"/>
      <c r="BO181" s="2004"/>
      <c r="BP181" s="1745"/>
      <c r="BQ181" s="2005"/>
      <c r="BR181" s="1745"/>
      <c r="BS181" s="1745"/>
      <c r="BT181" s="1745"/>
      <c r="BU181" s="1745"/>
      <c r="BV181" s="1745"/>
      <c r="BW181" s="1745"/>
      <c r="BX181" s="1745"/>
      <c r="BY181" s="1745"/>
      <c r="BZ181" s="1745"/>
      <c r="CA181" s="1745"/>
      <c r="CB181" s="1745"/>
      <c r="CC181" s="1745"/>
      <c r="CD181" s="1745"/>
    </row>
    <row r="182" spans="2:82" s="1556" customFormat="1" hidden="1">
      <c r="B182" s="1997"/>
      <c r="C182" s="1998"/>
      <c r="D182" s="1999"/>
      <c r="E182" s="2000"/>
      <c r="F182"/>
      <c r="G182" s="2000"/>
      <c r="H182" s="2000"/>
      <c r="I182" s="2000"/>
      <c r="J182" s="2000"/>
      <c r="K182" s="2000"/>
      <c r="L182" s="2000"/>
      <c r="M182" s="2000"/>
      <c r="N182" s="2000"/>
      <c r="O182"/>
      <c r="P182" s="2001"/>
      <c r="Q182" s="2001"/>
      <c r="R182" s="2002"/>
      <c r="S182" s="2003"/>
      <c r="T182" s="2003"/>
      <c r="U182" s="2003"/>
      <c r="V182" s="2003"/>
      <c r="W182" s="2003"/>
      <c r="X182" s="2003"/>
      <c r="Y182" s="2003"/>
      <c r="Z182" s="2003"/>
      <c r="AA182" s="2003"/>
      <c r="AB182" s="2003"/>
      <c r="AC182" s="2003"/>
      <c r="AD182" s="2003"/>
      <c r="AE182" s="2003"/>
      <c r="AF182"/>
      <c r="AG182" s="2004"/>
      <c r="AH182" s="1745"/>
      <c r="AI182" s="2005"/>
      <c r="AJ182" s="1745"/>
      <c r="AK182" s="1745"/>
      <c r="AL182" s="1745"/>
      <c r="AM182" s="1745"/>
      <c r="AN182" s="1745"/>
      <c r="AO182" s="1745"/>
      <c r="AP182" s="1745"/>
      <c r="AQ182" s="1745"/>
      <c r="AR182" s="1745"/>
      <c r="AS182" s="1745"/>
      <c r="AT182" s="1745"/>
      <c r="AU182" s="1745"/>
      <c r="AV182" s="1745"/>
      <c r="AW182"/>
      <c r="AX182" s="2004"/>
      <c r="AY182" s="1745"/>
      <c r="AZ182" s="2005"/>
      <c r="BA182" s="1745"/>
      <c r="BB182" s="1745"/>
      <c r="BC182" s="1745"/>
      <c r="BD182" s="1745"/>
      <c r="BE182" s="1745"/>
      <c r="BF182" s="1745"/>
      <c r="BG182" s="1745"/>
      <c r="BH182" s="1745"/>
      <c r="BI182" s="1745"/>
      <c r="BJ182" s="1745"/>
      <c r="BK182" s="1745"/>
      <c r="BL182" s="1745"/>
      <c r="BM182" s="1745"/>
      <c r="BN182"/>
      <c r="BO182" s="2004"/>
      <c r="BP182" s="1745"/>
      <c r="BQ182" s="2005"/>
      <c r="BR182" s="1745"/>
      <c r="BS182" s="1745"/>
      <c r="BT182" s="1745"/>
      <c r="BU182" s="1745"/>
      <c r="BV182" s="1745"/>
      <c r="BW182" s="1745"/>
      <c r="BX182" s="1745"/>
      <c r="BY182" s="1745"/>
      <c r="BZ182" s="1745"/>
      <c r="CA182" s="1745"/>
      <c r="CB182" s="1745"/>
      <c r="CC182" s="1745"/>
      <c r="CD182" s="1745"/>
    </row>
    <row r="183" spans="2:82" s="1556" customFormat="1" hidden="1">
      <c r="B183" s="1997"/>
      <c r="C183" s="1998"/>
      <c r="D183" s="1999"/>
      <c r="E183" s="2000"/>
      <c r="F183"/>
      <c r="G183" s="2000"/>
      <c r="H183" s="2000"/>
      <c r="I183" s="2000"/>
      <c r="J183" s="2000"/>
      <c r="K183" s="2000"/>
      <c r="L183" s="2000"/>
      <c r="M183" s="2000"/>
      <c r="N183" s="2000"/>
      <c r="O183"/>
      <c r="P183" s="2001"/>
      <c r="Q183" s="2001"/>
      <c r="R183" s="2002"/>
      <c r="S183" s="2003"/>
      <c r="T183" s="2003"/>
      <c r="U183" s="2003"/>
      <c r="V183" s="2003"/>
      <c r="W183" s="2003"/>
      <c r="X183" s="2003"/>
      <c r="Y183" s="2003"/>
      <c r="Z183" s="2003"/>
      <c r="AA183" s="2003"/>
      <c r="AB183" s="2003"/>
      <c r="AC183" s="2003"/>
      <c r="AD183" s="2003"/>
      <c r="AE183" s="2003"/>
      <c r="AF183"/>
      <c r="AG183" s="2004"/>
      <c r="AH183" s="1745"/>
      <c r="AI183" s="2005"/>
      <c r="AJ183" s="1745"/>
      <c r="AK183" s="1745"/>
      <c r="AL183" s="1745"/>
      <c r="AM183" s="1745"/>
      <c r="AN183" s="1745"/>
      <c r="AO183" s="1745"/>
      <c r="AP183" s="1745"/>
      <c r="AQ183" s="1745"/>
      <c r="AR183" s="1745"/>
      <c r="AS183" s="1745"/>
      <c r="AT183" s="1745"/>
      <c r="AU183" s="1745"/>
      <c r="AV183" s="1745"/>
      <c r="AW183"/>
      <c r="AX183" s="2004"/>
      <c r="AY183" s="1745"/>
      <c r="AZ183" s="2005"/>
      <c r="BA183" s="1745"/>
      <c r="BB183" s="1745"/>
      <c r="BC183" s="1745"/>
      <c r="BD183" s="1745"/>
      <c r="BE183" s="1745"/>
      <c r="BF183" s="1745"/>
      <c r="BG183" s="1745"/>
      <c r="BH183" s="1745"/>
      <c r="BI183" s="1745"/>
      <c r="BJ183" s="1745"/>
      <c r="BK183" s="1745"/>
      <c r="BL183" s="1745"/>
      <c r="BM183" s="1745"/>
      <c r="BN183"/>
      <c r="BO183" s="2004"/>
      <c r="BP183" s="1745"/>
      <c r="BQ183" s="2005"/>
      <c r="BR183" s="1745"/>
      <c r="BS183" s="1745"/>
      <c r="BT183" s="1745"/>
      <c r="BU183" s="1745"/>
      <c r="BV183" s="1745"/>
      <c r="BW183" s="1745"/>
      <c r="BX183" s="1745"/>
      <c r="BY183" s="1745"/>
      <c r="BZ183" s="1745"/>
      <c r="CA183" s="1745"/>
      <c r="CB183" s="1745"/>
      <c r="CC183" s="1745"/>
      <c r="CD183" s="1745"/>
    </row>
    <row r="184" spans="2:82" s="1556" customFormat="1" hidden="1">
      <c r="B184" s="1997"/>
      <c r="C184" s="1998"/>
      <c r="D184" s="1999"/>
      <c r="E184" s="2000"/>
      <c r="F184"/>
      <c r="G184" s="2000"/>
      <c r="H184" s="2000"/>
      <c r="I184" s="2000"/>
      <c r="J184" s="2000"/>
      <c r="K184" s="2000"/>
      <c r="L184" s="2000"/>
      <c r="M184" s="2000"/>
      <c r="N184" s="2000"/>
      <c r="O184"/>
      <c r="P184" s="2001"/>
      <c r="Q184" s="2001"/>
      <c r="R184" s="2002"/>
      <c r="S184" s="2003"/>
      <c r="T184" s="2003"/>
      <c r="U184" s="2003"/>
      <c r="V184" s="2003"/>
      <c r="W184" s="2003"/>
      <c r="X184" s="2003"/>
      <c r="Y184" s="2003"/>
      <c r="Z184" s="2003"/>
      <c r="AA184" s="2003"/>
      <c r="AB184" s="2003"/>
      <c r="AC184" s="2003"/>
      <c r="AD184" s="2003"/>
      <c r="AE184" s="2003"/>
      <c r="AF184"/>
      <c r="AG184" s="2004"/>
      <c r="AH184" s="1745"/>
      <c r="AI184" s="2005"/>
      <c r="AJ184" s="1745"/>
      <c r="AK184" s="1745"/>
      <c r="AL184" s="1745"/>
      <c r="AM184" s="1745"/>
      <c r="AN184" s="1745"/>
      <c r="AO184" s="1745"/>
      <c r="AP184" s="1745"/>
      <c r="AQ184" s="1745"/>
      <c r="AR184" s="1745"/>
      <c r="AS184" s="1745"/>
      <c r="AT184" s="1745"/>
      <c r="AU184" s="1745"/>
      <c r="AV184" s="1745"/>
      <c r="AW184"/>
      <c r="AX184" s="2004"/>
      <c r="AY184" s="1745"/>
      <c r="AZ184" s="2005"/>
      <c r="BA184" s="1745"/>
      <c r="BB184" s="1745"/>
      <c r="BC184" s="1745"/>
      <c r="BD184" s="1745"/>
      <c r="BE184" s="1745"/>
      <c r="BF184" s="1745"/>
      <c r="BG184" s="1745"/>
      <c r="BH184" s="1745"/>
      <c r="BI184" s="1745"/>
      <c r="BJ184" s="1745"/>
      <c r="BK184" s="1745"/>
      <c r="BL184" s="1745"/>
      <c r="BM184" s="1745"/>
      <c r="BN184"/>
      <c r="BO184" s="2004"/>
      <c r="BP184" s="1745"/>
      <c r="BQ184" s="2005"/>
      <c r="BR184" s="1745"/>
      <c r="BS184" s="1745"/>
      <c r="BT184" s="1745"/>
      <c r="BU184" s="1745"/>
      <c r="BV184" s="1745"/>
      <c r="BW184" s="1745"/>
      <c r="BX184" s="1745"/>
      <c r="BY184" s="1745"/>
      <c r="BZ184" s="1745"/>
      <c r="CA184" s="1745"/>
      <c r="CB184" s="1745"/>
      <c r="CC184" s="1745"/>
      <c r="CD184" s="1745"/>
    </row>
    <row r="185" spans="2:82" s="1556" customFormat="1" hidden="1">
      <c r="B185" s="1997"/>
      <c r="C185" s="1998"/>
      <c r="D185" s="1999"/>
      <c r="E185" s="2000"/>
      <c r="F185"/>
      <c r="G185" s="2000"/>
      <c r="H185" s="2000"/>
      <c r="I185" s="2000"/>
      <c r="J185" s="2000"/>
      <c r="K185" s="2000"/>
      <c r="L185" s="2000"/>
      <c r="M185" s="2000"/>
      <c r="N185" s="2000"/>
      <c r="O185"/>
      <c r="P185" s="2001"/>
      <c r="Q185" s="2001"/>
      <c r="R185" s="2002"/>
      <c r="S185" s="2003"/>
      <c r="T185" s="2003"/>
      <c r="U185" s="2003"/>
      <c r="V185" s="2003"/>
      <c r="W185" s="2003"/>
      <c r="X185" s="2003"/>
      <c r="Y185" s="2003"/>
      <c r="Z185" s="2003"/>
      <c r="AA185" s="2003"/>
      <c r="AB185" s="2003"/>
      <c r="AC185" s="2003"/>
      <c r="AD185" s="2003"/>
      <c r="AE185" s="2003"/>
      <c r="AF185"/>
      <c r="AG185" s="2004"/>
      <c r="AH185" s="1745"/>
      <c r="AI185" s="2005"/>
      <c r="AJ185" s="1745"/>
      <c r="AK185" s="1745"/>
      <c r="AL185" s="1745"/>
      <c r="AM185" s="1745"/>
      <c r="AN185" s="1745"/>
      <c r="AO185" s="1745"/>
      <c r="AP185" s="1745"/>
      <c r="AQ185" s="1745"/>
      <c r="AR185" s="1745"/>
      <c r="AS185" s="1745"/>
      <c r="AT185" s="1745"/>
      <c r="AU185" s="1745"/>
      <c r="AV185" s="1745"/>
      <c r="AW185"/>
      <c r="AX185" s="2004"/>
      <c r="AY185" s="1745"/>
      <c r="AZ185" s="2005"/>
      <c r="BA185" s="1745"/>
      <c r="BB185" s="1745"/>
      <c r="BC185" s="1745"/>
      <c r="BD185" s="1745"/>
      <c r="BE185" s="1745"/>
      <c r="BF185" s="1745"/>
      <c r="BG185" s="1745"/>
      <c r="BH185" s="1745"/>
      <c r="BI185" s="1745"/>
      <c r="BJ185" s="1745"/>
      <c r="BK185" s="1745"/>
      <c r="BL185" s="1745"/>
      <c r="BM185" s="1745"/>
      <c r="BN185"/>
      <c r="BO185" s="2004"/>
      <c r="BP185" s="1745"/>
      <c r="BQ185" s="2005"/>
      <c r="BR185" s="1745"/>
      <c r="BS185" s="1745"/>
      <c r="BT185" s="1745"/>
      <c r="BU185" s="1745"/>
      <c r="BV185" s="1745"/>
      <c r="BW185" s="1745"/>
      <c r="BX185" s="1745"/>
      <c r="BY185" s="1745"/>
      <c r="BZ185" s="1745"/>
      <c r="CA185" s="1745"/>
      <c r="CB185" s="1745"/>
      <c r="CC185" s="1745"/>
      <c r="CD185" s="1745"/>
    </row>
    <row r="186" spans="2:82" s="1556" customFormat="1" hidden="1">
      <c r="B186" s="1997"/>
      <c r="C186" s="1998"/>
      <c r="D186" s="1999"/>
      <c r="E186" s="2000"/>
      <c r="F186"/>
      <c r="G186" s="2000"/>
      <c r="H186" s="2000"/>
      <c r="I186" s="2000"/>
      <c r="J186" s="2000"/>
      <c r="K186" s="2000"/>
      <c r="L186" s="2000"/>
      <c r="M186" s="2000"/>
      <c r="N186" s="2000"/>
      <c r="O186"/>
      <c r="P186" s="2001"/>
      <c r="Q186" s="2001"/>
      <c r="R186" s="2002"/>
      <c r="S186" s="2003"/>
      <c r="T186" s="2003"/>
      <c r="U186" s="2003"/>
      <c r="V186" s="2003"/>
      <c r="W186" s="2003"/>
      <c r="X186" s="2003"/>
      <c r="Y186" s="2003"/>
      <c r="Z186" s="2003"/>
      <c r="AA186" s="2003"/>
      <c r="AB186" s="2003"/>
      <c r="AC186" s="2003"/>
      <c r="AD186" s="2003"/>
      <c r="AE186" s="2003"/>
      <c r="AF186"/>
      <c r="AG186" s="2004"/>
      <c r="AH186" s="1745"/>
      <c r="AI186" s="2005"/>
      <c r="AJ186" s="1745"/>
      <c r="AK186" s="1745"/>
      <c r="AL186" s="1745"/>
      <c r="AM186" s="1745"/>
      <c r="AN186" s="1745"/>
      <c r="AO186" s="1745"/>
      <c r="AP186" s="1745"/>
      <c r="AQ186" s="1745"/>
      <c r="AR186" s="1745"/>
      <c r="AS186" s="1745"/>
      <c r="AT186" s="1745"/>
      <c r="AU186" s="1745"/>
      <c r="AV186" s="1745"/>
      <c r="AW186"/>
      <c r="AX186" s="2004"/>
      <c r="AY186" s="1745"/>
      <c r="AZ186" s="2005"/>
      <c r="BA186" s="1745"/>
      <c r="BB186" s="1745"/>
      <c r="BC186" s="1745"/>
      <c r="BD186" s="1745"/>
      <c r="BE186" s="1745"/>
      <c r="BF186" s="1745"/>
      <c r="BG186" s="1745"/>
      <c r="BH186" s="1745"/>
      <c r="BI186" s="1745"/>
      <c r="BJ186" s="1745"/>
      <c r="BK186" s="1745"/>
      <c r="BL186" s="1745"/>
      <c r="BM186" s="1745"/>
      <c r="BN186"/>
      <c r="BO186" s="2004"/>
      <c r="BP186" s="1745"/>
      <c r="BQ186" s="2005"/>
      <c r="BR186" s="1745"/>
      <c r="BS186" s="1745"/>
      <c r="BT186" s="1745"/>
      <c r="BU186" s="1745"/>
      <c r="BV186" s="1745"/>
      <c r="BW186" s="1745"/>
      <c r="BX186" s="1745"/>
      <c r="BY186" s="1745"/>
      <c r="BZ186" s="1745"/>
      <c r="CA186" s="1745"/>
      <c r="CB186" s="1745"/>
      <c r="CC186" s="1745"/>
      <c r="CD186" s="1745"/>
    </row>
    <row r="187" spans="2:82" s="1556" customFormat="1" hidden="1">
      <c r="B187" s="1997"/>
      <c r="C187" s="1998"/>
      <c r="D187" s="1999"/>
      <c r="E187" s="2000"/>
      <c r="F187"/>
      <c r="G187" s="2000"/>
      <c r="H187" s="2000"/>
      <c r="I187" s="2000"/>
      <c r="J187" s="2000"/>
      <c r="K187" s="2000"/>
      <c r="L187" s="2000"/>
      <c r="M187" s="2000"/>
      <c r="N187" s="2000"/>
      <c r="O187"/>
      <c r="P187" s="2001"/>
      <c r="Q187" s="2001"/>
      <c r="R187" s="2002"/>
      <c r="S187" s="2003"/>
      <c r="T187" s="2003"/>
      <c r="U187" s="2003"/>
      <c r="V187" s="2003"/>
      <c r="W187" s="2003"/>
      <c r="X187" s="2003"/>
      <c r="Y187" s="2003"/>
      <c r="Z187" s="2003"/>
      <c r="AA187" s="2003"/>
      <c r="AB187" s="2003"/>
      <c r="AC187" s="2003"/>
      <c r="AD187" s="2003"/>
      <c r="AE187" s="2003"/>
      <c r="AF187"/>
      <c r="AG187" s="2004"/>
      <c r="AH187" s="1745"/>
      <c r="AI187" s="2005"/>
      <c r="AJ187" s="1745"/>
      <c r="AK187" s="1745"/>
      <c r="AL187" s="1745"/>
      <c r="AM187" s="1745"/>
      <c r="AN187" s="1745"/>
      <c r="AO187" s="1745"/>
      <c r="AP187" s="1745"/>
      <c r="AQ187" s="1745"/>
      <c r="AR187" s="1745"/>
      <c r="AS187" s="1745"/>
      <c r="AT187" s="1745"/>
      <c r="AU187" s="1745"/>
      <c r="AV187" s="1745"/>
      <c r="AW187"/>
      <c r="AX187" s="2004"/>
      <c r="AY187" s="1745"/>
      <c r="AZ187" s="2005"/>
      <c r="BA187" s="1745"/>
      <c r="BB187" s="1745"/>
      <c r="BC187" s="1745"/>
      <c r="BD187" s="1745"/>
      <c r="BE187" s="1745"/>
      <c r="BF187" s="1745"/>
      <c r="BG187" s="1745"/>
      <c r="BH187" s="1745"/>
      <c r="BI187" s="1745"/>
      <c r="BJ187" s="1745"/>
      <c r="BK187" s="1745"/>
      <c r="BL187" s="1745"/>
      <c r="BM187" s="1745"/>
      <c r="BN187"/>
      <c r="BO187" s="2004"/>
      <c r="BP187" s="1745"/>
      <c r="BQ187" s="2005"/>
      <c r="BR187" s="1745"/>
      <c r="BS187" s="1745"/>
      <c r="BT187" s="1745"/>
      <c r="BU187" s="1745"/>
      <c r="BV187" s="1745"/>
      <c r="BW187" s="1745"/>
      <c r="BX187" s="1745"/>
      <c r="BY187" s="1745"/>
      <c r="BZ187" s="1745"/>
      <c r="CA187" s="1745"/>
      <c r="CB187" s="1745"/>
      <c r="CC187" s="1745"/>
      <c r="CD187" s="1745"/>
    </row>
    <row r="188" spans="2:82" s="1556" customFormat="1" hidden="1">
      <c r="B188" s="1997"/>
      <c r="C188" s="1998"/>
      <c r="D188" s="1999"/>
      <c r="E188" s="2000"/>
      <c r="F188"/>
      <c r="G188" s="2000"/>
      <c r="H188" s="2000"/>
      <c r="I188" s="2000"/>
      <c r="J188" s="2000"/>
      <c r="K188" s="2000"/>
      <c r="L188" s="2000"/>
      <c r="M188" s="2000"/>
      <c r="N188" s="2000"/>
      <c r="O188"/>
      <c r="P188" s="2001"/>
      <c r="Q188" s="2001"/>
      <c r="R188" s="2002"/>
      <c r="S188" s="2003"/>
      <c r="T188" s="2003"/>
      <c r="U188" s="2003"/>
      <c r="V188" s="2003"/>
      <c r="W188" s="2003"/>
      <c r="X188" s="2003"/>
      <c r="Y188" s="2003"/>
      <c r="Z188" s="2003"/>
      <c r="AA188" s="2003"/>
      <c r="AB188" s="2003"/>
      <c r="AC188" s="2003"/>
      <c r="AD188" s="2003"/>
      <c r="AE188" s="2003"/>
      <c r="AF188"/>
      <c r="AG188" s="2004"/>
      <c r="AH188" s="1745"/>
      <c r="AI188" s="2005"/>
      <c r="AJ188" s="1745"/>
      <c r="AK188" s="1745"/>
      <c r="AL188" s="1745"/>
      <c r="AM188" s="1745"/>
      <c r="AN188" s="1745"/>
      <c r="AO188" s="1745"/>
      <c r="AP188" s="1745"/>
      <c r="AQ188" s="1745"/>
      <c r="AR188" s="1745"/>
      <c r="AS188" s="1745"/>
      <c r="AT188" s="1745"/>
      <c r="AU188" s="1745"/>
      <c r="AV188" s="1745"/>
      <c r="AW188"/>
      <c r="AX188" s="2004"/>
      <c r="AY188" s="1745"/>
      <c r="AZ188" s="2005"/>
      <c r="BA188" s="1745"/>
      <c r="BB188" s="1745"/>
      <c r="BC188" s="1745"/>
      <c r="BD188" s="1745"/>
      <c r="BE188" s="1745"/>
      <c r="BF188" s="1745"/>
      <c r="BG188" s="1745"/>
      <c r="BH188" s="1745"/>
      <c r="BI188" s="1745"/>
      <c r="BJ188" s="1745"/>
      <c r="BK188" s="1745"/>
      <c r="BL188" s="1745"/>
      <c r="BM188" s="1745"/>
      <c r="BN188"/>
      <c r="BO188" s="2004"/>
      <c r="BP188" s="1745"/>
      <c r="BQ188" s="2005"/>
      <c r="BR188" s="1745"/>
      <c r="BS188" s="1745"/>
      <c r="BT188" s="1745"/>
      <c r="BU188" s="1745"/>
      <c r="BV188" s="1745"/>
      <c r="BW188" s="1745"/>
      <c r="BX188" s="1745"/>
      <c r="BY188" s="1745"/>
      <c r="BZ188" s="1745"/>
      <c r="CA188" s="1745"/>
      <c r="CB188" s="1745"/>
      <c r="CC188" s="1745"/>
      <c r="CD188" s="1745"/>
    </row>
    <row r="189" spans="2:82" s="1556" customFormat="1" hidden="1">
      <c r="B189" s="1997"/>
      <c r="C189" s="1998"/>
      <c r="D189" s="1999"/>
      <c r="E189" s="2000"/>
      <c r="F189"/>
      <c r="G189" s="2000"/>
      <c r="H189" s="2000"/>
      <c r="I189" s="2000"/>
      <c r="J189" s="2000"/>
      <c r="K189" s="2000"/>
      <c r="L189" s="2000"/>
      <c r="M189" s="2000"/>
      <c r="N189" s="2000"/>
      <c r="O189"/>
      <c r="P189" s="2001"/>
      <c r="Q189" s="2001"/>
      <c r="R189" s="2002"/>
      <c r="S189" s="2003"/>
      <c r="T189" s="2003"/>
      <c r="U189" s="2003"/>
      <c r="V189" s="2003"/>
      <c r="W189" s="2003"/>
      <c r="X189" s="2003"/>
      <c r="Y189" s="2003"/>
      <c r="Z189" s="2003"/>
      <c r="AA189" s="2003"/>
      <c r="AB189" s="2003"/>
      <c r="AC189" s="2003"/>
      <c r="AD189" s="2003"/>
      <c r="AE189" s="2003"/>
      <c r="AF189"/>
      <c r="AG189" s="2004"/>
      <c r="AH189" s="1745"/>
      <c r="AI189" s="2005"/>
      <c r="AJ189" s="1745"/>
      <c r="AK189" s="1745"/>
      <c r="AL189" s="1745"/>
      <c r="AM189" s="1745"/>
      <c r="AN189" s="1745"/>
      <c r="AO189" s="1745"/>
      <c r="AP189" s="1745"/>
      <c r="AQ189" s="1745"/>
      <c r="AR189" s="1745"/>
      <c r="AS189" s="1745"/>
      <c r="AT189" s="1745"/>
      <c r="AU189" s="1745"/>
      <c r="AV189" s="1745"/>
      <c r="AW189"/>
      <c r="AX189" s="2004"/>
      <c r="AY189" s="1745"/>
      <c r="AZ189" s="2005"/>
      <c r="BA189" s="1745"/>
      <c r="BB189" s="1745"/>
      <c r="BC189" s="1745"/>
      <c r="BD189" s="1745"/>
      <c r="BE189" s="1745"/>
      <c r="BF189" s="1745"/>
      <c r="BG189" s="1745"/>
      <c r="BH189" s="1745"/>
      <c r="BI189" s="1745"/>
      <c r="BJ189" s="1745"/>
      <c r="BK189" s="1745"/>
      <c r="BL189" s="1745"/>
      <c r="BM189" s="1745"/>
      <c r="BN189"/>
      <c r="BO189" s="2004"/>
      <c r="BP189" s="1745"/>
      <c r="BQ189" s="2005"/>
      <c r="BR189" s="1745"/>
      <c r="BS189" s="1745"/>
      <c r="BT189" s="1745"/>
      <c r="BU189" s="1745"/>
      <c r="BV189" s="1745"/>
      <c r="BW189" s="1745"/>
      <c r="BX189" s="1745"/>
      <c r="BY189" s="1745"/>
      <c r="BZ189" s="1745"/>
      <c r="CA189" s="1745"/>
      <c r="CB189" s="1745"/>
      <c r="CC189" s="1745"/>
      <c r="CD189" s="1745"/>
    </row>
    <row r="190" spans="2:82" s="1556" customFormat="1" hidden="1">
      <c r="B190" s="1997"/>
      <c r="C190" s="1998"/>
      <c r="D190" s="1999"/>
      <c r="E190" s="2000"/>
      <c r="F190"/>
      <c r="G190" s="2000"/>
      <c r="H190" s="2000"/>
      <c r="I190" s="2000"/>
      <c r="J190" s="2000"/>
      <c r="K190" s="2000"/>
      <c r="L190" s="2000"/>
      <c r="M190" s="2000"/>
      <c r="N190" s="2000"/>
      <c r="O190"/>
      <c r="P190" s="2001"/>
      <c r="Q190" s="2001"/>
      <c r="R190" s="2002"/>
      <c r="S190" s="2003"/>
      <c r="T190" s="2003"/>
      <c r="U190" s="2003"/>
      <c r="V190" s="2003"/>
      <c r="W190" s="2003"/>
      <c r="X190" s="2003"/>
      <c r="Y190" s="2003"/>
      <c r="Z190" s="2003"/>
      <c r="AA190" s="2003"/>
      <c r="AB190" s="2003"/>
      <c r="AC190" s="2003"/>
      <c r="AD190" s="2003"/>
      <c r="AE190" s="2003"/>
      <c r="AF190"/>
      <c r="AG190" s="2004"/>
      <c r="AH190" s="1745"/>
      <c r="AI190" s="2005"/>
      <c r="AJ190" s="1745"/>
      <c r="AK190" s="1745"/>
      <c r="AL190" s="1745"/>
      <c r="AM190" s="1745"/>
      <c r="AN190" s="1745"/>
      <c r="AO190" s="1745"/>
      <c r="AP190" s="1745"/>
      <c r="AQ190" s="1745"/>
      <c r="AR190" s="1745"/>
      <c r="AS190" s="1745"/>
      <c r="AT190" s="1745"/>
      <c r="AU190" s="1745"/>
      <c r="AV190" s="1745"/>
      <c r="AW190"/>
      <c r="AX190" s="2004"/>
      <c r="AY190" s="1745"/>
      <c r="AZ190" s="2005"/>
      <c r="BA190" s="1745"/>
      <c r="BB190" s="1745"/>
      <c r="BC190" s="1745"/>
      <c r="BD190" s="1745"/>
      <c r="BE190" s="1745"/>
      <c r="BF190" s="1745"/>
      <c r="BG190" s="1745"/>
      <c r="BH190" s="1745"/>
      <c r="BI190" s="1745"/>
      <c r="BJ190" s="1745"/>
      <c r="BK190" s="1745"/>
      <c r="BL190" s="1745"/>
      <c r="BM190" s="1745"/>
      <c r="BN190"/>
      <c r="BO190" s="2004"/>
      <c r="BP190" s="1745"/>
      <c r="BQ190" s="2005"/>
      <c r="BR190" s="1745"/>
      <c r="BS190" s="1745"/>
      <c r="BT190" s="1745"/>
      <c r="BU190" s="1745"/>
      <c r="BV190" s="1745"/>
      <c r="BW190" s="1745"/>
      <c r="BX190" s="1745"/>
      <c r="BY190" s="1745"/>
      <c r="BZ190" s="1745"/>
      <c r="CA190" s="1745"/>
      <c r="CB190" s="1745"/>
      <c r="CC190" s="1745"/>
      <c r="CD190" s="1745"/>
    </row>
    <row r="191" spans="2:82" s="1556" customFormat="1" hidden="1">
      <c r="B191" s="1997"/>
      <c r="C191" s="1998"/>
      <c r="D191" s="1999"/>
      <c r="E191" s="2000"/>
      <c r="F191"/>
      <c r="G191" s="2000"/>
      <c r="H191" s="2000"/>
      <c r="I191" s="2000"/>
      <c r="J191" s="2000"/>
      <c r="K191" s="2000"/>
      <c r="L191" s="2000"/>
      <c r="M191" s="2000"/>
      <c r="N191" s="2000"/>
      <c r="O191"/>
      <c r="P191" s="2001"/>
      <c r="Q191" s="2001"/>
      <c r="R191" s="2002"/>
      <c r="S191" s="2003"/>
      <c r="T191" s="2003"/>
      <c r="U191" s="2003"/>
      <c r="V191" s="2003"/>
      <c r="W191" s="2003"/>
      <c r="X191" s="2003"/>
      <c r="Y191" s="2003"/>
      <c r="Z191" s="2003"/>
      <c r="AA191" s="2003"/>
      <c r="AB191" s="2003"/>
      <c r="AC191" s="2003"/>
      <c r="AD191" s="2003"/>
      <c r="AE191" s="2003"/>
      <c r="AF191"/>
      <c r="AG191" s="2004"/>
      <c r="AH191" s="1745"/>
      <c r="AI191" s="2005"/>
      <c r="AJ191" s="1745"/>
      <c r="AK191" s="1745"/>
      <c r="AL191" s="1745"/>
      <c r="AM191" s="1745"/>
      <c r="AN191" s="1745"/>
      <c r="AO191" s="1745"/>
      <c r="AP191" s="1745"/>
      <c r="AQ191" s="1745"/>
      <c r="AR191" s="1745"/>
      <c r="AS191" s="1745"/>
      <c r="AT191" s="1745"/>
      <c r="AU191" s="1745"/>
      <c r="AV191" s="1745"/>
      <c r="AW191"/>
      <c r="AX191" s="2004"/>
      <c r="AY191" s="1745"/>
      <c r="AZ191" s="2005"/>
      <c r="BA191" s="1745"/>
      <c r="BB191" s="1745"/>
      <c r="BC191" s="1745"/>
      <c r="BD191" s="1745"/>
      <c r="BE191" s="1745"/>
      <c r="BF191" s="1745"/>
      <c r="BG191" s="1745"/>
      <c r="BH191" s="1745"/>
      <c r="BI191" s="1745"/>
      <c r="BJ191" s="1745"/>
      <c r="BK191" s="1745"/>
      <c r="BL191" s="1745"/>
      <c r="BM191" s="1745"/>
      <c r="BN191"/>
      <c r="BO191" s="2004"/>
      <c r="BP191" s="1745"/>
      <c r="BQ191" s="2005"/>
      <c r="BR191" s="1745"/>
      <c r="BS191" s="1745"/>
      <c r="BT191" s="1745"/>
      <c r="BU191" s="1745"/>
      <c r="BV191" s="1745"/>
      <c r="BW191" s="1745"/>
      <c r="BX191" s="1745"/>
      <c r="BY191" s="1745"/>
      <c r="BZ191" s="1745"/>
      <c r="CA191" s="1745"/>
      <c r="CB191" s="1745"/>
      <c r="CC191" s="1745"/>
      <c r="CD191" s="1745"/>
    </row>
    <row r="192" spans="2:82" s="1556" customFormat="1" hidden="1">
      <c r="B192" s="1997"/>
      <c r="C192" s="1998"/>
      <c r="D192" s="1999"/>
      <c r="E192" s="2000"/>
      <c r="F192"/>
      <c r="G192" s="2000"/>
      <c r="H192" s="2000"/>
      <c r="I192" s="2000"/>
      <c r="J192" s="2000"/>
      <c r="K192" s="2000"/>
      <c r="L192" s="2000"/>
      <c r="M192" s="2000"/>
      <c r="N192" s="2000"/>
      <c r="O192"/>
      <c r="P192" s="2001"/>
      <c r="Q192" s="2001"/>
      <c r="R192" s="2002"/>
      <c r="S192" s="2003"/>
      <c r="T192" s="2003"/>
      <c r="U192" s="2003"/>
      <c r="V192" s="2003"/>
      <c r="W192" s="2003"/>
      <c r="X192" s="2003"/>
      <c r="Y192" s="2003"/>
      <c r="Z192" s="2003"/>
      <c r="AA192" s="2003"/>
      <c r="AB192" s="2003"/>
      <c r="AC192" s="2003"/>
      <c r="AD192" s="2003"/>
      <c r="AE192" s="2003"/>
      <c r="AF192"/>
      <c r="AG192" s="2004"/>
      <c r="AH192" s="1745"/>
      <c r="AI192" s="2005"/>
      <c r="AJ192" s="1745"/>
      <c r="AK192" s="1745"/>
      <c r="AL192" s="1745"/>
      <c r="AM192" s="1745"/>
      <c r="AN192" s="1745"/>
      <c r="AO192" s="1745"/>
      <c r="AP192" s="1745"/>
      <c r="AQ192" s="1745"/>
      <c r="AR192" s="1745"/>
      <c r="AS192" s="1745"/>
      <c r="AT192" s="1745"/>
      <c r="AU192" s="1745"/>
      <c r="AV192" s="1745"/>
      <c r="AW192"/>
      <c r="AX192" s="2004"/>
      <c r="AY192" s="1745"/>
      <c r="AZ192" s="2005"/>
      <c r="BA192" s="1745"/>
      <c r="BB192" s="1745"/>
      <c r="BC192" s="1745"/>
      <c r="BD192" s="1745"/>
      <c r="BE192" s="1745"/>
      <c r="BF192" s="1745"/>
      <c r="BG192" s="1745"/>
      <c r="BH192" s="1745"/>
      <c r="BI192" s="1745"/>
      <c r="BJ192" s="1745"/>
      <c r="BK192" s="1745"/>
      <c r="BL192" s="1745"/>
      <c r="BM192" s="1745"/>
      <c r="BN192"/>
      <c r="BO192" s="2004"/>
      <c r="BP192" s="1745"/>
      <c r="BQ192" s="2005"/>
      <c r="BR192" s="1745"/>
      <c r="BS192" s="1745"/>
      <c r="BT192" s="1745"/>
      <c r="BU192" s="1745"/>
      <c r="BV192" s="1745"/>
      <c r="BW192" s="1745"/>
      <c r="BX192" s="1745"/>
      <c r="BY192" s="1745"/>
      <c r="BZ192" s="1745"/>
      <c r="CA192" s="1745"/>
      <c r="CB192" s="1745"/>
      <c r="CC192" s="1745"/>
      <c r="CD192" s="1745"/>
    </row>
    <row r="193" s="1556" customFormat="1" hidden="1"/>
    <row r="194" s="1556" customFormat="1" hidden="1"/>
    <row r="195" s="1556" customFormat="1" hidden="1"/>
    <row r="196" s="1556" customFormat="1" hidden="1"/>
    <row r="197" s="1556" customFormat="1" hidden="1"/>
    <row r="198" s="1556" customFormat="1" hidden="1"/>
    <row r="199" s="1556" customFormat="1" hidden="1"/>
    <row r="200" s="1556" customFormat="1" hidden="1"/>
    <row r="201" s="1556" customFormat="1" hidden="1"/>
    <row r="202" s="1556" customFormat="1" hidden="1"/>
    <row r="203" s="1556" customFormat="1" hidden="1"/>
    <row r="204" s="1556" customFormat="1" hidden="1"/>
    <row r="205" s="1556" customFormat="1" hidden="1"/>
    <row r="206" s="1556" customFormat="1" hidden="1"/>
    <row r="207" s="1556" customFormat="1" hidden="1"/>
    <row r="208" s="1556" customFormat="1" hidden="1"/>
    <row r="209" s="1556" customFormat="1" hidden="1"/>
    <row r="210" s="1556" customFormat="1" hidden="1"/>
    <row r="211" s="1556" customFormat="1" hidden="1"/>
    <row r="212" s="1556" customFormat="1" hidden="1"/>
    <row r="213" s="1556" customFormat="1" hidden="1"/>
    <row r="214" s="1556" customFormat="1" hidden="1"/>
    <row r="215" s="1556" customFormat="1" hidden="1"/>
    <row r="216" s="1556" customFormat="1" hidden="1"/>
    <row r="217" s="1556" customFormat="1" hidden="1"/>
    <row r="218" s="1556" customFormat="1" hidden="1"/>
    <row r="219" s="1556" customFormat="1" hidden="1"/>
  </sheetData>
  <sheetProtection password="CC47" sheet="1" objects="1" scenarios="1"/>
  <mergeCells count="8">
    <mergeCell ref="BR5:BZ5"/>
    <mergeCell ref="CB5:CD5"/>
    <mergeCell ref="S5:AA5"/>
    <mergeCell ref="AC5:AE5"/>
    <mergeCell ref="BA5:BI5"/>
    <mergeCell ref="BK5:BM5"/>
    <mergeCell ref="AJ5:AR5"/>
    <mergeCell ref="AT5:AV5"/>
  </mergeCells>
  <phoneticPr fontId="20"/>
  <printOptions horizontalCentered="1"/>
  <pageMargins left="0.59055118110236227" right="0.59055118110236227" top="0.78740157480314965" bottom="0.59055118110236227" header="0.51181102362204722" footer="0.51181102362204722"/>
  <pageSetup paperSize="9" scale="32" fitToWidth="2" orientation="portrait" verticalDpi="4294967293" r:id="rId1"/>
  <headerFooter alignWithMargins="0">
    <oddHeader>&amp;L&amp;F&amp;R&amp;A</oddHeader>
    <oddFooter>&amp;C&amp;P/&amp;N</oddFooter>
  </headerFooter>
  <colBreaks count="1" manualBreakCount="1">
    <brk id="48" max="1048575" man="1"/>
  </colBreaks>
</worksheet>
</file>

<file path=xl/worksheets/sheet21.xml><?xml version="1.0" encoding="utf-8"?>
<worksheet xmlns="http://schemas.openxmlformats.org/spreadsheetml/2006/main" xmlns:r="http://schemas.openxmlformats.org/officeDocument/2006/relationships">
  <sheetPr codeName="Sheet22">
    <pageSetUpPr fitToPage="1"/>
  </sheetPr>
  <dimension ref="A1:AC181"/>
  <sheetViews>
    <sheetView showGridLines="0" zoomScaleNormal="100" workbookViewId="0">
      <selection activeCell="E7" sqref="E7"/>
    </sheetView>
  </sheetViews>
  <sheetFormatPr defaultColWidth="0" defaultRowHeight="13.5" zeroHeight="1"/>
  <cols>
    <col min="1" max="1" width="2.25" customWidth="1"/>
    <col min="2" max="2" width="5.625" style="1548" customWidth="1"/>
    <col min="3" max="3" width="35.75" style="1549" bestFit="1" customWidth="1"/>
    <col min="4" max="5" width="9.75" style="1549" customWidth="1"/>
    <col min="6" max="6" width="2.625" style="1549" customWidth="1"/>
    <col min="7" max="8" width="9.5" style="1550" bestFit="1" customWidth="1"/>
    <col min="9" max="9" width="2.625" style="1551" customWidth="1"/>
    <col min="10" max="10" width="5.875" style="1736" customWidth="1"/>
    <col min="11" max="11" width="5.875" style="1552" customWidth="1"/>
    <col min="12" max="12" width="19.875" style="1553" customWidth="1"/>
    <col min="13" max="22" width="7.375" style="1554" customWidth="1"/>
    <col min="23" max="25" width="10.125" style="1554" customWidth="1"/>
    <col min="26" max="26" width="10.125" style="1555" customWidth="1"/>
    <col min="27" max="29" width="10.125" style="1556" hidden="1" customWidth="1"/>
    <col min="30" max="16384" width="0.875" style="1556" hidden="1"/>
  </cols>
  <sheetData>
    <row r="1" spans="1:26"/>
    <row r="2" spans="1:26" s="1565" customFormat="1" ht="17.25">
      <c r="A2"/>
      <c r="B2" s="1695" t="s">
        <v>389</v>
      </c>
      <c r="C2" s="1557"/>
      <c r="D2" s="1557"/>
      <c r="E2" s="1557"/>
      <c r="F2" s="1557"/>
      <c r="G2" s="1558"/>
      <c r="H2" s="1558"/>
      <c r="I2" s="1559"/>
      <c r="J2" s="1560" t="s">
        <v>257</v>
      </c>
      <c r="K2" s="1561"/>
      <c r="L2" s="1562"/>
      <c r="M2" s="1562"/>
      <c r="N2" s="1563"/>
      <c r="O2" s="1563"/>
      <c r="P2" s="1563"/>
      <c r="Q2" s="1563"/>
      <c r="R2" s="1563"/>
      <c r="S2" s="1563"/>
      <c r="T2" s="1563"/>
      <c r="U2" s="1563"/>
      <c r="V2" s="1563"/>
      <c r="W2" s="1563"/>
      <c r="X2" s="1563"/>
      <c r="Y2" s="1563"/>
      <c r="Z2" s="1564"/>
    </row>
    <row r="3" spans="1:26" s="1565" customFormat="1" ht="17.25">
      <c r="A3"/>
      <c r="B3" s="1695"/>
      <c r="C3" s="1557"/>
      <c r="D3" s="1557"/>
      <c r="E3" s="1557"/>
      <c r="F3" s="1557"/>
      <c r="G3" s="1558"/>
      <c r="H3" s="1558"/>
      <c r="I3" s="1559"/>
      <c r="J3" s="1737" t="s">
        <v>258</v>
      </c>
      <c r="K3" s="1562"/>
      <c r="L3" s="1566"/>
      <c r="M3" s="1563"/>
      <c r="N3" s="1563"/>
      <c r="O3" s="1563"/>
      <c r="P3" s="1563"/>
      <c r="Q3" s="1563"/>
      <c r="R3" s="1563"/>
      <c r="S3" s="1563"/>
      <c r="T3" s="1563"/>
      <c r="U3" s="1563"/>
      <c r="V3" s="1563"/>
      <c r="W3" s="1563"/>
      <c r="X3" s="1563"/>
      <c r="Y3" s="1563"/>
      <c r="Z3" s="1564"/>
    </row>
    <row r="4" spans="1:26" s="1565" customFormat="1" ht="4.5" customHeight="1">
      <c r="A4"/>
      <c r="B4" s="1695"/>
      <c r="C4" s="1557"/>
      <c r="D4" s="1557"/>
      <c r="E4" s="1557"/>
      <c r="F4" s="1557"/>
      <c r="G4" s="1558"/>
      <c r="H4" s="1558"/>
      <c r="I4" s="1559"/>
      <c r="J4" s="1737"/>
      <c r="K4" s="1561"/>
      <c r="L4" s="1566"/>
      <c r="M4" s="1563"/>
      <c r="N4" s="1563"/>
      <c r="O4" s="1563"/>
      <c r="P4" s="1563"/>
      <c r="Q4" s="1563"/>
      <c r="R4" s="1563"/>
      <c r="S4" s="1563"/>
      <c r="T4" s="1563"/>
      <c r="U4" s="1563"/>
      <c r="V4" s="1563"/>
      <c r="W4" s="1563"/>
      <c r="X4" s="1563"/>
      <c r="Y4" s="1563"/>
      <c r="Z4" s="1564"/>
    </row>
    <row r="5" spans="1:26">
      <c r="B5" s="3185"/>
      <c r="C5" s="3186"/>
      <c r="D5" s="1567" t="s">
        <v>386</v>
      </c>
      <c r="E5" s="1568"/>
      <c r="F5" s="1557"/>
      <c r="G5" s="1567" t="s">
        <v>390</v>
      </c>
      <c r="H5" s="1568"/>
      <c r="I5" s="1569"/>
      <c r="J5" s="1738"/>
      <c r="K5" s="1570"/>
      <c r="L5" s="1570"/>
      <c r="M5" s="1571" t="s">
        <v>260</v>
      </c>
      <c r="N5" s="1572"/>
      <c r="O5" s="1572"/>
      <c r="P5" s="1572"/>
      <c r="Q5" s="1572"/>
      <c r="R5" s="1572"/>
      <c r="S5" s="1572"/>
      <c r="T5" s="1572"/>
      <c r="U5" s="1572"/>
      <c r="V5" s="1572" t="s">
        <v>896</v>
      </c>
      <c r="W5" s="1571" t="s">
        <v>261</v>
      </c>
      <c r="X5" s="1572"/>
      <c r="Y5" s="1573"/>
      <c r="Z5" s="1574"/>
    </row>
    <row r="6" spans="1:26">
      <c r="B6" s="3187"/>
      <c r="C6" s="3188"/>
      <c r="D6" s="1576" t="s">
        <v>387</v>
      </c>
      <c r="E6" s="1576" t="s">
        <v>388</v>
      </c>
      <c r="F6" s="1557"/>
      <c r="G6" s="1576" t="s">
        <v>387</v>
      </c>
      <c r="H6" s="1576" t="s">
        <v>388</v>
      </c>
      <c r="I6" s="1577"/>
      <c r="J6" s="1738"/>
      <c r="K6" s="1570"/>
      <c r="L6" s="1570" t="s">
        <v>453</v>
      </c>
      <c r="M6" s="1578" t="s">
        <v>519</v>
      </c>
      <c r="N6" s="1578" t="s">
        <v>521</v>
      </c>
      <c r="O6" s="1578" t="s">
        <v>523</v>
      </c>
      <c r="P6" s="1578" t="s">
        <v>525</v>
      </c>
      <c r="Q6" s="1578" t="s">
        <v>529</v>
      </c>
      <c r="R6" s="1578" t="s">
        <v>820</v>
      </c>
      <c r="S6" s="1578" t="s">
        <v>533</v>
      </c>
      <c r="T6" s="1579" t="s">
        <v>819</v>
      </c>
      <c r="U6" s="1578" t="s">
        <v>535</v>
      </c>
      <c r="V6" s="1580" t="s">
        <v>521</v>
      </c>
      <c r="W6" s="1580" t="s">
        <v>264</v>
      </c>
      <c r="X6" s="1578" t="s">
        <v>265</v>
      </c>
      <c r="Y6" s="1578" t="s">
        <v>266</v>
      </c>
      <c r="Z6" s="1581"/>
    </row>
    <row r="7" spans="1:26">
      <c r="B7" s="1701"/>
      <c r="C7" s="1582" t="s">
        <v>391</v>
      </c>
      <c r="D7" s="1582"/>
      <c r="E7" s="1582"/>
      <c r="F7" s="1557"/>
      <c r="G7" s="1576"/>
      <c r="H7" s="1576"/>
      <c r="I7" s="1577"/>
      <c r="J7" s="1738"/>
      <c r="K7" s="1570"/>
      <c r="L7" s="1570"/>
      <c r="M7" s="1583" t="e">
        <f>メイン!$V$47/メイン!$V$67</f>
        <v>#DIV/0!</v>
      </c>
      <c r="N7" s="1583" t="e">
        <f>(メイン!J49+メイン!J52+メイン!J53)/メイン!$H$19</f>
        <v>#DIV/0!</v>
      </c>
      <c r="O7" s="1583" t="e">
        <f>メイン!$V$54/メイン!$V$67</f>
        <v>#DIV/0!</v>
      </c>
      <c r="P7" s="1583" t="e">
        <f>メイン!$V$56/メイン!$V$67</f>
        <v>#DIV/0!</v>
      </c>
      <c r="Q7" s="1583" t="e">
        <f>メイン!$V$60/メイン!$V$67</f>
        <v>#DIV/0!</v>
      </c>
      <c r="R7" s="1583" t="e">
        <f>メイン!$V$61/メイン!$V$67</f>
        <v>#DIV/0!</v>
      </c>
      <c r="S7" s="1583" t="e">
        <f>メイン!$V$62/メイン!$V$67</f>
        <v>#DIV/0!</v>
      </c>
      <c r="T7" s="1583" t="e">
        <f>メイン!$V$57/メイン!$V$67</f>
        <v>#DIV/0!</v>
      </c>
      <c r="U7" s="1583" t="e">
        <f>メイン!$V$63/メイン!$V$67</f>
        <v>#DIV/0!</v>
      </c>
      <c r="V7" s="1583" t="e">
        <f>(メイン!J50+メイン!J51)/メイン!$H$19</f>
        <v>#DIV/0!</v>
      </c>
      <c r="W7" s="1583" t="e">
        <f>Q7</f>
        <v>#DIV/0!</v>
      </c>
      <c r="X7" s="1583" t="e">
        <f>R7</f>
        <v>#DIV/0!</v>
      </c>
      <c r="Y7" s="1583" t="e">
        <f>S7</f>
        <v>#DIV/0!</v>
      </c>
      <c r="Z7" s="1581"/>
    </row>
    <row r="8" spans="1:26" s="1594" customFormat="1" ht="14.25">
      <c r="A8"/>
      <c r="B8" s="1584" t="s">
        <v>392</v>
      </c>
      <c r="C8" s="1585" t="s">
        <v>393</v>
      </c>
      <c r="D8" s="1586"/>
      <c r="E8" s="1586"/>
      <c r="F8" s="1557"/>
      <c r="G8" s="1587"/>
      <c r="H8" s="1587"/>
      <c r="I8" s="1588"/>
      <c r="J8" s="1584" t="s">
        <v>268</v>
      </c>
      <c r="K8" s="1589" t="s">
        <v>270</v>
      </c>
      <c r="L8" s="1589" t="s">
        <v>407</v>
      </c>
      <c r="M8" s="1590"/>
      <c r="N8" s="1590"/>
      <c r="O8" s="1590"/>
      <c r="P8" s="1590"/>
      <c r="Q8" s="1590">
        <f>1-V8</f>
        <v>1</v>
      </c>
      <c r="R8" s="1590">
        <f>1-W8</f>
        <v>1</v>
      </c>
      <c r="S8" s="1590">
        <f>1-X8</f>
        <v>1</v>
      </c>
      <c r="T8" s="1591"/>
      <c r="U8" s="1590"/>
      <c r="V8" s="1866"/>
      <c r="W8" s="1592">
        <f>メイン!$J$68</f>
        <v>0</v>
      </c>
      <c r="X8" s="1592">
        <f>メイン!$J$69</f>
        <v>0</v>
      </c>
      <c r="Y8" s="1592">
        <f>メイン!$J$70</f>
        <v>0</v>
      </c>
      <c r="Z8" s="1593"/>
    </row>
    <row r="9" spans="1:26" s="1603" customFormat="1">
      <c r="A9"/>
      <c r="B9" s="1595" t="str">
        <f t="shared" ref="B9:B40" si="0">J9</f>
        <v>Q1</v>
      </c>
      <c r="C9" s="1596" t="str">
        <f t="shared" ref="C9:C40" si="1">L9</f>
        <v>室内環境</v>
      </c>
      <c r="D9" s="1597" t="e">
        <f>G9</f>
        <v>#DIV/0!</v>
      </c>
      <c r="E9" s="1597" t="e">
        <f>H9</f>
        <v>#DIV/0!</v>
      </c>
      <c r="F9" s="1557"/>
      <c r="G9" s="1598" t="e">
        <f>SUMPRODUCT($M$7:$Y$7,M9:Y9)</f>
        <v>#DIV/0!</v>
      </c>
      <c r="H9" s="1598" t="e">
        <f>(W$7*W9)+(X$7*X9)+(Y$7*Y9)</f>
        <v>#DIV/0!</v>
      </c>
      <c r="I9" s="1599"/>
      <c r="J9" s="1595" t="s">
        <v>1615</v>
      </c>
      <c r="K9" s="2056" t="s">
        <v>270</v>
      </c>
      <c r="L9" s="2055" t="s">
        <v>1616</v>
      </c>
      <c r="M9" s="1601">
        <v>0.4</v>
      </c>
      <c r="N9" s="1601">
        <v>0.4</v>
      </c>
      <c r="O9" s="1601">
        <v>0.4</v>
      </c>
      <c r="P9" s="1601">
        <v>0.4</v>
      </c>
      <c r="Q9" s="1601">
        <v>0.4</v>
      </c>
      <c r="R9" s="1601">
        <v>0.4</v>
      </c>
      <c r="S9" s="1601">
        <v>0.4</v>
      </c>
      <c r="T9" s="1601">
        <v>0.4</v>
      </c>
      <c r="U9" s="1601">
        <v>0.3</v>
      </c>
      <c r="V9" s="2057">
        <v>0.4</v>
      </c>
      <c r="W9" s="2058"/>
      <c r="X9" s="2057"/>
      <c r="Y9" s="2057"/>
      <c r="Z9" s="1602"/>
    </row>
    <row r="10" spans="1:26" s="1603" customFormat="1">
      <c r="A10"/>
      <c r="B10" s="1595">
        <f t="shared" si="0"/>
        <v>1</v>
      </c>
      <c r="C10" s="1605" t="str">
        <f t="shared" si="1"/>
        <v>音環境</v>
      </c>
      <c r="D10" s="1606" t="e">
        <f>SUM(D11:D19)</f>
        <v>#DIV/0!</v>
      </c>
      <c r="E10" s="1606" t="e">
        <f>SUM(E11:E19)</f>
        <v>#DIV/0!</v>
      </c>
      <c r="F10" s="1557"/>
      <c r="G10" s="1607" t="e">
        <f>SUMPRODUCT($M$7:$Y$7,M10:Y10)</f>
        <v>#DIV/0!</v>
      </c>
      <c r="H10" s="1607" t="e">
        <f t="shared" ref="H10:H73" si="2">(W$7*W10)+(X$7*X10)+(Y$7*Y10)</f>
        <v>#DIV/0!</v>
      </c>
      <c r="I10" s="1599"/>
      <c r="J10" s="1639">
        <v>1</v>
      </c>
      <c r="K10" s="1742" t="s">
        <v>271</v>
      </c>
      <c r="L10" s="1778" t="s">
        <v>1020</v>
      </c>
      <c r="M10" s="1608">
        <v>0.15</v>
      </c>
      <c r="N10" s="1608">
        <v>0.15</v>
      </c>
      <c r="O10" s="1608">
        <v>0.15</v>
      </c>
      <c r="P10" s="1608">
        <v>0.15</v>
      </c>
      <c r="Q10" s="1608">
        <v>0.15</v>
      </c>
      <c r="R10" s="1608">
        <v>0.15</v>
      </c>
      <c r="S10" s="1608">
        <v>0.15</v>
      </c>
      <c r="T10" s="1609">
        <v>0.23</v>
      </c>
      <c r="U10" s="1608">
        <v>0.15</v>
      </c>
      <c r="V10" s="1709">
        <v>0.15</v>
      </c>
      <c r="W10" s="2060"/>
      <c r="X10" s="1709"/>
      <c r="Y10" s="1709"/>
      <c r="Z10" s="1610"/>
    </row>
    <row r="11" spans="1:26">
      <c r="B11" s="1595">
        <f t="shared" si="0"/>
        <v>1.1000000000000001</v>
      </c>
      <c r="C11" s="1612" t="str">
        <f t="shared" si="1"/>
        <v>騒音</v>
      </c>
      <c r="D11" s="1620" t="e">
        <f>G10*G11</f>
        <v>#DIV/0!</v>
      </c>
      <c r="E11" s="1620" t="e">
        <f>H10*H11</f>
        <v>#DIV/0!</v>
      </c>
      <c r="F11" s="1557"/>
      <c r="G11" s="1614" t="e">
        <f t="shared" ref="G11:G73" si="3">SUMPRODUCT($M$7:$Y$7,M11:Y11)</f>
        <v>#DIV/0!</v>
      </c>
      <c r="H11" s="1614" t="e">
        <f t="shared" si="2"/>
        <v>#DIV/0!</v>
      </c>
      <c r="I11" s="1569"/>
      <c r="J11" s="1645">
        <v>1.1000000000000001</v>
      </c>
      <c r="K11" s="1691" t="s">
        <v>272</v>
      </c>
      <c r="L11" s="2061" t="s">
        <v>1406</v>
      </c>
      <c r="M11" s="2344">
        <v>0.4</v>
      </c>
      <c r="N11" s="1616">
        <v>0.4</v>
      </c>
      <c r="O11" s="1616">
        <v>0.8</v>
      </c>
      <c r="P11" s="1616">
        <v>0.4</v>
      </c>
      <c r="Q11" s="2344">
        <v>0.4</v>
      </c>
      <c r="R11" s="1616">
        <v>0.8</v>
      </c>
      <c r="S11" s="1616">
        <v>0.8</v>
      </c>
      <c r="T11" s="2344">
        <v>0.8</v>
      </c>
      <c r="U11" s="2344">
        <v>0.5</v>
      </c>
      <c r="V11" s="1621">
        <v>0.4</v>
      </c>
      <c r="W11" s="1623">
        <v>0.5</v>
      </c>
      <c r="X11" s="1621">
        <v>0.4</v>
      </c>
      <c r="Y11" s="1621">
        <v>0.4</v>
      </c>
      <c r="Z11" s="1618"/>
    </row>
    <row r="12" spans="1:26" hidden="1">
      <c r="B12" s="1595" t="str">
        <f t="shared" si="0"/>
        <v>1.1.1</v>
      </c>
      <c r="C12" s="1648" t="str">
        <f t="shared" si="1"/>
        <v>室内騒音レベル</v>
      </c>
      <c r="D12" s="1613"/>
      <c r="E12" s="1613"/>
      <c r="F12" s="1557"/>
      <c r="G12" s="1614" t="e">
        <f t="shared" si="3"/>
        <v>#DIV/0!</v>
      </c>
      <c r="H12" s="1614" t="e">
        <f t="shared" si="2"/>
        <v>#DIV/0!</v>
      </c>
      <c r="I12" s="1569"/>
      <c r="J12" s="1645" t="s">
        <v>273</v>
      </c>
      <c r="K12" s="1691" t="s">
        <v>274</v>
      </c>
      <c r="L12" s="2061" t="s">
        <v>897</v>
      </c>
      <c r="M12" s="1616"/>
      <c r="N12" s="1616"/>
      <c r="O12" s="1616"/>
      <c r="P12" s="1616"/>
      <c r="Q12" s="1616"/>
      <c r="R12" s="1616"/>
      <c r="S12" s="1616"/>
      <c r="T12" s="1616"/>
      <c r="U12" s="1616"/>
      <c r="V12" s="1621"/>
      <c r="W12" s="1623"/>
      <c r="X12" s="1621"/>
      <c r="Y12" s="1621"/>
      <c r="Z12" s="1618"/>
    </row>
    <row r="13" spans="1:26" hidden="1">
      <c r="B13" s="1595" t="str">
        <f t="shared" si="0"/>
        <v>1.1.2</v>
      </c>
      <c r="C13" s="1648" t="str">
        <f t="shared" si="1"/>
        <v>設備騒音対策</v>
      </c>
      <c r="D13" s="1613"/>
      <c r="E13" s="1613"/>
      <c r="F13" s="1557"/>
      <c r="G13" s="1614" t="e">
        <f t="shared" si="3"/>
        <v>#DIV/0!</v>
      </c>
      <c r="H13" s="1614" t="e">
        <f t="shared" si="2"/>
        <v>#DIV/0!</v>
      </c>
      <c r="I13" s="1569"/>
      <c r="J13" s="1645" t="s">
        <v>275</v>
      </c>
      <c r="K13" s="1691" t="s">
        <v>274</v>
      </c>
      <c r="L13" s="2061" t="s">
        <v>408</v>
      </c>
      <c r="M13" s="1616"/>
      <c r="N13" s="1616"/>
      <c r="O13" s="1616"/>
      <c r="P13" s="1616"/>
      <c r="Q13" s="1616"/>
      <c r="R13" s="1616"/>
      <c r="S13" s="1616"/>
      <c r="T13" s="1616"/>
      <c r="U13" s="1616"/>
      <c r="V13" s="1621"/>
      <c r="W13" s="1623"/>
      <c r="X13" s="1621"/>
      <c r="Y13" s="1621"/>
      <c r="Z13" s="1618"/>
    </row>
    <row r="14" spans="1:26">
      <c r="B14" s="1595">
        <f t="shared" si="0"/>
        <v>1.2</v>
      </c>
      <c r="C14" s="514" t="str">
        <f t="shared" si="1"/>
        <v>遮音</v>
      </c>
      <c r="D14" s="1620"/>
      <c r="E14" s="1620"/>
      <c r="F14" s="1557"/>
      <c r="G14" s="1614" t="e">
        <f t="shared" si="3"/>
        <v>#DIV/0!</v>
      </c>
      <c r="H14" s="1614" t="e">
        <f t="shared" si="2"/>
        <v>#DIV/0!</v>
      </c>
      <c r="I14" s="1569"/>
      <c r="J14" s="1645">
        <v>1.2</v>
      </c>
      <c r="K14" s="1691" t="s">
        <v>272</v>
      </c>
      <c r="L14" s="1982" t="s">
        <v>409</v>
      </c>
      <c r="M14" s="2344">
        <v>0.4</v>
      </c>
      <c r="N14" s="1616">
        <v>0.4</v>
      </c>
      <c r="O14" s="1616"/>
      <c r="P14" s="1616">
        <v>0.4</v>
      </c>
      <c r="Q14" s="2344">
        <v>0.4</v>
      </c>
      <c r="R14" s="1616"/>
      <c r="S14" s="1616"/>
      <c r="T14" s="1616"/>
      <c r="U14" s="2344">
        <v>0.5</v>
      </c>
      <c r="V14" s="1621">
        <v>0.4</v>
      </c>
      <c r="W14" s="1623">
        <v>0.5</v>
      </c>
      <c r="X14" s="1621">
        <v>0.4</v>
      </c>
      <c r="Y14" s="2345">
        <v>0.4</v>
      </c>
      <c r="Z14" s="1618"/>
    </row>
    <row r="15" spans="1:26">
      <c r="B15" s="1595" t="str">
        <f t="shared" si="0"/>
        <v>1.2.1</v>
      </c>
      <c r="C15" s="514" t="str">
        <f t="shared" si="1"/>
        <v>開口部遮音性能</v>
      </c>
      <c r="D15" s="1613" t="e">
        <f t="shared" ref="D15:E18" si="4">G$10*G$14*G15</f>
        <v>#DIV/0!</v>
      </c>
      <c r="E15" s="1613" t="e">
        <f t="shared" si="4"/>
        <v>#DIV/0!</v>
      </c>
      <c r="F15" s="1557"/>
      <c r="G15" s="1614" t="e">
        <f t="shared" si="3"/>
        <v>#DIV/0!</v>
      </c>
      <c r="H15" s="1614" t="e">
        <f t="shared" si="2"/>
        <v>#DIV/0!</v>
      </c>
      <c r="I15" s="1569"/>
      <c r="J15" s="1645" t="s">
        <v>1558</v>
      </c>
      <c r="K15" s="1691" t="s">
        <v>276</v>
      </c>
      <c r="L15" s="1982" t="s">
        <v>1559</v>
      </c>
      <c r="M15" s="1652"/>
      <c r="N15" s="1652"/>
      <c r="O15" s="1652"/>
      <c r="P15" s="1652"/>
      <c r="Q15" s="1652"/>
      <c r="R15" s="1652"/>
      <c r="S15" s="1652"/>
      <c r="T15" s="1652"/>
      <c r="U15" s="1652"/>
      <c r="V15" s="1621"/>
      <c r="W15" s="1623"/>
      <c r="X15" s="1621"/>
      <c r="Y15" s="1621"/>
      <c r="Z15" s="1618"/>
    </row>
    <row r="16" spans="1:26">
      <c r="B16" s="1595" t="str">
        <f t="shared" si="0"/>
        <v>1.2.2</v>
      </c>
      <c r="C16" s="514" t="str">
        <f t="shared" si="1"/>
        <v>界壁遮音性能</v>
      </c>
      <c r="D16" s="1613" t="e">
        <f t="shared" si="4"/>
        <v>#DIV/0!</v>
      </c>
      <c r="E16" s="1613" t="e">
        <f t="shared" si="4"/>
        <v>#DIV/0!</v>
      </c>
      <c r="F16" s="1557"/>
      <c r="G16" s="1614" t="e">
        <f t="shared" si="3"/>
        <v>#DIV/0!</v>
      </c>
      <c r="H16" s="1614" t="e">
        <f t="shared" si="2"/>
        <v>#DIV/0!</v>
      </c>
      <c r="I16" s="1569"/>
      <c r="J16" s="1645" t="s">
        <v>1560</v>
      </c>
      <c r="K16" s="1691" t="s">
        <v>276</v>
      </c>
      <c r="L16" s="1982" t="s">
        <v>606</v>
      </c>
      <c r="M16" s="2346">
        <v>1</v>
      </c>
      <c r="N16" s="1621">
        <v>0.4</v>
      </c>
      <c r="O16" s="1621"/>
      <c r="P16" s="1621">
        <v>1</v>
      </c>
      <c r="Q16" s="2346">
        <v>0.4</v>
      </c>
      <c r="R16" s="1621"/>
      <c r="S16" s="1621"/>
      <c r="T16" s="1622"/>
      <c r="U16" s="2346">
        <v>1</v>
      </c>
      <c r="V16" s="1621">
        <v>0.4</v>
      </c>
      <c r="W16" s="1623">
        <v>1</v>
      </c>
      <c r="X16" s="1621">
        <v>0.4</v>
      </c>
      <c r="Y16" s="1621">
        <v>0.4</v>
      </c>
      <c r="Z16" s="1618"/>
    </row>
    <row r="17" spans="1:26">
      <c r="B17" s="1595" t="str">
        <f t="shared" si="0"/>
        <v>1.2.3</v>
      </c>
      <c r="C17" s="514" t="str">
        <f t="shared" si="1"/>
        <v>界床遮音性能（軽量衝撃源）</v>
      </c>
      <c r="D17" s="1613" t="e">
        <f t="shared" si="4"/>
        <v>#DIV/0!</v>
      </c>
      <c r="E17" s="1613" t="e">
        <f t="shared" si="4"/>
        <v>#DIV/0!</v>
      </c>
      <c r="F17" s="1557"/>
      <c r="G17" s="1614" t="e">
        <f t="shared" si="3"/>
        <v>#DIV/0!</v>
      </c>
      <c r="H17" s="1614" t="e">
        <f t="shared" si="2"/>
        <v>#DIV/0!</v>
      </c>
      <c r="I17" s="1569"/>
      <c r="J17" s="1645" t="s">
        <v>1411</v>
      </c>
      <c r="K17" s="1691" t="s">
        <v>276</v>
      </c>
      <c r="L17" s="1982" t="s">
        <v>607</v>
      </c>
      <c r="M17" s="1621"/>
      <c r="N17" s="1621">
        <v>0.3</v>
      </c>
      <c r="O17" s="1621"/>
      <c r="P17" s="1621"/>
      <c r="Q17" s="2346">
        <v>0.6</v>
      </c>
      <c r="R17" s="1621"/>
      <c r="S17" s="1621"/>
      <c r="T17" s="1622"/>
      <c r="U17" s="1621"/>
      <c r="V17" s="1621">
        <v>0.3</v>
      </c>
      <c r="W17" s="1623"/>
      <c r="X17" s="1621">
        <v>0.3</v>
      </c>
      <c r="Y17" s="1621">
        <v>0.3</v>
      </c>
      <c r="Z17" s="1618"/>
    </row>
    <row r="18" spans="1:26">
      <c r="B18" s="1595" t="str">
        <f t="shared" si="0"/>
        <v>1.2.4</v>
      </c>
      <c r="C18" s="514" t="str">
        <f t="shared" si="1"/>
        <v>界床遮音性能（重量衝撃源）</v>
      </c>
      <c r="D18" s="1613" t="e">
        <f>G$10*G$14*G18</f>
        <v>#DIV/0!</v>
      </c>
      <c r="E18" s="1613" t="e">
        <f t="shared" si="4"/>
        <v>#DIV/0!</v>
      </c>
      <c r="F18" s="1557"/>
      <c r="G18" s="1614" t="e">
        <f>SUMPRODUCT($M$7:$Y$7,M18:Y18)</f>
        <v>#DIV/0!</v>
      </c>
      <c r="H18" s="1614" t="e">
        <f t="shared" si="2"/>
        <v>#DIV/0!</v>
      </c>
      <c r="I18" s="1569"/>
      <c r="J18" s="1645" t="s">
        <v>1561</v>
      </c>
      <c r="K18" s="1691" t="s">
        <v>276</v>
      </c>
      <c r="L18" s="1982" t="s">
        <v>608</v>
      </c>
      <c r="M18" s="1621"/>
      <c r="N18" s="1621">
        <v>0.3</v>
      </c>
      <c r="O18" s="1621"/>
      <c r="P18" s="1621"/>
      <c r="Q18" s="1621"/>
      <c r="R18" s="1621"/>
      <c r="S18" s="1621"/>
      <c r="T18" s="1622"/>
      <c r="U18" s="1621"/>
      <c r="V18" s="1621">
        <v>0.3</v>
      </c>
      <c r="W18" s="1623"/>
      <c r="X18" s="1621">
        <v>0.3</v>
      </c>
      <c r="Y18" s="1621">
        <v>0.3</v>
      </c>
      <c r="Z18" s="1618"/>
    </row>
    <row r="19" spans="1:26">
      <c r="B19" s="1595">
        <f t="shared" si="0"/>
        <v>1.3</v>
      </c>
      <c r="C19" s="514" t="str">
        <f t="shared" si="1"/>
        <v>吸音</v>
      </c>
      <c r="D19" s="1620" t="e">
        <f>G10*G19</f>
        <v>#DIV/0!</v>
      </c>
      <c r="E19" s="1620" t="e">
        <f>H10*H19</f>
        <v>#DIV/0!</v>
      </c>
      <c r="F19" s="1557"/>
      <c r="G19" s="1614" t="e">
        <f t="shared" si="3"/>
        <v>#DIV/0!</v>
      </c>
      <c r="H19" s="1614" t="e">
        <f t="shared" si="2"/>
        <v>#DIV/0!</v>
      </c>
      <c r="I19" s="1569"/>
      <c r="J19" s="1645">
        <v>1.3</v>
      </c>
      <c r="K19" s="1691" t="s">
        <v>272</v>
      </c>
      <c r="L19" s="1982" t="s">
        <v>609</v>
      </c>
      <c r="M19" s="2346">
        <v>0.2</v>
      </c>
      <c r="N19" s="1616">
        <v>0.2</v>
      </c>
      <c r="O19" s="1616">
        <v>0.2</v>
      </c>
      <c r="P19" s="1616">
        <v>0.2</v>
      </c>
      <c r="Q19" s="2346">
        <v>0.2</v>
      </c>
      <c r="R19" s="1616">
        <v>0.2</v>
      </c>
      <c r="S19" s="1616">
        <v>0.2</v>
      </c>
      <c r="T19" s="2346">
        <v>0.2</v>
      </c>
      <c r="U19" s="1616"/>
      <c r="V19" s="1621">
        <v>0.2</v>
      </c>
      <c r="W19" s="1623"/>
      <c r="X19" s="1621">
        <v>0.2</v>
      </c>
      <c r="Y19" s="2346">
        <v>0.2</v>
      </c>
      <c r="Z19" s="1618"/>
    </row>
    <row r="20" spans="1:26" s="1603" customFormat="1">
      <c r="A20"/>
      <c r="B20" s="1595">
        <f t="shared" si="0"/>
        <v>2</v>
      </c>
      <c r="C20" s="1626" t="str">
        <f t="shared" si="1"/>
        <v>温熱環境</v>
      </c>
      <c r="D20" s="1606" t="e">
        <f>SUM(D21:D33)</f>
        <v>#DIV/0!</v>
      </c>
      <c r="E20" s="1606" t="e">
        <f>SUM(E21:E33)</f>
        <v>#DIV/0!</v>
      </c>
      <c r="F20" s="1557"/>
      <c r="G20" s="1607" t="e">
        <f t="shared" si="3"/>
        <v>#DIV/0!</v>
      </c>
      <c r="H20" s="1607" t="e">
        <f t="shared" si="2"/>
        <v>#DIV/0!</v>
      </c>
      <c r="I20" s="1599"/>
      <c r="J20" s="1639">
        <v>2</v>
      </c>
      <c r="K20" s="1742" t="s">
        <v>271</v>
      </c>
      <c r="L20" s="1785" t="s">
        <v>1023</v>
      </c>
      <c r="M20" s="1608">
        <v>0.35</v>
      </c>
      <c r="N20" s="1608">
        <v>0.35</v>
      </c>
      <c r="O20" s="1608">
        <v>0.35</v>
      </c>
      <c r="P20" s="1608">
        <v>0.35</v>
      </c>
      <c r="Q20" s="1608">
        <v>0.35</v>
      </c>
      <c r="R20" s="1608">
        <v>0.35</v>
      </c>
      <c r="S20" s="1608">
        <v>0.35</v>
      </c>
      <c r="T20" s="1608">
        <v>0.44</v>
      </c>
      <c r="U20" s="1608">
        <v>0.35</v>
      </c>
      <c r="V20" s="1709">
        <v>0.35</v>
      </c>
      <c r="W20" s="2060"/>
      <c r="X20" s="1709"/>
      <c r="Y20" s="1709"/>
      <c r="Z20" s="1610"/>
    </row>
    <row r="21" spans="1:26">
      <c r="B21" s="1595">
        <f t="shared" si="0"/>
        <v>2.1</v>
      </c>
      <c r="C21" s="1628" t="str">
        <f t="shared" si="1"/>
        <v>室温制御</v>
      </c>
      <c r="D21" s="1613"/>
      <c r="E21" s="1613"/>
      <c r="F21" s="1557"/>
      <c r="G21" s="1614" t="e">
        <f t="shared" si="3"/>
        <v>#DIV/0!</v>
      </c>
      <c r="H21" s="1614" t="e">
        <f t="shared" si="2"/>
        <v>#DIV/0!</v>
      </c>
      <c r="I21" s="1569"/>
      <c r="J21" s="1645">
        <v>2.1</v>
      </c>
      <c r="K21" s="1691" t="s">
        <v>277</v>
      </c>
      <c r="L21" s="1735" t="s">
        <v>613</v>
      </c>
      <c r="M21" s="1616">
        <v>0.5</v>
      </c>
      <c r="N21" s="1616">
        <v>0.5</v>
      </c>
      <c r="O21" s="1616">
        <v>0.5</v>
      </c>
      <c r="P21" s="1616">
        <v>0.5</v>
      </c>
      <c r="Q21" s="1616">
        <v>0.5</v>
      </c>
      <c r="R21" s="1616">
        <v>0.5</v>
      </c>
      <c r="S21" s="1616">
        <v>0.5</v>
      </c>
      <c r="T21" s="1616">
        <v>0.5</v>
      </c>
      <c r="U21" s="1616">
        <v>0.5</v>
      </c>
      <c r="V21" s="1621">
        <v>0.5</v>
      </c>
      <c r="W21" s="1623">
        <v>1</v>
      </c>
      <c r="X21" s="1621">
        <v>1</v>
      </c>
      <c r="Y21" s="1621">
        <v>1</v>
      </c>
      <c r="Z21" s="1618"/>
    </row>
    <row r="22" spans="1:26">
      <c r="B22" s="1595" t="str">
        <f t="shared" si="0"/>
        <v>2.1.1</v>
      </c>
      <c r="C22" s="1612" t="str">
        <f t="shared" si="1"/>
        <v>室温設定</v>
      </c>
      <c r="D22" s="1613" t="e">
        <f>G$20*G$21*G22</f>
        <v>#DIV/0!</v>
      </c>
      <c r="E22" s="1613" t="e">
        <f t="shared" ref="D22:E29" si="5">H$20*H$21*H22</f>
        <v>#DIV/0!</v>
      </c>
      <c r="F22" s="1557"/>
      <c r="G22" s="1614" t="e">
        <f t="shared" si="3"/>
        <v>#DIV/0!</v>
      </c>
      <c r="H22" s="1614" t="e">
        <f t="shared" si="2"/>
        <v>#DIV/0!</v>
      </c>
      <c r="I22" s="1569"/>
      <c r="J22" s="1645" t="s">
        <v>1414</v>
      </c>
      <c r="K22" s="1691" t="s">
        <v>278</v>
      </c>
      <c r="L22" s="2061" t="s">
        <v>410</v>
      </c>
      <c r="M22" s="1616">
        <v>0.3</v>
      </c>
      <c r="N22" s="1616">
        <v>0.3</v>
      </c>
      <c r="O22" s="1616">
        <v>0.3</v>
      </c>
      <c r="P22" s="1616">
        <v>0.3</v>
      </c>
      <c r="Q22" s="1616">
        <v>0.3</v>
      </c>
      <c r="R22" s="1616">
        <v>0.3</v>
      </c>
      <c r="S22" s="1616">
        <v>0.5</v>
      </c>
      <c r="T22" s="1629">
        <v>0.3</v>
      </c>
      <c r="U22" s="1616">
        <v>0.3</v>
      </c>
      <c r="V22" s="1621">
        <v>0.3</v>
      </c>
      <c r="W22" s="1623"/>
      <c r="X22" s="1621"/>
      <c r="Y22" s="1621"/>
      <c r="Z22" s="1630"/>
    </row>
    <row r="23" spans="1:26" ht="13.5" hidden="1" customHeight="1">
      <c r="B23" s="1595" t="str">
        <f t="shared" si="0"/>
        <v>2.1.2</v>
      </c>
      <c r="C23" s="1648" t="str">
        <f t="shared" si="1"/>
        <v>負荷変動・追従制御性</v>
      </c>
      <c r="D23" s="1613" t="e">
        <f t="shared" si="5"/>
        <v>#DIV/0!</v>
      </c>
      <c r="E23" s="1613" t="e">
        <f>H$20*H$21*H23</f>
        <v>#DIV/0!</v>
      </c>
      <c r="F23" s="1557"/>
      <c r="G23" s="1614" t="e">
        <f t="shared" si="3"/>
        <v>#DIV/0!</v>
      </c>
      <c r="H23" s="1614" t="e">
        <f t="shared" si="2"/>
        <v>#DIV/0!</v>
      </c>
      <c r="I23" s="1569"/>
      <c r="J23" s="1645" t="s">
        <v>279</v>
      </c>
      <c r="K23" s="1691" t="s">
        <v>278</v>
      </c>
      <c r="L23" s="2061" t="s">
        <v>280</v>
      </c>
      <c r="M23" s="1652"/>
      <c r="N23" s="1652">
        <v>0.2</v>
      </c>
      <c r="O23" s="1652">
        <v>0.2</v>
      </c>
      <c r="P23" s="1652">
        <v>0.2</v>
      </c>
      <c r="Q23" s="1652"/>
      <c r="R23" s="1652"/>
      <c r="S23" s="1652"/>
      <c r="T23" s="2068">
        <v>0.3</v>
      </c>
      <c r="U23" s="1652"/>
      <c r="V23" s="1621">
        <v>0.2</v>
      </c>
      <c r="W23" s="1623"/>
      <c r="X23" s="1621"/>
      <c r="Y23" s="1621"/>
      <c r="Z23" s="1630"/>
    </row>
    <row r="24" spans="1:26">
      <c r="B24" s="1595" t="str">
        <f t="shared" si="0"/>
        <v>2.1.3</v>
      </c>
      <c r="C24" s="1612" t="str">
        <f t="shared" si="1"/>
        <v>外皮性能</v>
      </c>
      <c r="D24" s="1613" t="e">
        <f t="shared" si="5"/>
        <v>#DIV/0!</v>
      </c>
      <c r="E24" s="1613" t="e">
        <f t="shared" si="5"/>
        <v>#DIV/0!</v>
      </c>
      <c r="F24" s="1557"/>
      <c r="G24" s="1614" t="e">
        <f t="shared" si="3"/>
        <v>#DIV/0!</v>
      </c>
      <c r="H24" s="1614" t="e">
        <f t="shared" si="2"/>
        <v>#DIV/0!</v>
      </c>
      <c r="I24" s="1569"/>
      <c r="J24" s="1645" t="s">
        <v>281</v>
      </c>
      <c r="K24" s="1691" t="s">
        <v>278</v>
      </c>
      <c r="L24" s="2061" t="s">
        <v>282</v>
      </c>
      <c r="M24" s="1616">
        <v>0.2</v>
      </c>
      <c r="N24" s="1616">
        <v>0.2</v>
      </c>
      <c r="O24" s="1616">
        <v>0.1</v>
      </c>
      <c r="P24" s="1616">
        <v>0.1</v>
      </c>
      <c r="Q24" s="1616">
        <v>0.2</v>
      </c>
      <c r="R24" s="1616">
        <v>0.2</v>
      </c>
      <c r="S24" s="1616">
        <v>0.3</v>
      </c>
      <c r="T24" s="1629">
        <v>0.1</v>
      </c>
      <c r="U24" s="1616">
        <v>0.2</v>
      </c>
      <c r="V24" s="1621">
        <v>0.2</v>
      </c>
      <c r="W24" s="1623">
        <v>0.5</v>
      </c>
      <c r="X24" s="1621">
        <v>0.5</v>
      </c>
      <c r="Y24" s="1621">
        <v>0.6</v>
      </c>
      <c r="Z24" s="1630"/>
    </row>
    <row r="25" spans="1:26">
      <c r="B25" s="1595" t="str">
        <f t="shared" si="0"/>
        <v>2.1.4</v>
      </c>
      <c r="C25" s="1612" t="str">
        <f t="shared" si="1"/>
        <v>ゾーン別制御性</v>
      </c>
      <c r="D25" s="1613" t="e">
        <f t="shared" si="5"/>
        <v>#DIV/0!</v>
      </c>
      <c r="E25" s="1613" t="e">
        <f t="shared" si="5"/>
        <v>#DIV/0!</v>
      </c>
      <c r="F25" s="1557"/>
      <c r="G25" s="1614" t="e">
        <f t="shared" si="3"/>
        <v>#DIV/0!</v>
      </c>
      <c r="H25" s="1614" t="e">
        <f t="shared" si="2"/>
        <v>#DIV/0!</v>
      </c>
      <c r="I25" s="1569"/>
      <c r="J25" s="1645" t="s">
        <v>283</v>
      </c>
      <c r="K25" s="1691" t="s">
        <v>278</v>
      </c>
      <c r="L25" s="2061" t="s">
        <v>284</v>
      </c>
      <c r="M25" s="1616">
        <v>0.3</v>
      </c>
      <c r="N25" s="1616"/>
      <c r="O25" s="1616">
        <v>0.2</v>
      </c>
      <c r="P25" s="1616">
        <v>0.2</v>
      </c>
      <c r="Q25" s="1616">
        <v>0.3</v>
      </c>
      <c r="R25" s="1616">
        <v>0.3</v>
      </c>
      <c r="S25" s="1616"/>
      <c r="T25" s="1629">
        <v>0.2</v>
      </c>
      <c r="U25" s="1616">
        <v>0.3</v>
      </c>
      <c r="V25" s="1621">
        <v>0</v>
      </c>
      <c r="W25" s="1623"/>
      <c r="X25" s="1621"/>
      <c r="Y25" s="1621"/>
      <c r="Z25" s="1630"/>
    </row>
    <row r="26" spans="1:26" hidden="1">
      <c r="B26" s="1595" t="str">
        <f t="shared" si="0"/>
        <v>2.1.5</v>
      </c>
      <c r="C26" s="1648" t="str">
        <f t="shared" si="1"/>
        <v>温度・湿度制御</v>
      </c>
      <c r="D26" s="1613" t="e">
        <f t="shared" si="5"/>
        <v>#DIV/0!</v>
      </c>
      <c r="E26" s="1613" t="e">
        <f t="shared" si="5"/>
        <v>#DIV/0!</v>
      </c>
      <c r="F26" s="1557"/>
      <c r="G26" s="1614" t="e">
        <f>SUMPRODUCT($M$7:$Y$7,M26:Y26)</f>
        <v>#DIV/0!</v>
      </c>
      <c r="H26" s="1614" t="e">
        <f t="shared" si="2"/>
        <v>#DIV/0!</v>
      </c>
      <c r="I26" s="1569"/>
      <c r="J26" s="1645" t="s">
        <v>285</v>
      </c>
      <c r="K26" s="1691" t="s">
        <v>278</v>
      </c>
      <c r="L26" s="2061" t="s">
        <v>286</v>
      </c>
      <c r="M26" s="1652">
        <v>0.1</v>
      </c>
      <c r="N26" s="1652">
        <v>0.1</v>
      </c>
      <c r="O26" s="1652">
        <v>0.1</v>
      </c>
      <c r="P26" s="1652">
        <v>0.1</v>
      </c>
      <c r="Q26" s="1652">
        <v>0.1</v>
      </c>
      <c r="R26" s="1652">
        <v>0.1</v>
      </c>
      <c r="S26" s="1652">
        <v>0.2</v>
      </c>
      <c r="T26" s="2068">
        <v>0.1</v>
      </c>
      <c r="U26" s="1652">
        <v>0.1</v>
      </c>
      <c r="V26" s="1621">
        <v>0.1</v>
      </c>
      <c r="W26" s="1623">
        <v>0.3</v>
      </c>
      <c r="X26" s="1621">
        <v>0.3</v>
      </c>
      <c r="Y26" s="1621"/>
      <c r="Z26" s="1630"/>
    </row>
    <row r="27" spans="1:26" hidden="1">
      <c r="B27" s="1595" t="str">
        <f t="shared" si="0"/>
        <v>2.1.6</v>
      </c>
      <c r="C27" s="1648" t="str">
        <f t="shared" si="1"/>
        <v>個別制御</v>
      </c>
      <c r="D27" s="1613" t="e">
        <f t="shared" si="5"/>
        <v>#DIV/0!</v>
      </c>
      <c r="E27" s="1613" t="e">
        <f t="shared" si="5"/>
        <v>#DIV/0!</v>
      </c>
      <c r="F27" s="1557"/>
      <c r="G27" s="1614" t="e">
        <f t="shared" si="3"/>
        <v>#DIV/0!</v>
      </c>
      <c r="H27" s="1614" t="e">
        <f t="shared" si="2"/>
        <v>#DIV/0!</v>
      </c>
      <c r="I27" s="1569"/>
      <c r="J27" s="1645" t="s">
        <v>287</v>
      </c>
      <c r="K27" s="1691" t="s">
        <v>278</v>
      </c>
      <c r="L27" s="2061" t="s">
        <v>288</v>
      </c>
      <c r="M27" s="1652"/>
      <c r="N27" s="1652"/>
      <c r="O27" s="1652"/>
      <c r="P27" s="1652"/>
      <c r="Q27" s="1652"/>
      <c r="R27" s="1652"/>
      <c r="S27" s="1652"/>
      <c r="T27" s="2068"/>
      <c r="U27" s="1652"/>
      <c r="V27" s="1621">
        <v>0</v>
      </c>
      <c r="W27" s="1623">
        <v>0.2</v>
      </c>
      <c r="X27" s="1621">
        <v>0.2</v>
      </c>
      <c r="Y27" s="1621">
        <v>0.4</v>
      </c>
      <c r="Z27" s="1630"/>
    </row>
    <row r="28" spans="1:26" hidden="1">
      <c r="B28" s="1595" t="str">
        <f t="shared" si="0"/>
        <v>2.1.7</v>
      </c>
      <c r="C28" s="1648" t="str">
        <f t="shared" si="1"/>
        <v>時間外空調に対する配慮</v>
      </c>
      <c r="D28" s="1613" t="e">
        <f t="shared" si="5"/>
        <v>#DIV/0!</v>
      </c>
      <c r="E28" s="1613" t="e">
        <f t="shared" si="5"/>
        <v>#DIV/0!</v>
      </c>
      <c r="F28" s="1557"/>
      <c r="G28" s="1614" t="e">
        <f t="shared" si="3"/>
        <v>#DIV/0!</v>
      </c>
      <c r="H28" s="1614" t="e">
        <f t="shared" si="2"/>
        <v>#DIV/0!</v>
      </c>
      <c r="I28" s="1569"/>
      <c r="J28" s="1645" t="s">
        <v>289</v>
      </c>
      <c r="K28" s="1691" t="s">
        <v>278</v>
      </c>
      <c r="L28" s="2061" t="s">
        <v>898</v>
      </c>
      <c r="M28" s="1652">
        <v>0.1</v>
      </c>
      <c r="N28" s="1652">
        <v>0.2</v>
      </c>
      <c r="O28" s="1652"/>
      <c r="P28" s="1652"/>
      <c r="Q28" s="1652">
        <v>0.1</v>
      </c>
      <c r="R28" s="1652">
        <v>0.1</v>
      </c>
      <c r="S28" s="1652"/>
      <c r="T28" s="2068"/>
      <c r="U28" s="1652">
        <v>0.1</v>
      </c>
      <c r="V28" s="1621">
        <v>0.2</v>
      </c>
      <c r="W28" s="1623"/>
      <c r="X28" s="1621"/>
      <c r="Y28" s="1621"/>
      <c r="Z28" s="1630"/>
    </row>
    <row r="29" spans="1:26" hidden="1">
      <c r="B29" s="1595" t="str">
        <f t="shared" si="0"/>
        <v>2.1.8</v>
      </c>
      <c r="C29" s="1648" t="str">
        <f t="shared" si="1"/>
        <v>監視システム</v>
      </c>
      <c r="D29" s="1613" t="e">
        <f t="shared" si="5"/>
        <v>#DIV/0!</v>
      </c>
      <c r="E29" s="1613" t="e">
        <f t="shared" si="5"/>
        <v>#DIV/0!</v>
      </c>
      <c r="F29" s="1557"/>
      <c r="G29" s="1614" t="e">
        <f t="shared" si="3"/>
        <v>#DIV/0!</v>
      </c>
      <c r="H29" s="1614" t="e">
        <f t="shared" si="2"/>
        <v>#DIV/0!</v>
      </c>
      <c r="I29" s="1569"/>
      <c r="J29" s="1645" t="s">
        <v>290</v>
      </c>
      <c r="K29" s="1691" t="s">
        <v>278</v>
      </c>
      <c r="L29" s="2061" t="s">
        <v>291</v>
      </c>
      <c r="M29" s="1652"/>
      <c r="N29" s="1652"/>
      <c r="O29" s="1652">
        <v>0.1</v>
      </c>
      <c r="P29" s="1652">
        <v>0.1</v>
      </c>
      <c r="Q29" s="1652"/>
      <c r="R29" s="1652"/>
      <c r="S29" s="1652"/>
      <c r="T29" s="2068"/>
      <c r="U29" s="1652"/>
      <c r="V29" s="1621">
        <v>0</v>
      </c>
      <c r="W29" s="1623"/>
      <c r="X29" s="1621"/>
      <c r="Y29" s="1621"/>
      <c r="Z29" s="1630"/>
    </row>
    <row r="30" spans="1:26">
      <c r="B30" s="1595">
        <f t="shared" si="0"/>
        <v>2.2000000000000002</v>
      </c>
      <c r="C30" s="1628" t="str">
        <f t="shared" si="1"/>
        <v>湿度制御</v>
      </c>
      <c r="D30" s="1620" t="e">
        <f>G20*G30</f>
        <v>#DIV/0!</v>
      </c>
      <c r="E30" s="1620" t="e">
        <f>H20*H30</f>
        <v>#DIV/0!</v>
      </c>
      <c r="F30" s="1557"/>
      <c r="G30" s="1614" t="e">
        <f t="shared" si="3"/>
        <v>#DIV/0!</v>
      </c>
      <c r="H30" s="1614" t="e">
        <f t="shared" si="2"/>
        <v>#DIV/0!</v>
      </c>
      <c r="I30" s="1569"/>
      <c r="J30" s="1645">
        <v>2.2000000000000002</v>
      </c>
      <c r="K30" s="1691" t="s">
        <v>277</v>
      </c>
      <c r="L30" s="1735" t="s">
        <v>931</v>
      </c>
      <c r="M30" s="1616">
        <v>0.2</v>
      </c>
      <c r="N30" s="1616">
        <v>0.2</v>
      </c>
      <c r="O30" s="1616">
        <v>0.2</v>
      </c>
      <c r="P30" s="1616">
        <v>0.2</v>
      </c>
      <c r="Q30" s="1616">
        <v>0.2</v>
      </c>
      <c r="R30" s="1616">
        <v>0.2</v>
      </c>
      <c r="S30" s="1616">
        <v>0.2</v>
      </c>
      <c r="T30" s="1629">
        <v>0.2</v>
      </c>
      <c r="U30" s="1616">
        <v>0.2</v>
      </c>
      <c r="V30" s="1621">
        <v>0.2</v>
      </c>
      <c r="W30" s="1623"/>
      <c r="X30" s="1621"/>
      <c r="Y30" s="1621"/>
      <c r="Z30" s="1618"/>
    </row>
    <row r="31" spans="1:26">
      <c r="B31" s="1595">
        <f t="shared" si="0"/>
        <v>2.2999999999999998</v>
      </c>
      <c r="C31" s="1628" t="str">
        <f t="shared" si="1"/>
        <v>空調方式</v>
      </c>
      <c r="D31" s="1613"/>
      <c r="E31" s="1613"/>
      <c r="F31" s="1557"/>
      <c r="G31" s="1614" t="e">
        <f t="shared" si="3"/>
        <v>#DIV/0!</v>
      </c>
      <c r="H31" s="1614" t="e">
        <f t="shared" si="2"/>
        <v>#DIV/0!</v>
      </c>
      <c r="I31" s="1569"/>
      <c r="J31" s="1645">
        <v>2.2999999999999998</v>
      </c>
      <c r="K31" s="1691" t="s">
        <v>277</v>
      </c>
      <c r="L31" s="1735" t="s">
        <v>622</v>
      </c>
      <c r="M31" s="1616">
        <v>0.3</v>
      </c>
      <c r="N31" s="1616">
        <v>0.3</v>
      </c>
      <c r="O31" s="1616">
        <v>0.3</v>
      </c>
      <c r="P31" s="1616">
        <v>0.3</v>
      </c>
      <c r="Q31" s="1616">
        <v>0.3</v>
      </c>
      <c r="R31" s="1616">
        <v>0.3</v>
      </c>
      <c r="S31" s="1616">
        <v>0.3</v>
      </c>
      <c r="T31" s="1629">
        <v>0.3</v>
      </c>
      <c r="U31" s="1616">
        <v>0.3</v>
      </c>
      <c r="V31" s="2347">
        <v>0.3</v>
      </c>
      <c r="W31" s="1623"/>
      <c r="X31" s="1621"/>
      <c r="Y31" s="1621"/>
      <c r="Z31" s="1618"/>
    </row>
    <row r="32" spans="1:26">
      <c r="B32" s="1595" t="str">
        <f t="shared" si="0"/>
        <v>2.3.1</v>
      </c>
      <c r="C32" s="1658" t="str">
        <f t="shared" si="1"/>
        <v>上下温度差</v>
      </c>
      <c r="D32" s="1613" t="e">
        <f>G$20*G$31*G32</f>
        <v>#DIV/0!</v>
      </c>
      <c r="E32" s="1613" t="e">
        <f>H$20*H$31*H32</f>
        <v>#DIV/0!</v>
      </c>
      <c r="F32" s="1557"/>
      <c r="G32" s="1614" t="e">
        <f t="shared" si="3"/>
        <v>#DIV/0!</v>
      </c>
      <c r="H32" s="1614" t="e">
        <f t="shared" si="2"/>
        <v>#DIV/0!</v>
      </c>
      <c r="I32" s="1569"/>
      <c r="J32" s="1645" t="s">
        <v>1417</v>
      </c>
      <c r="K32" s="1691" t="s">
        <v>292</v>
      </c>
      <c r="L32" s="1735" t="s">
        <v>624</v>
      </c>
      <c r="M32" s="1616">
        <v>0.5</v>
      </c>
      <c r="N32" s="1616">
        <v>0.5</v>
      </c>
      <c r="O32" s="1616">
        <v>0.5</v>
      </c>
      <c r="P32" s="1616">
        <v>0.5</v>
      </c>
      <c r="Q32" s="1616">
        <v>0.5</v>
      </c>
      <c r="R32" s="1616">
        <v>0.5</v>
      </c>
      <c r="S32" s="1616">
        <v>0.5</v>
      </c>
      <c r="T32" s="1629">
        <v>0.5</v>
      </c>
      <c r="U32" s="1616">
        <v>0.5</v>
      </c>
      <c r="V32" s="2347">
        <v>0.5</v>
      </c>
      <c r="W32" s="1623"/>
      <c r="X32" s="1623"/>
      <c r="Y32" s="1623"/>
      <c r="Z32" s="1618"/>
    </row>
    <row r="33" spans="1:26">
      <c r="B33" s="1595" t="str">
        <f t="shared" si="0"/>
        <v>2.3.2</v>
      </c>
      <c r="C33" s="1658" t="str">
        <f t="shared" si="1"/>
        <v>平均気流速度</v>
      </c>
      <c r="D33" s="1613" t="e">
        <f>G$20*G$31*G33</f>
        <v>#DIV/0!</v>
      </c>
      <c r="E33" s="1613" t="e">
        <f>H$20*H$31*H33</f>
        <v>#DIV/0!</v>
      </c>
      <c r="F33" s="1557"/>
      <c r="G33" s="1614" t="e">
        <f t="shared" si="3"/>
        <v>#DIV/0!</v>
      </c>
      <c r="H33" s="1614" t="e">
        <f t="shared" si="2"/>
        <v>#DIV/0!</v>
      </c>
      <c r="I33" s="1569"/>
      <c r="J33" s="1645" t="s">
        <v>1419</v>
      </c>
      <c r="K33" s="1691" t="s">
        <v>292</v>
      </c>
      <c r="L33" s="1735" t="s">
        <v>627</v>
      </c>
      <c r="M33" s="1616">
        <v>0.5</v>
      </c>
      <c r="N33" s="1616">
        <v>0.5</v>
      </c>
      <c r="O33" s="1616">
        <v>0.5</v>
      </c>
      <c r="P33" s="1616">
        <v>0.5</v>
      </c>
      <c r="Q33" s="1616">
        <v>0.5</v>
      </c>
      <c r="R33" s="1616">
        <v>0.5</v>
      </c>
      <c r="S33" s="1616">
        <v>0.5</v>
      </c>
      <c r="T33" s="1616">
        <v>0.5</v>
      </c>
      <c r="U33" s="1616">
        <v>0.5</v>
      </c>
      <c r="V33" s="2347">
        <v>0.5</v>
      </c>
      <c r="W33" s="1623"/>
      <c r="X33" s="1623"/>
      <c r="Y33" s="1623"/>
      <c r="Z33" s="1618"/>
    </row>
    <row r="34" spans="1:26" s="1603" customFormat="1">
      <c r="A34"/>
      <c r="B34" s="1595">
        <f t="shared" si="0"/>
        <v>3</v>
      </c>
      <c r="C34" s="1605" t="str">
        <f t="shared" si="1"/>
        <v>光・視環境</v>
      </c>
      <c r="D34" s="1606" t="e">
        <f>SUM(D35:D46)</f>
        <v>#DIV/0!</v>
      </c>
      <c r="E34" s="1606" t="e">
        <f>SUM(E35:E46)</f>
        <v>#DIV/0!</v>
      </c>
      <c r="F34" s="1557"/>
      <c r="G34" s="1607" t="e">
        <f t="shared" si="3"/>
        <v>#DIV/0!</v>
      </c>
      <c r="H34" s="1607" t="e">
        <f t="shared" si="2"/>
        <v>#DIV/0!</v>
      </c>
      <c r="I34" s="1599"/>
      <c r="J34" s="1639">
        <v>3</v>
      </c>
      <c r="K34" s="1742" t="s">
        <v>271</v>
      </c>
      <c r="L34" s="1778" t="s">
        <v>1139</v>
      </c>
      <c r="M34" s="1608">
        <v>0.25</v>
      </c>
      <c r="N34" s="1608">
        <v>0.25</v>
      </c>
      <c r="O34" s="1608">
        <v>0.25</v>
      </c>
      <c r="P34" s="1608">
        <v>0.25</v>
      </c>
      <c r="Q34" s="1608">
        <v>0.25</v>
      </c>
      <c r="R34" s="1608">
        <v>0.25</v>
      </c>
      <c r="S34" s="1608">
        <v>0.25</v>
      </c>
      <c r="T34" s="1627">
        <v>0</v>
      </c>
      <c r="U34" s="1608">
        <v>0.25</v>
      </c>
      <c r="V34" s="1709">
        <v>0.25</v>
      </c>
      <c r="W34" s="2060"/>
      <c r="X34" s="1709"/>
      <c r="Y34" s="1709"/>
      <c r="Z34" s="1610"/>
    </row>
    <row r="35" spans="1:26">
      <c r="B35" s="1595">
        <f t="shared" si="0"/>
        <v>3.1</v>
      </c>
      <c r="C35" s="1628" t="str">
        <f t="shared" si="1"/>
        <v>昼光利用</v>
      </c>
      <c r="D35" s="1613"/>
      <c r="E35" s="1613"/>
      <c r="F35" s="1557"/>
      <c r="G35" s="1614" t="e">
        <f t="shared" si="3"/>
        <v>#DIV/0!</v>
      </c>
      <c r="H35" s="1614" t="e">
        <f t="shared" si="2"/>
        <v>#DIV/0!</v>
      </c>
      <c r="I35" s="1569"/>
      <c r="J35" s="1645">
        <v>3.1</v>
      </c>
      <c r="K35" s="1691" t="s">
        <v>293</v>
      </c>
      <c r="L35" s="1735" t="s">
        <v>631</v>
      </c>
      <c r="M35" s="1616">
        <v>0.3</v>
      </c>
      <c r="N35" s="1616">
        <v>0.3</v>
      </c>
      <c r="O35" s="1616">
        <v>0.5</v>
      </c>
      <c r="P35" s="1616">
        <v>1</v>
      </c>
      <c r="Q35" s="1616">
        <v>0.3</v>
      </c>
      <c r="R35" s="1616">
        <v>0.3</v>
      </c>
      <c r="S35" s="1616">
        <v>0.3</v>
      </c>
      <c r="T35" s="1629"/>
      <c r="U35" s="1616">
        <v>0.3</v>
      </c>
      <c r="V35" s="1621">
        <v>0.3</v>
      </c>
      <c r="W35" s="1623">
        <v>0.3</v>
      </c>
      <c r="X35" s="1621">
        <v>0.3</v>
      </c>
      <c r="Y35" s="1621">
        <v>0.3</v>
      </c>
      <c r="Z35" s="1618"/>
    </row>
    <row r="36" spans="1:26">
      <c r="B36" s="1595" t="str">
        <f t="shared" si="0"/>
        <v>3.1.1</v>
      </c>
      <c r="C36" s="1612" t="str">
        <f t="shared" si="1"/>
        <v>昼光率</v>
      </c>
      <c r="D36" s="1613" t="e">
        <f t="shared" ref="D36:E38" si="6">G$34*G$35*G36</f>
        <v>#DIV/0!</v>
      </c>
      <c r="E36" s="1613" t="e">
        <f t="shared" si="6"/>
        <v>#DIV/0!</v>
      </c>
      <c r="F36" s="1557"/>
      <c r="G36" s="1614" t="e">
        <f t="shared" si="3"/>
        <v>#DIV/0!</v>
      </c>
      <c r="H36" s="1614" t="e">
        <f t="shared" si="2"/>
        <v>#DIV/0!</v>
      </c>
      <c r="I36" s="1569"/>
      <c r="J36" s="1645" t="s">
        <v>1550</v>
      </c>
      <c r="K36" s="1691" t="s">
        <v>294</v>
      </c>
      <c r="L36" s="2061" t="s">
        <v>295</v>
      </c>
      <c r="M36" s="1616">
        <v>0.6</v>
      </c>
      <c r="N36" s="1616">
        <v>0.6</v>
      </c>
      <c r="O36" s="1616"/>
      <c r="P36" s="1616"/>
      <c r="Q36" s="1616">
        <v>0.6</v>
      </c>
      <c r="R36" s="1616">
        <v>0.6</v>
      </c>
      <c r="S36" s="1616">
        <v>0.6</v>
      </c>
      <c r="T36" s="1629"/>
      <c r="U36" s="1616">
        <v>0.6</v>
      </c>
      <c r="V36" s="1621">
        <v>0.6</v>
      </c>
      <c r="W36" s="1623">
        <v>0.6</v>
      </c>
      <c r="X36" s="1621">
        <v>0.6</v>
      </c>
      <c r="Y36" s="1621">
        <v>0.5</v>
      </c>
      <c r="Z36" s="1618"/>
    </row>
    <row r="37" spans="1:26">
      <c r="B37" s="1595" t="str">
        <f t="shared" si="0"/>
        <v>3.1.2</v>
      </c>
      <c r="C37" s="1612" t="str">
        <f t="shared" si="1"/>
        <v>方位別開口</v>
      </c>
      <c r="D37" s="1613" t="e">
        <f t="shared" si="6"/>
        <v>#DIV/0!</v>
      </c>
      <c r="E37" s="1613" t="e">
        <f t="shared" si="6"/>
        <v>#DIV/0!</v>
      </c>
      <c r="F37" s="1557"/>
      <c r="G37" s="1614" t="e">
        <f t="shared" si="3"/>
        <v>#DIV/0!</v>
      </c>
      <c r="H37" s="1614" t="e">
        <f t="shared" si="2"/>
        <v>#DIV/0!</v>
      </c>
      <c r="I37" s="1569"/>
      <c r="J37" s="1645" t="s">
        <v>1422</v>
      </c>
      <c r="K37" s="1691" t="s">
        <v>294</v>
      </c>
      <c r="L37" s="2061" t="s">
        <v>296</v>
      </c>
      <c r="M37" s="1616"/>
      <c r="N37" s="1616"/>
      <c r="O37" s="1616"/>
      <c r="P37" s="1616"/>
      <c r="Q37" s="1616"/>
      <c r="R37" s="1616"/>
      <c r="S37" s="1616"/>
      <c r="T37" s="1629"/>
      <c r="U37" s="1616"/>
      <c r="V37" s="1621"/>
      <c r="W37" s="1623"/>
      <c r="X37" s="1621"/>
      <c r="Y37" s="1621">
        <v>0.3</v>
      </c>
      <c r="Z37" s="1618"/>
    </row>
    <row r="38" spans="1:26">
      <c r="B38" s="1595" t="str">
        <f t="shared" si="0"/>
        <v>3.1.3</v>
      </c>
      <c r="C38" s="1612" t="str">
        <f t="shared" si="1"/>
        <v>昼光利用設備</v>
      </c>
      <c r="D38" s="1613" t="e">
        <f t="shared" si="6"/>
        <v>#DIV/0!</v>
      </c>
      <c r="E38" s="1613" t="e">
        <f t="shared" si="6"/>
        <v>#DIV/0!</v>
      </c>
      <c r="F38" s="1557"/>
      <c r="G38" s="1614" t="e">
        <f t="shared" si="3"/>
        <v>#DIV/0!</v>
      </c>
      <c r="H38" s="1614" t="e">
        <f t="shared" si="2"/>
        <v>#DIV/0!</v>
      </c>
      <c r="I38" s="1569"/>
      <c r="J38" s="1645" t="s">
        <v>1551</v>
      </c>
      <c r="K38" s="1691" t="s">
        <v>294</v>
      </c>
      <c r="L38" s="2061" t="s">
        <v>297</v>
      </c>
      <c r="M38" s="1616">
        <v>0.4</v>
      </c>
      <c r="N38" s="1616">
        <v>0.4</v>
      </c>
      <c r="O38" s="1616">
        <v>1</v>
      </c>
      <c r="P38" s="1616">
        <v>1</v>
      </c>
      <c r="Q38" s="1616">
        <v>0.4</v>
      </c>
      <c r="R38" s="1616">
        <v>0.4</v>
      </c>
      <c r="S38" s="1616">
        <v>0.4</v>
      </c>
      <c r="T38" s="1629"/>
      <c r="U38" s="1616">
        <v>0.4</v>
      </c>
      <c r="V38" s="1621">
        <v>0.4</v>
      </c>
      <c r="W38" s="1623">
        <v>0.4</v>
      </c>
      <c r="X38" s="1621">
        <v>0.4</v>
      </c>
      <c r="Y38" s="1621">
        <v>0.2</v>
      </c>
      <c r="Z38" s="1618"/>
    </row>
    <row r="39" spans="1:26">
      <c r="B39" s="1595">
        <f t="shared" si="0"/>
        <v>3.2</v>
      </c>
      <c r="C39" s="1612" t="str">
        <f t="shared" si="1"/>
        <v>グレア対策</v>
      </c>
      <c r="D39" s="1620"/>
      <c r="E39" s="1620"/>
      <c r="F39" s="1557"/>
      <c r="G39" s="1614" t="e">
        <f t="shared" si="3"/>
        <v>#DIV/0!</v>
      </c>
      <c r="H39" s="1614" t="e">
        <f t="shared" si="2"/>
        <v>#DIV/0!</v>
      </c>
      <c r="I39" s="1569"/>
      <c r="J39" s="1645">
        <v>3.2</v>
      </c>
      <c r="K39" s="1691" t="s">
        <v>293</v>
      </c>
      <c r="L39" s="2061" t="s">
        <v>640</v>
      </c>
      <c r="M39" s="1616">
        <v>0.3</v>
      </c>
      <c r="N39" s="1616">
        <v>0.3</v>
      </c>
      <c r="O39" s="1616"/>
      <c r="P39" s="1616"/>
      <c r="Q39" s="1616">
        <v>0.3</v>
      </c>
      <c r="R39" s="1616">
        <v>0.3</v>
      </c>
      <c r="S39" s="1616">
        <v>0.3</v>
      </c>
      <c r="T39" s="1629"/>
      <c r="U39" s="1616">
        <v>0.3</v>
      </c>
      <c r="V39" s="1621">
        <v>0.3</v>
      </c>
      <c r="W39" s="1623">
        <v>0.3</v>
      </c>
      <c r="X39" s="1621">
        <v>0.3</v>
      </c>
      <c r="Y39" s="1621">
        <v>0.3</v>
      </c>
      <c r="Z39" s="1618"/>
    </row>
    <row r="40" spans="1:26">
      <c r="B40" s="1595" t="str">
        <f t="shared" si="0"/>
        <v>3.2.1</v>
      </c>
      <c r="C40" s="1612" t="str">
        <f t="shared" si="1"/>
        <v>照明器具のグレア</v>
      </c>
      <c r="D40" s="1613" t="e">
        <f t="shared" ref="D40:E42" si="7">G$34*G$39*G40</f>
        <v>#DIV/0!</v>
      </c>
      <c r="E40" s="1613" t="e">
        <f t="shared" si="7"/>
        <v>#DIV/0!</v>
      </c>
      <c r="F40" s="1557"/>
      <c r="G40" s="1614" t="e">
        <f t="shared" si="3"/>
        <v>#DIV/0!</v>
      </c>
      <c r="H40" s="1614" t="e">
        <f t="shared" si="2"/>
        <v>#DIV/0!</v>
      </c>
      <c r="I40" s="1569"/>
      <c r="J40" s="1645" t="s">
        <v>1425</v>
      </c>
      <c r="K40" s="1691" t="s">
        <v>298</v>
      </c>
      <c r="L40" s="2061" t="s">
        <v>299</v>
      </c>
      <c r="M40" s="1652">
        <v>0.4</v>
      </c>
      <c r="N40" s="1652">
        <v>0.4</v>
      </c>
      <c r="O40" s="1652"/>
      <c r="P40" s="1652"/>
      <c r="Q40" s="1652">
        <v>0.4</v>
      </c>
      <c r="R40" s="1652">
        <v>0.4</v>
      </c>
      <c r="S40" s="1652">
        <v>0.4</v>
      </c>
      <c r="T40" s="2068"/>
      <c r="U40" s="1652">
        <v>0.4</v>
      </c>
      <c r="V40" s="2347">
        <v>0.3</v>
      </c>
      <c r="W40" s="1623">
        <v>0.4</v>
      </c>
      <c r="X40" s="1621">
        <v>0.4</v>
      </c>
      <c r="Y40" s="1621">
        <v>0.4</v>
      </c>
      <c r="Z40" s="1630"/>
    </row>
    <row r="41" spans="1:26">
      <c r="B41" s="1595" t="str">
        <f t="shared" ref="B41:B73" si="8">J41</f>
        <v>3.2.2</v>
      </c>
      <c r="C41" s="1612" t="str">
        <f t="shared" ref="C41:C73" si="9">L41</f>
        <v>昼光制御</v>
      </c>
      <c r="D41" s="1613" t="e">
        <f t="shared" si="7"/>
        <v>#DIV/0!</v>
      </c>
      <c r="E41" s="1613" t="e">
        <f t="shared" si="7"/>
        <v>#DIV/0!</v>
      </c>
      <c r="F41" s="1557"/>
      <c r="G41" s="1614" t="e">
        <f t="shared" si="3"/>
        <v>#DIV/0!</v>
      </c>
      <c r="H41" s="1614" t="e">
        <f t="shared" si="2"/>
        <v>#DIV/0!</v>
      </c>
      <c r="I41" s="1569"/>
      <c r="J41" s="1645" t="s">
        <v>1427</v>
      </c>
      <c r="K41" s="1691" t="s">
        <v>298</v>
      </c>
      <c r="L41" s="2061" t="s">
        <v>300</v>
      </c>
      <c r="M41" s="1616">
        <v>0.6</v>
      </c>
      <c r="N41" s="1616">
        <v>0.6</v>
      </c>
      <c r="O41" s="1616"/>
      <c r="P41" s="1616"/>
      <c r="Q41" s="1616">
        <v>0.6</v>
      </c>
      <c r="R41" s="1616">
        <v>0.6</v>
      </c>
      <c r="S41" s="1616">
        <v>0.6</v>
      </c>
      <c r="T41" s="1629"/>
      <c r="U41" s="1616">
        <v>0.6</v>
      </c>
      <c r="V41" s="2347">
        <v>0.4</v>
      </c>
      <c r="W41" s="1623">
        <v>0.6</v>
      </c>
      <c r="X41" s="1621">
        <v>0.6</v>
      </c>
      <c r="Y41" s="1621">
        <v>0.6</v>
      </c>
      <c r="Z41" s="1630"/>
    </row>
    <row r="42" spans="1:26">
      <c r="B42" s="1595" t="str">
        <f>J42</f>
        <v>3.2.3</v>
      </c>
      <c r="C42" s="1612" t="str">
        <f>L42</f>
        <v>映り込み対策</v>
      </c>
      <c r="D42" s="1613" t="e">
        <f>G$34*G$39*G42</f>
        <v>#DIV/0!</v>
      </c>
      <c r="E42" s="1613" t="e">
        <f t="shared" si="7"/>
        <v>#DIV/0!</v>
      </c>
      <c r="F42" s="1557"/>
      <c r="G42" s="1614" t="e">
        <f t="shared" si="3"/>
        <v>#DIV/0!</v>
      </c>
      <c r="H42" s="1614" t="e">
        <f t="shared" si="2"/>
        <v>#DIV/0!</v>
      </c>
      <c r="I42" s="1569"/>
      <c r="J42" s="1645" t="s">
        <v>373</v>
      </c>
      <c r="K42" s="1691" t="s">
        <v>301</v>
      </c>
      <c r="L42" s="2061" t="s">
        <v>844</v>
      </c>
      <c r="M42" s="1616"/>
      <c r="N42" s="1616"/>
      <c r="O42" s="1616"/>
      <c r="P42" s="1616"/>
      <c r="Q42" s="1616"/>
      <c r="R42" s="1616"/>
      <c r="S42" s="1616"/>
      <c r="T42" s="1629"/>
      <c r="U42" s="1616"/>
      <c r="V42" s="2347">
        <v>0.3</v>
      </c>
      <c r="W42" s="1623"/>
      <c r="X42" s="1621"/>
      <c r="Y42" s="1621"/>
      <c r="Z42" s="1630"/>
    </row>
    <row r="43" spans="1:26" ht="15.75" customHeight="1">
      <c r="B43" s="1595">
        <f t="shared" si="8"/>
        <v>3.3</v>
      </c>
      <c r="C43" s="1628" t="str">
        <f t="shared" si="9"/>
        <v>照度</v>
      </c>
      <c r="D43" s="1613"/>
      <c r="E43" s="1613"/>
      <c r="F43" s="1557"/>
      <c r="G43" s="1614" t="e">
        <f t="shared" si="3"/>
        <v>#DIV/0!</v>
      </c>
      <c r="H43" s="1614" t="e">
        <f t="shared" si="2"/>
        <v>#DIV/0!</v>
      </c>
      <c r="I43" s="1569"/>
      <c r="J43" s="1645">
        <v>3.3</v>
      </c>
      <c r="K43" s="1691" t="s">
        <v>293</v>
      </c>
      <c r="L43" s="1735" t="s">
        <v>646</v>
      </c>
      <c r="M43" s="1616">
        <v>0.15</v>
      </c>
      <c r="N43" s="1616">
        <v>0.15</v>
      </c>
      <c r="O43" s="1616"/>
      <c r="P43" s="1616"/>
      <c r="Q43" s="1616">
        <v>0.15</v>
      </c>
      <c r="R43" s="1616">
        <v>0.15</v>
      </c>
      <c r="S43" s="1616">
        <v>0.15</v>
      </c>
      <c r="T43" s="1629"/>
      <c r="U43" s="1616">
        <v>0.15</v>
      </c>
      <c r="V43" s="1621">
        <v>0.15</v>
      </c>
      <c r="W43" s="1623">
        <v>0.15</v>
      </c>
      <c r="X43" s="1621">
        <v>0.15</v>
      </c>
      <c r="Y43" s="1621">
        <v>0.15</v>
      </c>
      <c r="Z43" s="1618"/>
    </row>
    <row r="44" spans="1:26" hidden="1">
      <c r="B44" s="1595" t="str">
        <f t="shared" si="8"/>
        <v>3.3.1</v>
      </c>
      <c r="C44" s="1648" t="str">
        <f t="shared" si="9"/>
        <v>照度</v>
      </c>
      <c r="D44" s="1649" t="e">
        <f>G$34*G$43*G44</f>
        <v>#DIV/0!</v>
      </c>
      <c r="E44" s="1649" t="e">
        <f>H$34*H$43*H44</f>
        <v>#DIV/0!</v>
      </c>
      <c r="F44" s="1557"/>
      <c r="G44" s="1650" t="e">
        <f t="shared" si="3"/>
        <v>#DIV/0!</v>
      </c>
      <c r="H44" s="1650" t="e">
        <f t="shared" si="2"/>
        <v>#DIV/0!</v>
      </c>
      <c r="I44" s="1569"/>
      <c r="J44" s="2064" t="s">
        <v>1430</v>
      </c>
      <c r="K44" s="2066" t="s">
        <v>301</v>
      </c>
      <c r="L44" s="2067" t="s">
        <v>1432</v>
      </c>
      <c r="M44" s="1616"/>
      <c r="N44" s="1616"/>
      <c r="O44" s="1616"/>
      <c r="P44" s="1616"/>
      <c r="Q44" s="1616"/>
      <c r="R44" s="1616"/>
      <c r="S44" s="1616"/>
      <c r="T44" s="1629"/>
      <c r="U44" s="1616"/>
      <c r="V44" s="2069"/>
      <c r="W44" s="2070"/>
      <c r="X44" s="2069"/>
      <c r="Y44" s="2069"/>
      <c r="Z44" s="1630"/>
    </row>
    <row r="45" spans="1:26" hidden="1">
      <c r="B45" s="1595" t="str">
        <f t="shared" si="8"/>
        <v>3.3.2</v>
      </c>
      <c r="C45" s="1648" t="str">
        <f t="shared" si="9"/>
        <v>照度均斉度</v>
      </c>
      <c r="D45" s="1649" t="e">
        <f>G$34*G$43*G45</f>
        <v>#DIV/0!</v>
      </c>
      <c r="E45" s="1649" t="e">
        <f>H$34*H$43*H45</f>
        <v>#DIV/0!</v>
      </c>
      <c r="F45" s="1557"/>
      <c r="G45" s="1650" t="e">
        <f t="shared" si="3"/>
        <v>#DIV/0!</v>
      </c>
      <c r="H45" s="1650" t="e">
        <f t="shared" si="2"/>
        <v>#DIV/0!</v>
      </c>
      <c r="I45" s="1569"/>
      <c r="J45" s="2064" t="s">
        <v>1476</v>
      </c>
      <c r="K45" s="2066" t="s">
        <v>301</v>
      </c>
      <c r="L45" s="2067" t="s">
        <v>1562</v>
      </c>
      <c r="M45" s="1652"/>
      <c r="N45" s="1652"/>
      <c r="O45" s="1652"/>
      <c r="P45" s="1652"/>
      <c r="Q45" s="1652"/>
      <c r="R45" s="1652"/>
      <c r="S45" s="1652"/>
      <c r="T45" s="2068"/>
      <c r="U45" s="1652"/>
      <c r="V45" s="2069"/>
      <c r="W45" s="2070"/>
      <c r="X45" s="2069"/>
      <c r="Y45" s="2069"/>
      <c r="Z45" s="1630"/>
    </row>
    <row r="46" spans="1:26">
      <c r="B46" s="1595">
        <f t="shared" si="8"/>
        <v>3.4</v>
      </c>
      <c r="C46" s="1628" t="str">
        <f t="shared" si="9"/>
        <v>照明制御</v>
      </c>
      <c r="D46" s="1613" t="e">
        <f>G$34*G46</f>
        <v>#DIV/0!</v>
      </c>
      <c r="E46" s="1613" t="e">
        <f>H$34*H46</f>
        <v>#DIV/0!</v>
      </c>
      <c r="F46" s="1557"/>
      <c r="G46" s="1614" t="e">
        <f t="shared" si="3"/>
        <v>#DIV/0!</v>
      </c>
      <c r="H46" s="1614" t="e">
        <f t="shared" si="2"/>
        <v>#DIV/0!</v>
      </c>
      <c r="I46" s="1569"/>
      <c r="J46" s="1645">
        <v>3.4</v>
      </c>
      <c r="K46" s="1691" t="s">
        <v>293</v>
      </c>
      <c r="L46" s="1735" t="s">
        <v>647</v>
      </c>
      <c r="M46" s="1616">
        <v>0.25</v>
      </c>
      <c r="N46" s="1616">
        <v>0.25</v>
      </c>
      <c r="O46" s="1616">
        <v>0.5</v>
      </c>
      <c r="P46" s="1616"/>
      <c r="Q46" s="1616">
        <v>0.25</v>
      </c>
      <c r="R46" s="1616">
        <v>0.25</v>
      </c>
      <c r="S46" s="1616">
        <v>0.25</v>
      </c>
      <c r="T46" s="1629"/>
      <c r="U46" s="1616">
        <v>0.25</v>
      </c>
      <c r="V46" s="1621">
        <v>0.25</v>
      </c>
      <c r="W46" s="1623">
        <v>0.25</v>
      </c>
      <c r="X46" s="1621">
        <v>0.25</v>
      </c>
      <c r="Y46" s="1621">
        <v>0.25</v>
      </c>
      <c r="Z46" s="1618"/>
    </row>
    <row r="47" spans="1:26" s="1603" customFormat="1">
      <c r="A47"/>
      <c r="B47" s="1595">
        <f t="shared" si="8"/>
        <v>4</v>
      </c>
      <c r="C47" s="1626" t="str">
        <f t="shared" si="9"/>
        <v>空気質環境</v>
      </c>
      <c r="D47" s="1606" t="e">
        <f>SUM(D48:D60)</f>
        <v>#DIV/0!</v>
      </c>
      <c r="E47" s="1606" t="e">
        <f>SUM(E48:E60)</f>
        <v>#DIV/0!</v>
      </c>
      <c r="F47" s="1557"/>
      <c r="G47" s="1607" t="e">
        <f t="shared" si="3"/>
        <v>#DIV/0!</v>
      </c>
      <c r="H47" s="1607" t="e">
        <f t="shared" si="2"/>
        <v>#DIV/0!</v>
      </c>
      <c r="I47" s="1599"/>
      <c r="J47" s="1639">
        <v>4</v>
      </c>
      <c r="K47" s="1742" t="s">
        <v>271</v>
      </c>
      <c r="L47" s="1785" t="s">
        <v>1142</v>
      </c>
      <c r="M47" s="1632">
        <v>0.25</v>
      </c>
      <c r="N47" s="1632">
        <v>0.25</v>
      </c>
      <c r="O47" s="1632">
        <v>0.25</v>
      </c>
      <c r="P47" s="1632">
        <v>0.25</v>
      </c>
      <c r="Q47" s="1632">
        <v>0.25</v>
      </c>
      <c r="R47" s="1632">
        <v>0.25</v>
      </c>
      <c r="S47" s="1632">
        <v>0.25</v>
      </c>
      <c r="T47" s="1633">
        <v>0.33</v>
      </c>
      <c r="U47" s="1632">
        <v>0.25</v>
      </c>
      <c r="V47" s="1709">
        <v>0.25</v>
      </c>
      <c r="W47" s="2060"/>
      <c r="X47" s="1709"/>
      <c r="Y47" s="1709"/>
      <c r="Z47" s="1610"/>
    </row>
    <row r="48" spans="1:26">
      <c r="B48" s="1595">
        <f t="shared" si="8"/>
        <v>4.0999999999999996</v>
      </c>
      <c r="C48" s="1628" t="str">
        <f t="shared" si="9"/>
        <v>発生源対策</v>
      </c>
      <c r="D48" s="1613"/>
      <c r="E48" s="1613"/>
      <c r="F48" s="1557"/>
      <c r="G48" s="1614" t="e">
        <f t="shared" si="3"/>
        <v>#DIV/0!</v>
      </c>
      <c r="H48" s="1614" t="e">
        <f t="shared" si="2"/>
        <v>#DIV/0!</v>
      </c>
      <c r="I48" s="1569"/>
      <c r="J48" s="1645">
        <v>4.0999999999999996</v>
      </c>
      <c r="K48" s="1691" t="s">
        <v>302</v>
      </c>
      <c r="L48" s="1735" t="s">
        <v>649</v>
      </c>
      <c r="M48" s="1634">
        <v>0.5</v>
      </c>
      <c r="N48" s="1634">
        <v>0.5</v>
      </c>
      <c r="O48" s="1634">
        <v>0.5</v>
      </c>
      <c r="P48" s="1634">
        <v>0.5</v>
      </c>
      <c r="Q48" s="1634">
        <v>0.5</v>
      </c>
      <c r="R48" s="1634">
        <v>0.5</v>
      </c>
      <c r="S48" s="1634">
        <v>0.6</v>
      </c>
      <c r="T48" s="1635">
        <v>0.5</v>
      </c>
      <c r="U48" s="1634">
        <v>0.5</v>
      </c>
      <c r="V48" s="1621">
        <v>0.5</v>
      </c>
      <c r="W48" s="1623">
        <v>0.625</v>
      </c>
      <c r="X48" s="1621">
        <v>0.625</v>
      </c>
      <c r="Y48" s="1621">
        <v>0.625</v>
      </c>
      <c r="Z48" s="1618"/>
    </row>
    <row r="49" spans="1:26">
      <c r="B49" s="1595" t="str">
        <f t="shared" si="8"/>
        <v>4.1.1</v>
      </c>
      <c r="C49" s="1612" t="str">
        <f t="shared" si="9"/>
        <v xml:space="preserve"> 化学汚染物質</v>
      </c>
      <c r="D49" s="1613" t="e">
        <f t="shared" ref="D49:E52" si="10">G$47*G$48*G49</f>
        <v>#DIV/0!</v>
      </c>
      <c r="E49" s="1613" t="e">
        <f t="shared" si="10"/>
        <v>#DIV/0!</v>
      </c>
      <c r="F49" s="1557"/>
      <c r="G49" s="1614" t="e">
        <f t="shared" si="3"/>
        <v>#DIV/0!</v>
      </c>
      <c r="H49" s="1614" t="e">
        <f t="shared" si="2"/>
        <v>#DIV/0!</v>
      </c>
      <c r="I49" s="1569"/>
      <c r="J49" s="1645" t="s">
        <v>1436</v>
      </c>
      <c r="K49" s="1691" t="s">
        <v>303</v>
      </c>
      <c r="L49" s="2061" t="s">
        <v>304</v>
      </c>
      <c r="M49" s="1634">
        <v>0.25</v>
      </c>
      <c r="N49" s="1634">
        <v>0.25</v>
      </c>
      <c r="O49" s="1634">
        <v>0.25</v>
      </c>
      <c r="P49" s="1634">
        <v>0.25</v>
      </c>
      <c r="Q49" s="1637">
        <v>0.25</v>
      </c>
      <c r="R49" s="1637">
        <v>0.33</v>
      </c>
      <c r="S49" s="1637">
        <v>0.33</v>
      </c>
      <c r="T49" s="1635">
        <v>0.25</v>
      </c>
      <c r="U49" s="1634">
        <v>0.25</v>
      </c>
      <c r="V49" s="1621">
        <v>0.25</v>
      </c>
      <c r="W49" s="1623">
        <v>0.25</v>
      </c>
      <c r="X49" s="1621">
        <v>0.25</v>
      </c>
      <c r="Y49" s="1621">
        <v>0.25</v>
      </c>
      <c r="Z49" s="1630"/>
    </row>
    <row r="50" spans="1:26">
      <c r="B50" s="1595" t="str">
        <f t="shared" si="8"/>
        <v>4.1.2</v>
      </c>
      <c r="C50" s="1612" t="str">
        <f t="shared" si="9"/>
        <v xml:space="preserve"> アスベスト対策</v>
      </c>
      <c r="D50" s="1613" t="e">
        <f t="shared" si="10"/>
        <v>#DIV/0!</v>
      </c>
      <c r="E50" s="1613" t="e">
        <f t="shared" si="10"/>
        <v>#DIV/0!</v>
      </c>
      <c r="F50" s="1557"/>
      <c r="G50" s="1614" t="e">
        <f t="shared" si="3"/>
        <v>#DIV/0!</v>
      </c>
      <c r="H50" s="1614" t="e">
        <f t="shared" si="2"/>
        <v>#DIV/0!</v>
      </c>
      <c r="I50" s="1569"/>
      <c r="J50" s="1645" t="s">
        <v>1437</v>
      </c>
      <c r="K50" s="1691" t="s">
        <v>303</v>
      </c>
      <c r="L50" s="2061" t="s">
        <v>1438</v>
      </c>
      <c r="M50" s="1634">
        <v>0.25</v>
      </c>
      <c r="N50" s="1634">
        <v>0.25</v>
      </c>
      <c r="O50" s="1634">
        <v>0.25</v>
      </c>
      <c r="P50" s="1634">
        <v>0.25</v>
      </c>
      <c r="Q50" s="1637">
        <v>0.25</v>
      </c>
      <c r="R50" s="1637">
        <v>0.33</v>
      </c>
      <c r="S50" s="1637">
        <v>0.33</v>
      </c>
      <c r="T50" s="1635">
        <v>0.25</v>
      </c>
      <c r="U50" s="1634">
        <v>0.25</v>
      </c>
      <c r="V50" s="1621">
        <v>0.25</v>
      </c>
      <c r="W50" s="1623">
        <v>0.25</v>
      </c>
      <c r="X50" s="1621">
        <v>0.25</v>
      </c>
      <c r="Y50" s="1621">
        <v>0.25</v>
      </c>
      <c r="Z50" s="1630"/>
    </row>
    <row r="51" spans="1:26" hidden="1">
      <c r="B51" s="1595" t="str">
        <f t="shared" si="8"/>
        <v>4.1.3</v>
      </c>
      <c r="C51" s="1648" t="str">
        <f t="shared" si="9"/>
        <v xml:space="preserve"> ダニ・カビ等</v>
      </c>
      <c r="D51" s="1613" t="e">
        <f t="shared" si="10"/>
        <v>#DIV/0!</v>
      </c>
      <c r="E51" s="1613" t="e">
        <f t="shared" si="10"/>
        <v>#DIV/0!</v>
      </c>
      <c r="F51" s="1557"/>
      <c r="G51" s="1614" t="e">
        <f t="shared" si="3"/>
        <v>#DIV/0!</v>
      </c>
      <c r="H51" s="1614" t="e">
        <f t="shared" si="2"/>
        <v>#DIV/0!</v>
      </c>
      <c r="I51" s="1569"/>
      <c r="J51" s="1645" t="s">
        <v>1439</v>
      </c>
      <c r="K51" s="1691" t="s">
        <v>303</v>
      </c>
      <c r="L51" s="2061" t="s">
        <v>899</v>
      </c>
      <c r="M51" s="2071">
        <v>0.25</v>
      </c>
      <c r="N51" s="2071">
        <v>0.25</v>
      </c>
      <c r="O51" s="2071">
        <v>0.25</v>
      </c>
      <c r="P51" s="2071">
        <v>0.25</v>
      </c>
      <c r="Q51" s="2075">
        <v>0.25</v>
      </c>
      <c r="R51" s="2075">
        <v>0.33</v>
      </c>
      <c r="S51" s="2075">
        <v>0.33</v>
      </c>
      <c r="T51" s="2072">
        <v>0.25</v>
      </c>
      <c r="U51" s="2071">
        <v>0.25</v>
      </c>
      <c r="V51" s="1621">
        <v>0.25</v>
      </c>
      <c r="W51" s="1623">
        <v>0.25</v>
      </c>
      <c r="X51" s="1621">
        <v>0.25</v>
      </c>
      <c r="Y51" s="1621">
        <v>0.25</v>
      </c>
      <c r="Z51" s="1630"/>
    </row>
    <row r="52" spans="1:26" hidden="1">
      <c r="B52" s="1595" t="str">
        <f t="shared" si="8"/>
        <v>4.1.4</v>
      </c>
      <c r="C52" s="1648" t="str">
        <f t="shared" si="9"/>
        <v xml:space="preserve"> レジオネラ対策</v>
      </c>
      <c r="D52" s="1613" t="e">
        <f t="shared" si="10"/>
        <v>#DIV/0!</v>
      </c>
      <c r="E52" s="1613" t="e">
        <f t="shared" si="10"/>
        <v>#DIV/0!</v>
      </c>
      <c r="F52" s="1557"/>
      <c r="G52" s="1614" t="e">
        <f t="shared" si="3"/>
        <v>#DIV/0!</v>
      </c>
      <c r="H52" s="1614" t="e">
        <f t="shared" si="2"/>
        <v>#DIV/0!</v>
      </c>
      <c r="I52" s="1569"/>
      <c r="J52" s="1645" t="s">
        <v>1440</v>
      </c>
      <c r="K52" s="1691" t="s">
        <v>303</v>
      </c>
      <c r="L52" s="2061" t="s">
        <v>306</v>
      </c>
      <c r="M52" s="1634">
        <v>0.25</v>
      </c>
      <c r="N52" s="1634">
        <v>0.25</v>
      </c>
      <c r="O52" s="1634">
        <v>0.25</v>
      </c>
      <c r="P52" s="1634">
        <v>0.25</v>
      </c>
      <c r="Q52" s="1634">
        <v>0.25</v>
      </c>
      <c r="R52" s="1634"/>
      <c r="S52" s="1634"/>
      <c r="T52" s="1635">
        <v>0.25</v>
      </c>
      <c r="U52" s="1634">
        <v>0.25</v>
      </c>
      <c r="V52" s="1621">
        <v>0.25</v>
      </c>
      <c r="W52" s="1623">
        <v>0.25</v>
      </c>
      <c r="X52" s="1621">
        <v>0.25</v>
      </c>
      <c r="Y52" s="1621">
        <v>0.25</v>
      </c>
      <c r="Z52" s="1630"/>
    </row>
    <row r="53" spans="1:26">
      <c r="B53" s="1595">
        <f t="shared" si="8"/>
        <v>4.2</v>
      </c>
      <c r="C53" s="1628" t="str">
        <f t="shared" si="9"/>
        <v>換気</v>
      </c>
      <c r="D53" s="1613"/>
      <c r="E53" s="1613"/>
      <c r="F53" s="1557"/>
      <c r="G53" s="1614" t="e">
        <f t="shared" si="3"/>
        <v>#DIV/0!</v>
      </c>
      <c r="H53" s="1614" t="e">
        <f t="shared" si="2"/>
        <v>#DIV/0!</v>
      </c>
      <c r="I53" s="1569"/>
      <c r="J53" s="1645">
        <v>4.2</v>
      </c>
      <c r="K53" s="1691" t="s">
        <v>302</v>
      </c>
      <c r="L53" s="1735" t="s">
        <v>656</v>
      </c>
      <c r="M53" s="1634">
        <v>0.3</v>
      </c>
      <c r="N53" s="1634">
        <v>0.3</v>
      </c>
      <c r="O53" s="1634">
        <v>0.3</v>
      </c>
      <c r="P53" s="1634">
        <v>0.3</v>
      </c>
      <c r="Q53" s="1634">
        <v>0.3</v>
      </c>
      <c r="R53" s="1634">
        <v>0.3</v>
      </c>
      <c r="S53" s="1634">
        <v>0.4</v>
      </c>
      <c r="T53" s="1635">
        <v>0.3</v>
      </c>
      <c r="U53" s="1634">
        <v>0.3</v>
      </c>
      <c r="V53" s="1621">
        <v>0.3</v>
      </c>
      <c r="W53" s="1623">
        <v>0.375</v>
      </c>
      <c r="X53" s="1621">
        <v>0.375</v>
      </c>
      <c r="Y53" s="1621">
        <v>0.375</v>
      </c>
      <c r="Z53" s="1618"/>
    </row>
    <row r="54" spans="1:26">
      <c r="B54" s="1595" t="str">
        <f t="shared" si="8"/>
        <v>4.2.1</v>
      </c>
      <c r="C54" s="1612" t="str">
        <f t="shared" si="9"/>
        <v>換気量</v>
      </c>
      <c r="D54" s="1613" t="e">
        <f t="shared" ref="D54:E57" si="11">G$47*G$53*G54</f>
        <v>#DIV/0!</v>
      </c>
      <c r="E54" s="1613" t="e">
        <f t="shared" si="11"/>
        <v>#DIV/0!</v>
      </c>
      <c r="F54" s="1557"/>
      <c r="G54" s="1614" t="e">
        <f t="shared" si="3"/>
        <v>#DIV/0!</v>
      </c>
      <c r="H54" s="1614" t="e">
        <f t="shared" si="2"/>
        <v>#DIV/0!</v>
      </c>
      <c r="I54" s="1569"/>
      <c r="J54" s="1645" t="s">
        <v>1441</v>
      </c>
      <c r="K54" s="1691" t="s">
        <v>307</v>
      </c>
      <c r="L54" s="2061" t="s">
        <v>308</v>
      </c>
      <c r="M54" s="1634">
        <v>0.25</v>
      </c>
      <c r="N54" s="1634">
        <v>0.25</v>
      </c>
      <c r="O54" s="1637">
        <v>0.33333333333333331</v>
      </c>
      <c r="P54" s="1637">
        <v>0.33333333333333331</v>
      </c>
      <c r="Q54" s="1637">
        <v>0.33333333333333331</v>
      </c>
      <c r="R54" s="1637">
        <v>0.33333333333333331</v>
      </c>
      <c r="S54" s="1634"/>
      <c r="T54" s="1637">
        <v>0.33333333333333331</v>
      </c>
      <c r="U54" s="1634">
        <v>0.25</v>
      </c>
      <c r="V54" s="1621">
        <v>0.25</v>
      </c>
      <c r="W54" s="1623">
        <v>0.25</v>
      </c>
      <c r="X54" s="1621">
        <v>0.25</v>
      </c>
      <c r="Y54" s="1621"/>
      <c r="Z54" s="1630"/>
    </row>
    <row r="55" spans="1:26">
      <c r="B55" s="1595" t="str">
        <f t="shared" si="8"/>
        <v>4.2.2</v>
      </c>
      <c r="C55" s="1612" t="str">
        <f t="shared" si="9"/>
        <v>自然換気性能</v>
      </c>
      <c r="D55" s="1613" t="e">
        <f t="shared" si="11"/>
        <v>#DIV/0!</v>
      </c>
      <c r="E55" s="1613" t="e">
        <f t="shared" si="11"/>
        <v>#DIV/0!</v>
      </c>
      <c r="F55" s="1557"/>
      <c r="G55" s="1614" t="e">
        <f t="shared" si="3"/>
        <v>#DIV/0!</v>
      </c>
      <c r="H55" s="1614" t="e">
        <f t="shared" si="2"/>
        <v>#DIV/0!</v>
      </c>
      <c r="I55" s="1569"/>
      <c r="J55" s="1645" t="s">
        <v>1443</v>
      </c>
      <c r="K55" s="1691" t="s">
        <v>307</v>
      </c>
      <c r="L55" s="2061" t="s">
        <v>309</v>
      </c>
      <c r="M55" s="1634">
        <v>0.25</v>
      </c>
      <c r="N55" s="1634">
        <v>0.25</v>
      </c>
      <c r="O55" s="1634"/>
      <c r="P55" s="1634"/>
      <c r="Q55" s="1634"/>
      <c r="R55" s="1634"/>
      <c r="S55" s="1634"/>
      <c r="T55" s="1635"/>
      <c r="U55" s="1634">
        <v>0.25</v>
      </c>
      <c r="V55" s="1621">
        <v>0.25</v>
      </c>
      <c r="W55" s="1623">
        <v>0.25</v>
      </c>
      <c r="X55" s="1621">
        <v>0.25</v>
      </c>
      <c r="Y55" s="1621">
        <v>0.33</v>
      </c>
      <c r="Z55" s="1630"/>
    </row>
    <row r="56" spans="1:26">
      <c r="B56" s="1595" t="str">
        <f t="shared" si="8"/>
        <v>4.2.3</v>
      </c>
      <c r="C56" s="1612" t="str">
        <f t="shared" si="9"/>
        <v>取り入れ外気への配慮</v>
      </c>
      <c r="D56" s="1613" t="e">
        <f t="shared" si="11"/>
        <v>#DIV/0!</v>
      </c>
      <c r="E56" s="1613" t="e">
        <f t="shared" si="11"/>
        <v>#DIV/0!</v>
      </c>
      <c r="F56" s="1557"/>
      <c r="G56" s="1614" t="e">
        <f t="shared" si="3"/>
        <v>#DIV/0!</v>
      </c>
      <c r="H56" s="1614" t="e">
        <f t="shared" si="2"/>
        <v>#DIV/0!</v>
      </c>
      <c r="I56" s="1569"/>
      <c r="J56" s="1645" t="s">
        <v>1444</v>
      </c>
      <c r="K56" s="1691" t="s">
        <v>307</v>
      </c>
      <c r="L56" s="2061" t="s">
        <v>310</v>
      </c>
      <c r="M56" s="1634">
        <v>0.25</v>
      </c>
      <c r="N56" s="1634">
        <v>0.25</v>
      </c>
      <c r="O56" s="1637">
        <v>0.33333333333333331</v>
      </c>
      <c r="P56" s="1637">
        <v>0.33333333333333331</v>
      </c>
      <c r="Q56" s="1637">
        <v>0.33333333333333331</v>
      </c>
      <c r="R56" s="1637">
        <v>0.33333333333333331</v>
      </c>
      <c r="S56" s="1634">
        <v>1</v>
      </c>
      <c r="T56" s="1637">
        <v>0.33333333333333331</v>
      </c>
      <c r="U56" s="1634">
        <v>0.25</v>
      </c>
      <c r="V56" s="1621">
        <v>0.25</v>
      </c>
      <c r="W56" s="1623">
        <v>0.25</v>
      </c>
      <c r="X56" s="1621">
        <v>0.25</v>
      </c>
      <c r="Y56" s="1621">
        <v>0.33</v>
      </c>
      <c r="Z56" s="1630"/>
    </row>
    <row r="57" spans="1:26" hidden="1">
      <c r="B57" s="1595" t="str">
        <f t="shared" si="8"/>
        <v>4.2.4</v>
      </c>
      <c r="C57" s="1648" t="str">
        <f t="shared" si="9"/>
        <v>給気計画</v>
      </c>
      <c r="D57" s="1613" t="e">
        <f t="shared" si="11"/>
        <v>#DIV/0!</v>
      </c>
      <c r="E57" s="1613" t="e">
        <f t="shared" si="11"/>
        <v>#DIV/0!</v>
      </c>
      <c r="F57" s="1557"/>
      <c r="G57" s="1614" t="e">
        <f t="shared" si="3"/>
        <v>#DIV/0!</v>
      </c>
      <c r="H57" s="1614" t="e">
        <f t="shared" si="2"/>
        <v>#DIV/0!</v>
      </c>
      <c r="I57" s="1569"/>
      <c r="J57" s="1645" t="s">
        <v>1445</v>
      </c>
      <c r="K57" s="1691" t="s">
        <v>307</v>
      </c>
      <c r="L57" s="2061" t="s">
        <v>1446</v>
      </c>
      <c r="M57" s="2071">
        <v>0.25</v>
      </c>
      <c r="N57" s="2071">
        <v>0.25</v>
      </c>
      <c r="O57" s="2075">
        <v>0.33333333333333331</v>
      </c>
      <c r="P57" s="2075">
        <v>0.33333333333333331</v>
      </c>
      <c r="Q57" s="2075">
        <v>0.33333333333333331</v>
      </c>
      <c r="R57" s="2075">
        <v>0.33333333333333331</v>
      </c>
      <c r="S57" s="2071"/>
      <c r="T57" s="2075">
        <v>0.33333333333333331</v>
      </c>
      <c r="U57" s="2071">
        <v>0.25</v>
      </c>
      <c r="V57" s="1621">
        <v>0.25</v>
      </c>
      <c r="W57" s="1623">
        <v>0.25</v>
      </c>
      <c r="X57" s="1621">
        <v>0.25</v>
      </c>
      <c r="Y57" s="1621">
        <v>0.33</v>
      </c>
      <c r="Z57" s="1630"/>
    </row>
    <row r="58" spans="1:26">
      <c r="B58" s="1595">
        <f t="shared" si="8"/>
        <v>4.3</v>
      </c>
      <c r="C58" s="1628" t="str">
        <f t="shared" si="9"/>
        <v>運用管理</v>
      </c>
      <c r="D58" s="1613"/>
      <c r="E58" s="1613"/>
      <c r="F58" s="1557"/>
      <c r="G58" s="1614" t="e">
        <f t="shared" si="3"/>
        <v>#DIV/0!</v>
      </c>
      <c r="H58" s="1614" t="e">
        <f t="shared" si="2"/>
        <v>#DIV/0!</v>
      </c>
      <c r="I58" s="1569"/>
      <c r="J58" s="1645">
        <v>4.3</v>
      </c>
      <c r="K58" s="1691" t="s">
        <v>302</v>
      </c>
      <c r="L58" s="1735" t="s">
        <v>664</v>
      </c>
      <c r="M58" s="1634">
        <v>0.2</v>
      </c>
      <c r="N58" s="1634">
        <v>0.2</v>
      </c>
      <c r="O58" s="1634">
        <v>0.2</v>
      </c>
      <c r="P58" s="1634">
        <v>0.2</v>
      </c>
      <c r="Q58" s="1634">
        <v>0.2</v>
      </c>
      <c r="R58" s="1634">
        <v>0.2</v>
      </c>
      <c r="S58" s="1634"/>
      <c r="T58" s="1635">
        <v>0.2</v>
      </c>
      <c r="U58" s="1634">
        <v>0.2</v>
      </c>
      <c r="V58" s="1621">
        <v>0.2</v>
      </c>
      <c r="W58" s="1623"/>
      <c r="X58" s="1621"/>
      <c r="Y58" s="1621"/>
      <c r="Z58" s="1618"/>
    </row>
    <row r="59" spans="1:26">
      <c r="B59" s="1595" t="str">
        <f t="shared" si="8"/>
        <v>4.3.1</v>
      </c>
      <c r="C59" s="1612" t="str">
        <f t="shared" si="9"/>
        <v>CO2の監視</v>
      </c>
      <c r="D59" s="1613" t="e">
        <f>G$47*G$58*G59</f>
        <v>#DIV/0!</v>
      </c>
      <c r="E59" s="1613" t="e">
        <f>H$47*H$58*H59</f>
        <v>#DIV/0!</v>
      </c>
      <c r="F59" s="1557"/>
      <c r="G59" s="1614" t="e">
        <f t="shared" si="3"/>
        <v>#DIV/0!</v>
      </c>
      <c r="H59" s="1614" t="e">
        <f t="shared" si="2"/>
        <v>#DIV/0!</v>
      </c>
      <c r="I59" s="1569"/>
      <c r="J59" s="1645" t="s">
        <v>1447</v>
      </c>
      <c r="K59" s="1691" t="s">
        <v>311</v>
      </c>
      <c r="L59" s="2061" t="s">
        <v>1448</v>
      </c>
      <c r="M59" s="1634">
        <v>0.5</v>
      </c>
      <c r="N59" s="1634">
        <v>0.5</v>
      </c>
      <c r="O59" s="1634">
        <v>0.5</v>
      </c>
      <c r="P59" s="1634">
        <v>0.5</v>
      </c>
      <c r="Q59" s="1634"/>
      <c r="R59" s="1634"/>
      <c r="S59" s="1634"/>
      <c r="T59" s="1635">
        <v>0.5</v>
      </c>
      <c r="U59" s="1634">
        <v>0.5</v>
      </c>
      <c r="V59" s="1621">
        <v>0.5</v>
      </c>
      <c r="W59" s="1623"/>
      <c r="X59" s="1621"/>
      <c r="Y59" s="1621"/>
      <c r="Z59" s="1630"/>
    </row>
    <row r="60" spans="1:26">
      <c r="B60" s="1595" t="str">
        <f t="shared" si="8"/>
        <v>4.3.2</v>
      </c>
      <c r="C60" s="1612" t="str">
        <f t="shared" si="9"/>
        <v>喫煙の制御</v>
      </c>
      <c r="D60" s="1613" t="e">
        <f>G$47*G$58*G60</f>
        <v>#DIV/0!</v>
      </c>
      <c r="E60" s="1613" t="e">
        <f>H$47*H$58*H60</f>
        <v>#DIV/0!</v>
      </c>
      <c r="F60" s="1557"/>
      <c r="G60" s="1614" t="e">
        <f t="shared" si="3"/>
        <v>#DIV/0!</v>
      </c>
      <c r="H60" s="1614" t="e">
        <f t="shared" si="2"/>
        <v>#DIV/0!</v>
      </c>
      <c r="I60" s="1569"/>
      <c r="J60" s="1645" t="s">
        <v>1449</v>
      </c>
      <c r="K60" s="1691" t="s">
        <v>311</v>
      </c>
      <c r="L60" s="2061" t="s">
        <v>1450</v>
      </c>
      <c r="M60" s="1634">
        <v>0.5</v>
      </c>
      <c r="N60" s="1634">
        <v>0.5</v>
      </c>
      <c r="O60" s="1634">
        <v>0.5</v>
      </c>
      <c r="P60" s="1634">
        <v>0.5</v>
      </c>
      <c r="Q60" s="1634">
        <v>1</v>
      </c>
      <c r="R60" s="1634">
        <v>1</v>
      </c>
      <c r="S60" s="1634"/>
      <c r="T60" s="1635">
        <v>0.5</v>
      </c>
      <c r="U60" s="1634">
        <v>0.5</v>
      </c>
      <c r="V60" s="1621">
        <v>0.5</v>
      </c>
      <c r="W60" s="1623"/>
      <c r="X60" s="1621"/>
      <c r="Y60" s="1621"/>
      <c r="Z60" s="1630"/>
    </row>
    <row r="61" spans="1:26" s="1603" customFormat="1">
      <c r="A61"/>
      <c r="B61" s="1595" t="str">
        <f t="shared" si="8"/>
        <v>Q2</v>
      </c>
      <c r="C61" s="1595" t="str">
        <f t="shared" si="9"/>
        <v>サービス性能</v>
      </c>
      <c r="D61" s="1597" t="e">
        <f>G61</f>
        <v>#DIV/0!</v>
      </c>
      <c r="E61" s="1597" t="e">
        <f>H61</f>
        <v>#DIV/0!</v>
      </c>
      <c r="F61" s="1557"/>
      <c r="G61" s="1598" t="e">
        <f t="shared" si="3"/>
        <v>#DIV/0!</v>
      </c>
      <c r="H61" s="1598" t="e">
        <f t="shared" si="2"/>
        <v>#DIV/0!</v>
      </c>
      <c r="I61" s="1638"/>
      <c r="J61" s="1595" t="s">
        <v>1451</v>
      </c>
      <c r="K61" s="2056" t="s">
        <v>270</v>
      </c>
      <c r="L61" s="2055" t="s">
        <v>1452</v>
      </c>
      <c r="M61" s="1601">
        <v>0.3</v>
      </c>
      <c r="N61" s="1601">
        <v>0.3</v>
      </c>
      <c r="O61" s="1601">
        <v>0.3</v>
      </c>
      <c r="P61" s="1601">
        <v>0.3</v>
      </c>
      <c r="Q61" s="1601">
        <v>0.3</v>
      </c>
      <c r="R61" s="1601">
        <v>0.3</v>
      </c>
      <c r="S61" s="1601">
        <v>0.3</v>
      </c>
      <c r="T61" s="1601">
        <v>0.3</v>
      </c>
      <c r="U61" s="1601">
        <v>0.3</v>
      </c>
      <c r="V61" s="2057">
        <v>0.3</v>
      </c>
      <c r="W61" s="2058">
        <v>0</v>
      </c>
      <c r="X61" s="2057">
        <v>0</v>
      </c>
      <c r="Y61" s="2057">
        <v>0</v>
      </c>
      <c r="Z61" s="1602"/>
    </row>
    <row r="62" spans="1:26" s="1603" customFormat="1">
      <c r="A62"/>
      <c r="B62" s="1595">
        <f t="shared" si="8"/>
        <v>1</v>
      </c>
      <c r="C62" s="1639" t="str">
        <f t="shared" si="9"/>
        <v>機能性</v>
      </c>
      <c r="D62" s="1606" t="e">
        <f>SUM(D63:D74)</f>
        <v>#DIV/0!</v>
      </c>
      <c r="E62" s="1606" t="e">
        <f>SUM(E63:E70)</f>
        <v>#DIV/0!</v>
      </c>
      <c r="F62" s="1557"/>
      <c r="G62" s="1607" t="e">
        <f t="shared" si="3"/>
        <v>#DIV/0!</v>
      </c>
      <c r="H62" s="1607" t="e">
        <f t="shared" si="2"/>
        <v>#DIV/0!</v>
      </c>
      <c r="I62" s="1640"/>
      <c r="J62" s="1639">
        <v>1</v>
      </c>
      <c r="K62" s="1742" t="s">
        <v>312</v>
      </c>
      <c r="L62" s="1778" t="s">
        <v>313</v>
      </c>
      <c r="M62" s="1641">
        <v>0.4</v>
      </c>
      <c r="N62" s="1641">
        <v>0.4</v>
      </c>
      <c r="O62" s="1641">
        <v>0.4</v>
      </c>
      <c r="P62" s="1641">
        <v>0.4</v>
      </c>
      <c r="Q62" s="1641">
        <v>0.4</v>
      </c>
      <c r="R62" s="1641">
        <v>0.4</v>
      </c>
      <c r="S62" s="1641">
        <v>0.4</v>
      </c>
      <c r="T62" s="1627">
        <v>0.4</v>
      </c>
      <c r="U62" s="1641">
        <v>0.4</v>
      </c>
      <c r="V62" s="2076">
        <v>0.4</v>
      </c>
      <c r="W62" s="2077"/>
      <c r="X62" s="2076"/>
      <c r="Y62" s="2076"/>
      <c r="Z62" s="1610"/>
    </row>
    <row r="63" spans="1:26">
      <c r="B63" s="1595">
        <f t="shared" si="8"/>
        <v>1.1000000000000001</v>
      </c>
      <c r="C63" s="1612" t="str">
        <f t="shared" si="9"/>
        <v>機能性・使いやすさ</v>
      </c>
      <c r="D63" s="1613"/>
      <c r="E63" s="1613"/>
      <c r="F63" s="1557"/>
      <c r="G63" s="1614" t="e">
        <f t="shared" si="3"/>
        <v>#DIV/0!</v>
      </c>
      <c r="H63" s="1614" t="e">
        <f t="shared" si="2"/>
        <v>#DIV/0!</v>
      </c>
      <c r="I63" s="1642"/>
      <c r="J63" s="1645">
        <v>1.1000000000000001</v>
      </c>
      <c r="K63" s="1691" t="s">
        <v>314</v>
      </c>
      <c r="L63" s="2061" t="s">
        <v>411</v>
      </c>
      <c r="M63" s="1616">
        <v>0.4</v>
      </c>
      <c r="N63" s="1616">
        <v>0.4</v>
      </c>
      <c r="O63" s="1616">
        <v>0.4</v>
      </c>
      <c r="P63" s="2344">
        <v>0.4</v>
      </c>
      <c r="Q63" s="2344">
        <v>0.4</v>
      </c>
      <c r="R63" s="1616">
        <v>0.4</v>
      </c>
      <c r="S63" s="2344">
        <v>0.4</v>
      </c>
      <c r="T63" s="1616">
        <v>0.4</v>
      </c>
      <c r="U63" s="2344">
        <v>0.4</v>
      </c>
      <c r="V63" s="1621">
        <v>0.4</v>
      </c>
      <c r="W63" s="1621">
        <v>0.6</v>
      </c>
      <c r="X63" s="1621">
        <v>0.6</v>
      </c>
      <c r="Y63" s="1621">
        <v>0.6</v>
      </c>
      <c r="Z63" s="1618"/>
    </row>
    <row r="64" spans="1:26" ht="14.25" customHeight="1">
      <c r="B64" s="1595" t="str">
        <f t="shared" si="8"/>
        <v>1.1.1</v>
      </c>
      <c r="C64" s="1612" t="str">
        <f t="shared" si="9"/>
        <v>広さ・収納性</v>
      </c>
      <c r="D64" s="1613" t="e">
        <f t="shared" ref="D64:E66" si="12">G$62*G$63*G64</f>
        <v>#DIV/0!</v>
      </c>
      <c r="E64" s="1613" t="e">
        <f t="shared" si="12"/>
        <v>#DIV/0!</v>
      </c>
      <c r="F64" s="1557"/>
      <c r="G64" s="1614" t="e">
        <f t="shared" si="3"/>
        <v>#DIV/0!</v>
      </c>
      <c r="H64" s="1614" t="e">
        <f t="shared" si="2"/>
        <v>#DIV/0!</v>
      </c>
      <c r="I64" s="1643"/>
      <c r="J64" s="1645" t="s">
        <v>1453</v>
      </c>
      <c r="K64" s="1691" t="s">
        <v>315</v>
      </c>
      <c r="L64" s="2061" t="s">
        <v>316</v>
      </c>
      <c r="M64" s="1637">
        <v>0.33333333333333331</v>
      </c>
      <c r="N64" s="1616"/>
      <c r="O64" s="1616"/>
      <c r="P64" s="1616"/>
      <c r="Q64" s="1616"/>
      <c r="R64" s="1616"/>
      <c r="S64" s="1616"/>
      <c r="T64" s="1629"/>
      <c r="U64" s="1637">
        <v>0.33333333333333331</v>
      </c>
      <c r="V64" s="2347">
        <v>0.5</v>
      </c>
      <c r="W64" s="1623">
        <v>1</v>
      </c>
      <c r="X64" s="1621">
        <v>0.5</v>
      </c>
      <c r="Y64" s="1621"/>
      <c r="Z64" s="1630"/>
    </row>
    <row r="65" spans="1:26">
      <c r="B65" s="1595" t="str">
        <f t="shared" si="8"/>
        <v>1.1.2</v>
      </c>
      <c r="C65" s="1612" t="str">
        <f t="shared" si="9"/>
        <v>高度情報通信設備対応</v>
      </c>
      <c r="D65" s="1613" t="e">
        <f t="shared" si="12"/>
        <v>#DIV/0!</v>
      </c>
      <c r="E65" s="1613" t="e">
        <f t="shared" si="12"/>
        <v>#DIV/0!</v>
      </c>
      <c r="F65" s="1557"/>
      <c r="G65" s="1614" t="e">
        <f t="shared" si="3"/>
        <v>#DIV/0!</v>
      </c>
      <c r="H65" s="1614" t="e">
        <f t="shared" si="2"/>
        <v>#DIV/0!</v>
      </c>
      <c r="I65" s="1643"/>
      <c r="J65" s="1645" t="s">
        <v>1454</v>
      </c>
      <c r="K65" s="1691" t="s">
        <v>315</v>
      </c>
      <c r="L65" s="2061" t="s">
        <v>1455</v>
      </c>
      <c r="M65" s="1637">
        <v>0.33333333333333331</v>
      </c>
      <c r="N65" s="1616"/>
      <c r="O65" s="1616"/>
      <c r="P65" s="1616"/>
      <c r="Q65" s="1616"/>
      <c r="R65" s="1616"/>
      <c r="S65" s="1616"/>
      <c r="T65" s="1629"/>
      <c r="U65" s="1637">
        <v>0.33333333333333331</v>
      </c>
      <c r="V65" s="2347"/>
      <c r="W65" s="1623"/>
      <c r="X65" s="1621">
        <v>0.5</v>
      </c>
      <c r="Y65" s="1621">
        <v>1</v>
      </c>
      <c r="Z65" s="1630"/>
    </row>
    <row r="66" spans="1:26">
      <c r="B66" s="1595" t="str">
        <f t="shared" si="8"/>
        <v>1.1.3</v>
      </c>
      <c r="C66" s="1612" t="str">
        <f t="shared" si="9"/>
        <v>バリアフリー計画</v>
      </c>
      <c r="D66" s="1613" t="e">
        <f t="shared" si="12"/>
        <v>#DIV/0!</v>
      </c>
      <c r="E66" s="1613" t="e">
        <f t="shared" si="12"/>
        <v>#DIV/0!</v>
      </c>
      <c r="F66" s="1557"/>
      <c r="G66" s="1614" t="e">
        <f t="shared" si="3"/>
        <v>#DIV/0!</v>
      </c>
      <c r="H66" s="1614" t="e">
        <f t="shared" si="2"/>
        <v>#DIV/0!</v>
      </c>
      <c r="I66" s="1643"/>
      <c r="J66" s="1645" t="s">
        <v>1456</v>
      </c>
      <c r="K66" s="1691" t="s">
        <v>315</v>
      </c>
      <c r="L66" s="2061" t="s">
        <v>317</v>
      </c>
      <c r="M66" s="1637">
        <v>0.33333333333333331</v>
      </c>
      <c r="N66" s="1616">
        <v>1</v>
      </c>
      <c r="O66" s="1616">
        <v>1</v>
      </c>
      <c r="P66" s="1616">
        <v>1</v>
      </c>
      <c r="Q66" s="1616">
        <v>1</v>
      </c>
      <c r="R66" s="1616">
        <v>1</v>
      </c>
      <c r="S66" s="1616">
        <v>1</v>
      </c>
      <c r="T66" s="1629">
        <v>1</v>
      </c>
      <c r="U66" s="1637">
        <v>0.33333333333333331</v>
      </c>
      <c r="V66" s="2347">
        <v>0.5</v>
      </c>
      <c r="W66" s="1623"/>
      <c r="X66" s="1621"/>
      <c r="Y66" s="1621"/>
      <c r="Z66" s="1630"/>
    </row>
    <row r="67" spans="1:26">
      <c r="B67" s="1595">
        <f t="shared" si="8"/>
        <v>1.2</v>
      </c>
      <c r="C67" s="1612" t="str">
        <f t="shared" si="9"/>
        <v>心理性・快適性</v>
      </c>
      <c r="D67" s="1613"/>
      <c r="E67" s="1613"/>
      <c r="F67" s="1557"/>
      <c r="G67" s="1614" t="e">
        <f t="shared" si="3"/>
        <v>#DIV/0!</v>
      </c>
      <c r="H67" s="1614" t="e">
        <f t="shared" si="2"/>
        <v>#DIV/0!</v>
      </c>
      <c r="I67" s="1642"/>
      <c r="J67" s="1645">
        <v>1.2</v>
      </c>
      <c r="K67" s="1691" t="s">
        <v>314</v>
      </c>
      <c r="L67" s="2061" t="s">
        <v>678</v>
      </c>
      <c r="M67" s="1616">
        <v>0.3</v>
      </c>
      <c r="N67" s="1616">
        <v>0.3</v>
      </c>
      <c r="O67" s="1616">
        <v>0.3</v>
      </c>
      <c r="P67" s="2344">
        <v>0.3</v>
      </c>
      <c r="Q67" s="2344">
        <v>0.3</v>
      </c>
      <c r="R67" s="1616">
        <v>0.3</v>
      </c>
      <c r="S67" s="2344">
        <v>0.3</v>
      </c>
      <c r="T67" s="1616">
        <v>0.3</v>
      </c>
      <c r="U67" s="2344">
        <v>0.3</v>
      </c>
      <c r="V67" s="1621">
        <v>0.3</v>
      </c>
      <c r="W67" s="1621">
        <v>0.4</v>
      </c>
      <c r="X67" s="1621">
        <v>0.4</v>
      </c>
      <c r="Y67" s="1621">
        <v>0.4</v>
      </c>
      <c r="Z67" s="1618"/>
    </row>
    <row r="68" spans="1:26">
      <c r="B68" s="1595" t="str">
        <f t="shared" si="8"/>
        <v>1.2.1</v>
      </c>
      <c r="C68" s="1612" t="str">
        <f t="shared" si="9"/>
        <v>広さ感・景観</v>
      </c>
      <c r="D68" s="1613" t="e">
        <f t="shared" ref="D68:E70" si="13">G$62*G$67*G68</f>
        <v>#DIV/0!</v>
      </c>
      <c r="E68" s="1613" t="e">
        <f t="shared" si="13"/>
        <v>#DIV/0!</v>
      </c>
      <c r="F68" s="1557"/>
      <c r="G68" s="1614" t="e">
        <f t="shared" si="3"/>
        <v>#DIV/0!</v>
      </c>
      <c r="H68" s="1614" t="e">
        <f t="shared" si="2"/>
        <v>#DIV/0!</v>
      </c>
      <c r="I68" s="1643"/>
      <c r="J68" s="1645" t="s">
        <v>1457</v>
      </c>
      <c r="K68" s="1691" t="s">
        <v>318</v>
      </c>
      <c r="L68" s="2061" t="s">
        <v>319</v>
      </c>
      <c r="M68" s="1637">
        <v>0.33333333333333331</v>
      </c>
      <c r="N68" s="1616"/>
      <c r="O68" s="1616"/>
      <c r="P68" s="1616"/>
      <c r="Q68" s="1616"/>
      <c r="R68" s="1616"/>
      <c r="S68" s="1616"/>
      <c r="T68" s="1629"/>
      <c r="U68" s="1616"/>
      <c r="V68" s="1621"/>
      <c r="W68" s="1623"/>
      <c r="X68" s="1623"/>
      <c r="Y68" s="1623"/>
      <c r="Z68" s="1630"/>
    </row>
    <row r="69" spans="1:26">
      <c r="B69" s="1595" t="str">
        <f t="shared" si="8"/>
        <v>1.2.2</v>
      </c>
      <c r="C69" s="1612" t="str">
        <f t="shared" si="9"/>
        <v>リフレッシュスペース</v>
      </c>
      <c r="D69" s="1613" t="e">
        <f t="shared" si="13"/>
        <v>#DIV/0!</v>
      </c>
      <c r="E69" s="1613" t="e">
        <f t="shared" si="13"/>
        <v>#DIV/0!</v>
      </c>
      <c r="F69" s="1557"/>
      <c r="G69" s="1614" t="e">
        <f t="shared" si="3"/>
        <v>#DIV/0!</v>
      </c>
      <c r="H69" s="1614" t="e">
        <f t="shared" si="2"/>
        <v>#DIV/0!</v>
      </c>
      <c r="I69" s="1643"/>
      <c r="J69" s="1645" t="s">
        <v>1458</v>
      </c>
      <c r="K69" s="1691" t="s">
        <v>318</v>
      </c>
      <c r="L69" s="2061" t="s">
        <v>320</v>
      </c>
      <c r="M69" s="1637">
        <v>0.33333333333333331</v>
      </c>
      <c r="N69" s="1616"/>
      <c r="O69" s="1616">
        <v>0.5</v>
      </c>
      <c r="P69" s="1616"/>
      <c r="Q69" s="1616"/>
      <c r="R69" s="1616"/>
      <c r="S69" s="1616"/>
      <c r="T69" s="1629"/>
      <c r="U69" s="1616"/>
      <c r="V69" s="1621"/>
      <c r="W69" s="1623"/>
      <c r="X69" s="1623"/>
      <c r="Y69" s="1623"/>
      <c r="Z69" s="1630"/>
    </row>
    <row r="70" spans="1:26">
      <c r="B70" s="1595" t="str">
        <f t="shared" si="8"/>
        <v>1.2.3</v>
      </c>
      <c r="C70" s="1612" t="str">
        <f t="shared" si="9"/>
        <v>内装計画</v>
      </c>
      <c r="D70" s="1613" t="e">
        <f t="shared" si="13"/>
        <v>#DIV/0!</v>
      </c>
      <c r="E70" s="1613" t="e">
        <f t="shared" si="13"/>
        <v>#DIV/0!</v>
      </c>
      <c r="F70" s="1557"/>
      <c r="G70" s="1614" t="e">
        <f t="shared" si="3"/>
        <v>#DIV/0!</v>
      </c>
      <c r="H70" s="1614" t="e">
        <f t="shared" si="2"/>
        <v>#DIV/0!</v>
      </c>
      <c r="I70" s="1643"/>
      <c r="J70" s="1645" t="s">
        <v>1459</v>
      </c>
      <c r="K70" s="1691" t="s">
        <v>318</v>
      </c>
      <c r="L70" s="2061" t="s">
        <v>321</v>
      </c>
      <c r="M70" s="1637">
        <v>0.33333333333333331</v>
      </c>
      <c r="N70" s="1616">
        <v>1</v>
      </c>
      <c r="O70" s="1616">
        <v>0.5</v>
      </c>
      <c r="P70" s="1616">
        <v>1</v>
      </c>
      <c r="Q70" s="1616">
        <v>1</v>
      </c>
      <c r="R70" s="1616">
        <v>1</v>
      </c>
      <c r="S70" s="1616">
        <v>1</v>
      </c>
      <c r="T70" s="1629">
        <v>1</v>
      </c>
      <c r="U70" s="1616">
        <v>1</v>
      </c>
      <c r="V70" s="1621">
        <v>1</v>
      </c>
      <c r="W70" s="1623">
        <v>1</v>
      </c>
      <c r="X70" s="1623">
        <v>1</v>
      </c>
      <c r="Y70" s="1623">
        <v>1</v>
      </c>
      <c r="Z70" s="1630"/>
    </row>
    <row r="71" spans="1:26">
      <c r="B71" s="1595">
        <f t="shared" si="8"/>
        <v>1.3</v>
      </c>
      <c r="C71" s="1612" t="str">
        <f t="shared" si="9"/>
        <v>維持管理</v>
      </c>
      <c r="D71" s="1613"/>
      <c r="E71" s="1613"/>
      <c r="F71" s="1557"/>
      <c r="G71" s="1614" t="e">
        <f t="shared" si="3"/>
        <v>#DIV/0!</v>
      </c>
      <c r="H71" s="1614" t="e">
        <f t="shared" si="2"/>
        <v>#DIV/0!</v>
      </c>
      <c r="I71" s="1643"/>
      <c r="J71" s="1645">
        <v>1.3</v>
      </c>
      <c r="K71" s="1691" t="s">
        <v>314</v>
      </c>
      <c r="L71" s="2061" t="s">
        <v>322</v>
      </c>
      <c r="M71" s="1637">
        <v>0.3</v>
      </c>
      <c r="N71" s="1637">
        <v>0.3</v>
      </c>
      <c r="O71" s="1637">
        <v>0.3</v>
      </c>
      <c r="P71" s="2344">
        <v>0.3</v>
      </c>
      <c r="Q71" s="2344">
        <v>0.3</v>
      </c>
      <c r="R71" s="1637">
        <v>0.3</v>
      </c>
      <c r="S71" s="2344">
        <v>0.3</v>
      </c>
      <c r="T71" s="1637">
        <v>0.3</v>
      </c>
      <c r="U71" s="2344">
        <v>0.3</v>
      </c>
      <c r="V71" s="1621">
        <v>0.3</v>
      </c>
      <c r="W71" s="1623">
        <v>0</v>
      </c>
      <c r="X71" s="1623">
        <v>0</v>
      </c>
      <c r="Y71" s="1623">
        <v>0</v>
      </c>
      <c r="Z71" s="1630"/>
    </row>
    <row r="72" spans="1:26">
      <c r="B72" s="1595" t="str">
        <f t="shared" si="8"/>
        <v>1.3.1</v>
      </c>
      <c r="C72" s="1612" t="str">
        <f t="shared" si="9"/>
        <v>総合的な取組</v>
      </c>
      <c r="D72" s="1613" t="e">
        <f t="shared" ref="D72:E74" si="14">G$62*G$71*G72</f>
        <v>#DIV/0!</v>
      </c>
      <c r="E72" s="1613" t="e">
        <f t="shared" si="14"/>
        <v>#DIV/0!</v>
      </c>
      <c r="F72" s="1557"/>
      <c r="G72" s="1614" t="e">
        <f t="shared" si="3"/>
        <v>#DIV/0!</v>
      </c>
      <c r="H72" s="1614" t="e">
        <f t="shared" si="2"/>
        <v>#DIV/0!</v>
      </c>
      <c r="I72" s="1643"/>
      <c r="J72" s="1645" t="s">
        <v>323</v>
      </c>
      <c r="K72" s="1691" t="s">
        <v>324</v>
      </c>
      <c r="L72" s="317" t="s">
        <v>1813</v>
      </c>
      <c r="M72" s="1637">
        <v>0.5</v>
      </c>
      <c r="N72" s="1637">
        <v>0.5</v>
      </c>
      <c r="O72" s="1637">
        <v>0.5</v>
      </c>
      <c r="P72" s="2346">
        <v>0.5</v>
      </c>
      <c r="Q72" s="2346">
        <v>0.5</v>
      </c>
      <c r="R72" s="1637">
        <v>0.5</v>
      </c>
      <c r="S72" s="2346">
        <v>0.5</v>
      </c>
      <c r="T72" s="1637">
        <v>0.5</v>
      </c>
      <c r="U72" s="2346">
        <v>0.5</v>
      </c>
      <c r="V72" s="1621">
        <v>0.5</v>
      </c>
      <c r="W72" s="1623">
        <v>0</v>
      </c>
      <c r="X72" s="1623">
        <v>0</v>
      </c>
      <c r="Y72" s="1623">
        <v>0</v>
      </c>
      <c r="Z72" s="1630"/>
    </row>
    <row r="73" spans="1:26">
      <c r="B73" s="1595" t="str">
        <f t="shared" si="8"/>
        <v>1.3.2</v>
      </c>
      <c r="C73" s="1612" t="str">
        <f t="shared" si="9"/>
        <v>清掃管理業務</v>
      </c>
      <c r="D73" s="1613" t="e">
        <f t="shared" si="14"/>
        <v>#DIV/0!</v>
      </c>
      <c r="E73" s="1613" t="e">
        <f t="shared" si="14"/>
        <v>#DIV/0!</v>
      </c>
      <c r="F73" s="1557"/>
      <c r="G73" s="1614" t="e">
        <f t="shared" si="3"/>
        <v>#DIV/0!</v>
      </c>
      <c r="H73" s="1614" t="e">
        <f t="shared" si="2"/>
        <v>#DIV/0!</v>
      </c>
      <c r="I73" s="1643"/>
      <c r="J73" s="1645" t="s">
        <v>325</v>
      </c>
      <c r="K73" s="1691" t="s">
        <v>324</v>
      </c>
      <c r="L73" s="317" t="s">
        <v>905</v>
      </c>
      <c r="M73" s="1637">
        <v>0.3</v>
      </c>
      <c r="N73" s="1637">
        <v>0.3</v>
      </c>
      <c r="O73" s="1637">
        <v>0.3</v>
      </c>
      <c r="P73" s="2346">
        <v>0.3</v>
      </c>
      <c r="Q73" s="2346">
        <v>0.3</v>
      </c>
      <c r="R73" s="1637">
        <v>0.3</v>
      </c>
      <c r="S73" s="2346">
        <v>0.3</v>
      </c>
      <c r="T73" s="1637">
        <v>0.3</v>
      </c>
      <c r="U73" s="2346">
        <v>0.3</v>
      </c>
      <c r="V73" s="1621">
        <v>0.3</v>
      </c>
      <c r="W73" s="1623">
        <v>0</v>
      </c>
      <c r="X73" s="1623">
        <v>0</v>
      </c>
      <c r="Y73" s="1623">
        <v>0</v>
      </c>
      <c r="Z73" s="1630"/>
    </row>
    <row r="74" spans="1:26">
      <c r="B74" s="1595" t="str">
        <f t="shared" ref="B74:B105" si="15">J74</f>
        <v>1.3.3</v>
      </c>
      <c r="C74" s="1612" t="str">
        <f t="shared" ref="C74:C105" si="16">L74</f>
        <v>衛生管理業務</v>
      </c>
      <c r="D74" s="1613" t="e">
        <f t="shared" si="14"/>
        <v>#DIV/0!</v>
      </c>
      <c r="E74" s="1613" t="e">
        <f t="shared" si="14"/>
        <v>#DIV/0!</v>
      </c>
      <c r="F74" s="1557"/>
      <c r="G74" s="1614" t="e">
        <f t="shared" ref="G74:G141" si="17">SUMPRODUCT($M$7:$Y$7,M74:Y74)</f>
        <v>#DIV/0!</v>
      </c>
      <c r="H74" s="1614" t="e">
        <f t="shared" ref="H74:H141" si="18">(W$7*W74)+(X$7*X74)+(Y$7*Y74)</f>
        <v>#DIV/0!</v>
      </c>
      <c r="I74" s="1643"/>
      <c r="J74" s="1645" t="s">
        <v>326</v>
      </c>
      <c r="K74" s="1691" t="s">
        <v>1640</v>
      </c>
      <c r="L74" s="317" t="s">
        <v>687</v>
      </c>
      <c r="M74" s="1637">
        <v>0.2</v>
      </c>
      <c r="N74" s="1637">
        <v>0.2</v>
      </c>
      <c r="O74" s="1637">
        <v>0.2</v>
      </c>
      <c r="P74" s="2346">
        <v>0.2</v>
      </c>
      <c r="Q74" s="2346">
        <v>0.2</v>
      </c>
      <c r="R74" s="1637">
        <v>0.2</v>
      </c>
      <c r="S74" s="2346">
        <v>0.2</v>
      </c>
      <c r="T74" s="1637">
        <v>0.2</v>
      </c>
      <c r="U74" s="2346">
        <v>0.2</v>
      </c>
      <c r="V74" s="1621">
        <v>0.2</v>
      </c>
      <c r="W74" s="1623">
        <v>0</v>
      </c>
      <c r="X74" s="1623">
        <v>0</v>
      </c>
      <c r="Y74" s="1623">
        <v>0</v>
      </c>
      <c r="Z74" s="1630"/>
    </row>
    <row r="75" spans="1:26" s="1603" customFormat="1">
      <c r="A75"/>
      <c r="B75" s="1595">
        <f t="shared" si="15"/>
        <v>2</v>
      </c>
      <c r="C75" s="1626" t="str">
        <f t="shared" si="16"/>
        <v>耐用性・信頼性</v>
      </c>
      <c r="D75" s="1606" t="e">
        <f>SUM(D76:D95)</f>
        <v>#DIV/0!</v>
      </c>
      <c r="E75" s="1606" t="e">
        <f>SUM(E76:E95)</f>
        <v>#DIV/0!</v>
      </c>
      <c r="F75" s="1557"/>
      <c r="G75" s="1607" t="e">
        <f t="shared" si="17"/>
        <v>#DIV/0!</v>
      </c>
      <c r="H75" s="1607" t="e">
        <f t="shared" si="18"/>
        <v>#DIV/0!</v>
      </c>
      <c r="I75" s="1640"/>
      <c r="J75" s="1639">
        <v>2</v>
      </c>
      <c r="K75" s="1742" t="s">
        <v>312</v>
      </c>
      <c r="L75" s="1785" t="s">
        <v>413</v>
      </c>
      <c r="M75" s="1608">
        <v>0.3</v>
      </c>
      <c r="N75" s="1608">
        <v>0.3</v>
      </c>
      <c r="O75" s="1608">
        <v>0.3</v>
      </c>
      <c r="P75" s="1608">
        <v>0.3</v>
      </c>
      <c r="Q75" s="1608">
        <v>0.3</v>
      </c>
      <c r="R75" s="1608">
        <v>0.3</v>
      </c>
      <c r="S75" s="1608">
        <v>0.3</v>
      </c>
      <c r="T75" s="1644">
        <v>0.3</v>
      </c>
      <c r="U75" s="1608">
        <v>0.3</v>
      </c>
      <c r="V75" s="1709">
        <v>0.3</v>
      </c>
      <c r="W75" s="2060">
        <v>0</v>
      </c>
      <c r="X75" s="1709">
        <v>0</v>
      </c>
      <c r="Y75" s="1709">
        <v>0</v>
      </c>
      <c r="Z75" s="1610"/>
    </row>
    <row r="76" spans="1:26">
      <c r="B76" s="1595">
        <f t="shared" si="15"/>
        <v>2.1</v>
      </c>
      <c r="C76" s="1645" t="str">
        <f t="shared" si="16"/>
        <v>耐震･免震</v>
      </c>
      <c r="D76" s="1646"/>
      <c r="E76" s="1646"/>
      <c r="F76" s="1557"/>
      <c r="G76" s="1614" t="e">
        <f t="shared" si="17"/>
        <v>#DIV/0!</v>
      </c>
      <c r="H76" s="1614" t="e">
        <f t="shared" si="18"/>
        <v>#DIV/0!</v>
      </c>
      <c r="I76" s="1642"/>
      <c r="J76" s="1645">
        <v>2.1</v>
      </c>
      <c r="K76" s="1691" t="s">
        <v>327</v>
      </c>
      <c r="L76" s="1735" t="s">
        <v>691</v>
      </c>
      <c r="M76" s="1616">
        <v>0.25</v>
      </c>
      <c r="N76" s="1616">
        <v>0.25</v>
      </c>
      <c r="O76" s="1616">
        <v>0.25</v>
      </c>
      <c r="P76" s="1616">
        <v>0.25</v>
      </c>
      <c r="Q76" s="1616">
        <v>0.25</v>
      </c>
      <c r="R76" s="1616">
        <v>0.25</v>
      </c>
      <c r="S76" s="1616">
        <v>0.25</v>
      </c>
      <c r="T76" s="1624">
        <v>0.25</v>
      </c>
      <c r="U76" s="1616">
        <v>0.25</v>
      </c>
      <c r="V76" s="1621">
        <v>0.25</v>
      </c>
      <c r="W76" s="1623">
        <v>0</v>
      </c>
      <c r="X76" s="1621">
        <v>0</v>
      </c>
      <c r="Y76" s="1621">
        <v>0</v>
      </c>
      <c r="Z76" s="1618"/>
    </row>
    <row r="77" spans="1:26">
      <c r="B77" s="1595" t="str">
        <f t="shared" si="15"/>
        <v>2.1.1</v>
      </c>
      <c r="C77" s="1612" t="str">
        <f t="shared" si="16"/>
        <v>耐震性</v>
      </c>
      <c r="D77" s="1613" t="e">
        <f>G$75*G$76*G77</f>
        <v>#DIV/0!</v>
      </c>
      <c r="E77" s="1613" t="e">
        <f>H$75*H$76*H77</f>
        <v>#DIV/0!</v>
      </c>
      <c r="F77" s="1557"/>
      <c r="G77" s="1614" t="e">
        <f t="shared" si="17"/>
        <v>#DIV/0!</v>
      </c>
      <c r="H77" s="1614" t="e">
        <f t="shared" si="18"/>
        <v>#DIV/0!</v>
      </c>
      <c r="I77" s="1643"/>
      <c r="J77" s="1645" t="s">
        <v>1461</v>
      </c>
      <c r="K77" s="1691" t="s">
        <v>328</v>
      </c>
      <c r="L77" s="2061" t="s">
        <v>329</v>
      </c>
      <c r="M77" s="1616">
        <v>0.8</v>
      </c>
      <c r="N77" s="1616">
        <v>0.8</v>
      </c>
      <c r="O77" s="1616">
        <v>0.8</v>
      </c>
      <c r="P77" s="1616">
        <v>0.8</v>
      </c>
      <c r="Q77" s="1616">
        <v>0.8</v>
      </c>
      <c r="R77" s="1616">
        <v>0.8</v>
      </c>
      <c r="S77" s="1616">
        <v>0.8</v>
      </c>
      <c r="T77" s="1624">
        <v>0.8</v>
      </c>
      <c r="U77" s="1616">
        <v>0.8</v>
      </c>
      <c r="V77" s="1621">
        <v>0.8</v>
      </c>
      <c r="W77" s="1623">
        <v>0</v>
      </c>
      <c r="X77" s="1621">
        <v>0</v>
      </c>
      <c r="Y77" s="1621">
        <v>0</v>
      </c>
      <c r="Z77" s="1630"/>
    </row>
    <row r="78" spans="1:26">
      <c r="B78" s="1595" t="str">
        <f t="shared" si="15"/>
        <v>2.1.2</v>
      </c>
      <c r="C78" s="1612" t="str">
        <f t="shared" si="16"/>
        <v>免震・制振性能</v>
      </c>
      <c r="D78" s="1613" t="e">
        <f>G$75*G$76*G78</f>
        <v>#DIV/0!</v>
      </c>
      <c r="E78" s="1613" t="e">
        <f>H$75*H$76*H78</f>
        <v>#DIV/0!</v>
      </c>
      <c r="F78" s="1557"/>
      <c r="G78" s="1614" t="e">
        <f t="shared" si="17"/>
        <v>#DIV/0!</v>
      </c>
      <c r="H78" s="1614" t="e">
        <f t="shared" si="18"/>
        <v>#DIV/0!</v>
      </c>
      <c r="I78" s="1643"/>
      <c r="J78" s="1645" t="s">
        <v>1462</v>
      </c>
      <c r="K78" s="1691" t="s">
        <v>328</v>
      </c>
      <c r="L78" s="2061" t="s">
        <v>414</v>
      </c>
      <c r="M78" s="1616">
        <v>0.2</v>
      </c>
      <c r="N78" s="1616">
        <v>0.2</v>
      </c>
      <c r="O78" s="1616">
        <v>0.2</v>
      </c>
      <c r="P78" s="1616">
        <v>0.2</v>
      </c>
      <c r="Q78" s="1616">
        <v>0.2</v>
      </c>
      <c r="R78" s="1616">
        <v>0.2</v>
      </c>
      <c r="S78" s="1616">
        <v>0.2</v>
      </c>
      <c r="T78" s="1624">
        <v>0.2</v>
      </c>
      <c r="U78" s="1616">
        <v>0.2</v>
      </c>
      <c r="V78" s="1621">
        <v>0.2</v>
      </c>
      <c r="W78" s="1623">
        <v>0</v>
      </c>
      <c r="X78" s="1621">
        <v>0</v>
      </c>
      <c r="Y78" s="1621">
        <v>0</v>
      </c>
      <c r="Z78" s="1630"/>
    </row>
    <row r="79" spans="1:26">
      <c r="B79" s="1595">
        <f t="shared" si="15"/>
        <v>2.2000000000000002</v>
      </c>
      <c r="C79" s="1645" t="str">
        <f t="shared" si="16"/>
        <v>部品・部材の耐用年数</v>
      </c>
      <c r="D79" s="1646"/>
      <c r="E79" s="1646"/>
      <c r="F79" s="1557"/>
      <c r="G79" s="1614" t="e">
        <f t="shared" si="17"/>
        <v>#DIV/0!</v>
      </c>
      <c r="H79" s="1614" t="e">
        <f t="shared" si="18"/>
        <v>#DIV/0!</v>
      </c>
      <c r="I79" s="1642"/>
      <c r="J79" s="1645">
        <v>2.2000000000000002</v>
      </c>
      <c r="K79" s="1691" t="s">
        <v>327</v>
      </c>
      <c r="L79" s="1735" t="s">
        <v>697</v>
      </c>
      <c r="M79" s="1616">
        <v>0.25</v>
      </c>
      <c r="N79" s="1616">
        <v>0.25</v>
      </c>
      <c r="O79" s="1616">
        <v>0.25</v>
      </c>
      <c r="P79" s="1616">
        <v>0.25</v>
      </c>
      <c r="Q79" s="1616">
        <v>0.25</v>
      </c>
      <c r="R79" s="1616">
        <v>0.25</v>
      </c>
      <c r="S79" s="1616">
        <v>0.25</v>
      </c>
      <c r="T79" s="1624">
        <v>0.25</v>
      </c>
      <c r="U79" s="1616">
        <v>0.25</v>
      </c>
      <c r="V79" s="1621">
        <v>0.25</v>
      </c>
      <c r="W79" s="1623">
        <v>0</v>
      </c>
      <c r="X79" s="1621">
        <v>0</v>
      </c>
      <c r="Y79" s="1621">
        <v>0</v>
      </c>
      <c r="Z79" s="1618"/>
    </row>
    <row r="80" spans="1:26">
      <c r="B80" s="1595" t="str">
        <f t="shared" si="15"/>
        <v>2.2.1</v>
      </c>
      <c r="C80" s="1612" t="str">
        <f t="shared" si="16"/>
        <v>躯体材料の耐用年数</v>
      </c>
      <c r="D80" s="1613" t="e">
        <f t="shared" ref="D80:E85" si="19">G$75*G$79*G80</f>
        <v>#DIV/0!</v>
      </c>
      <c r="E80" s="1613" t="e">
        <f t="shared" si="19"/>
        <v>#DIV/0!</v>
      </c>
      <c r="F80" s="1557"/>
      <c r="G80" s="1614" t="e">
        <f t="shared" si="17"/>
        <v>#DIV/0!</v>
      </c>
      <c r="H80" s="1614" t="e">
        <f t="shared" si="18"/>
        <v>#DIV/0!</v>
      </c>
      <c r="I80" s="1642"/>
      <c r="J80" s="1645" t="s">
        <v>1463</v>
      </c>
      <c r="K80" s="1691" t="s">
        <v>330</v>
      </c>
      <c r="L80" s="2061" t="s">
        <v>699</v>
      </c>
      <c r="M80" s="1617">
        <v>0.2</v>
      </c>
      <c r="N80" s="1617">
        <v>0.2</v>
      </c>
      <c r="O80" s="1617">
        <v>0.2</v>
      </c>
      <c r="P80" s="1617">
        <v>0.2</v>
      </c>
      <c r="Q80" s="1617">
        <v>0.2</v>
      </c>
      <c r="R80" s="1617">
        <v>0.2</v>
      </c>
      <c r="S80" s="1617">
        <v>0.2</v>
      </c>
      <c r="T80" s="1617">
        <v>0.2</v>
      </c>
      <c r="U80" s="1617">
        <v>0.2</v>
      </c>
      <c r="V80" s="1621">
        <v>0.25</v>
      </c>
      <c r="W80" s="1623">
        <v>0</v>
      </c>
      <c r="X80" s="1621">
        <v>0</v>
      </c>
      <c r="Y80" s="1621">
        <v>0</v>
      </c>
      <c r="Z80" s="1618"/>
    </row>
    <row r="81" spans="2:26">
      <c r="B81" s="1595" t="str">
        <f t="shared" si="15"/>
        <v>2.2.2</v>
      </c>
      <c r="C81" s="1612" t="str">
        <f t="shared" si="16"/>
        <v>外壁仕上げ材の補修必要間隔</v>
      </c>
      <c r="D81" s="1613" t="e">
        <f t="shared" si="19"/>
        <v>#DIV/0!</v>
      </c>
      <c r="E81" s="1613" t="e">
        <f t="shared" si="19"/>
        <v>#DIV/0!</v>
      </c>
      <c r="F81" s="1557"/>
      <c r="G81" s="1614" t="e">
        <f t="shared" si="17"/>
        <v>#DIV/0!</v>
      </c>
      <c r="H81" s="1614" t="e">
        <f t="shared" si="18"/>
        <v>#DIV/0!</v>
      </c>
      <c r="I81" s="1642"/>
      <c r="J81" s="1645" t="s">
        <v>1464</v>
      </c>
      <c r="K81" s="1691" t="s">
        <v>330</v>
      </c>
      <c r="L81" s="2061" t="s">
        <v>331</v>
      </c>
      <c r="M81" s="1617">
        <v>0.2</v>
      </c>
      <c r="N81" s="1617">
        <v>0.2</v>
      </c>
      <c r="O81" s="1617">
        <v>0.2</v>
      </c>
      <c r="P81" s="1617">
        <v>0.2</v>
      </c>
      <c r="Q81" s="1617">
        <v>0.2</v>
      </c>
      <c r="R81" s="1617">
        <v>0.2</v>
      </c>
      <c r="S81" s="1617">
        <v>0.2</v>
      </c>
      <c r="T81" s="1617">
        <v>0.2</v>
      </c>
      <c r="U81" s="1617">
        <v>0.2</v>
      </c>
      <c r="V81" s="1621">
        <v>0.25</v>
      </c>
      <c r="W81" s="1623">
        <v>0</v>
      </c>
      <c r="X81" s="1621">
        <v>0</v>
      </c>
      <c r="Y81" s="1621">
        <v>0</v>
      </c>
      <c r="Z81" s="1618"/>
    </row>
    <row r="82" spans="2:26">
      <c r="B82" s="1595" t="str">
        <f t="shared" si="15"/>
        <v>2.2.3</v>
      </c>
      <c r="C82" s="1612" t="str">
        <f t="shared" si="16"/>
        <v>主要内装仕上げ材の更新必要間隔</v>
      </c>
      <c r="D82" s="1613" t="e">
        <f t="shared" si="19"/>
        <v>#DIV/0!</v>
      </c>
      <c r="E82" s="1613" t="e">
        <f t="shared" si="19"/>
        <v>#DIV/0!</v>
      </c>
      <c r="F82" s="1557"/>
      <c r="G82" s="1614" t="e">
        <f t="shared" si="17"/>
        <v>#DIV/0!</v>
      </c>
      <c r="H82" s="1614" t="e">
        <f t="shared" si="18"/>
        <v>#DIV/0!</v>
      </c>
      <c r="I82" s="1642"/>
      <c r="J82" s="1645" t="s">
        <v>1465</v>
      </c>
      <c r="K82" s="1691" t="s">
        <v>330</v>
      </c>
      <c r="L82" s="2061" t="s">
        <v>332</v>
      </c>
      <c r="M82" s="1652">
        <v>0</v>
      </c>
      <c r="N82" s="1652">
        <v>0</v>
      </c>
      <c r="O82" s="1652">
        <v>0</v>
      </c>
      <c r="P82" s="1652">
        <v>0</v>
      </c>
      <c r="Q82" s="1652">
        <v>0</v>
      </c>
      <c r="R82" s="1652">
        <v>0</v>
      </c>
      <c r="S82" s="1652">
        <v>0</v>
      </c>
      <c r="T82" s="1652">
        <v>0</v>
      </c>
      <c r="U82" s="1652">
        <v>0</v>
      </c>
      <c r="V82" s="1621">
        <v>0</v>
      </c>
      <c r="W82" s="1623">
        <v>0</v>
      </c>
      <c r="X82" s="1621">
        <v>0</v>
      </c>
      <c r="Y82" s="1621">
        <v>0</v>
      </c>
      <c r="Z82" s="1618"/>
    </row>
    <row r="83" spans="2:26">
      <c r="B83" s="1595" t="str">
        <f t="shared" si="15"/>
        <v>2.2.4</v>
      </c>
      <c r="C83" s="1612" t="str">
        <f t="shared" si="16"/>
        <v>空調換気ダクトの更新必要間隔</v>
      </c>
      <c r="D83" s="1613" t="e">
        <f t="shared" si="19"/>
        <v>#DIV/0!</v>
      </c>
      <c r="E83" s="1613" t="e">
        <f t="shared" si="19"/>
        <v>#DIV/0!</v>
      </c>
      <c r="F83" s="1557"/>
      <c r="G83" s="1614" t="e">
        <f t="shared" si="17"/>
        <v>#DIV/0!</v>
      </c>
      <c r="H83" s="1614" t="e">
        <f t="shared" si="18"/>
        <v>#DIV/0!</v>
      </c>
      <c r="I83" s="1642"/>
      <c r="J83" s="1645" t="s">
        <v>1466</v>
      </c>
      <c r="K83" s="1691" t="s">
        <v>330</v>
      </c>
      <c r="L83" s="2061" t="s">
        <v>335</v>
      </c>
      <c r="M83" s="1617">
        <v>0.1</v>
      </c>
      <c r="N83" s="1617">
        <v>0.1</v>
      </c>
      <c r="O83" s="1617">
        <v>0.1</v>
      </c>
      <c r="P83" s="1617">
        <v>0.1</v>
      </c>
      <c r="Q83" s="1617">
        <v>0.1</v>
      </c>
      <c r="R83" s="1617">
        <v>0.1</v>
      </c>
      <c r="S83" s="1617">
        <v>0.1</v>
      </c>
      <c r="T83" s="1617">
        <v>0.1</v>
      </c>
      <c r="U83" s="1617">
        <v>0.1</v>
      </c>
      <c r="V83" s="1621">
        <v>0.1</v>
      </c>
      <c r="W83" s="1623">
        <v>0</v>
      </c>
      <c r="X83" s="1621">
        <v>0</v>
      </c>
      <c r="Y83" s="1621">
        <v>0</v>
      </c>
      <c r="Z83" s="1618"/>
    </row>
    <row r="84" spans="2:26">
      <c r="B84" s="1595" t="str">
        <f t="shared" si="15"/>
        <v>2.2.5</v>
      </c>
      <c r="C84" s="1612" t="str">
        <f t="shared" si="16"/>
        <v>空調・給排水配管の更新必要間隔</v>
      </c>
      <c r="D84" s="1613" t="e">
        <f t="shared" si="19"/>
        <v>#DIV/0!</v>
      </c>
      <c r="E84" s="1613" t="e">
        <f t="shared" si="19"/>
        <v>#DIV/0!</v>
      </c>
      <c r="F84" s="1557"/>
      <c r="G84" s="1614" t="e">
        <f t="shared" si="17"/>
        <v>#DIV/0!</v>
      </c>
      <c r="H84" s="1614" t="e">
        <f t="shared" si="18"/>
        <v>#DIV/0!</v>
      </c>
      <c r="I84" s="1642"/>
      <c r="J84" s="1645" t="s">
        <v>1467</v>
      </c>
      <c r="K84" s="1691" t="s">
        <v>330</v>
      </c>
      <c r="L84" s="2061" t="s">
        <v>336</v>
      </c>
      <c r="M84" s="1617">
        <v>0.1</v>
      </c>
      <c r="N84" s="1617">
        <v>0.1</v>
      </c>
      <c r="O84" s="1617">
        <v>0.1</v>
      </c>
      <c r="P84" s="1617">
        <v>0.1</v>
      </c>
      <c r="Q84" s="1617">
        <v>0.1</v>
      </c>
      <c r="R84" s="1617">
        <v>0.1</v>
      </c>
      <c r="S84" s="1617">
        <v>0.1</v>
      </c>
      <c r="T84" s="1617">
        <v>0.1</v>
      </c>
      <c r="U84" s="1617">
        <v>0.1</v>
      </c>
      <c r="V84" s="1621">
        <v>0.1</v>
      </c>
      <c r="W84" s="1623"/>
      <c r="X84" s="1621"/>
      <c r="Y84" s="1621"/>
      <c r="Z84" s="1618"/>
    </row>
    <row r="85" spans="2:26">
      <c r="B85" s="1595" t="str">
        <f t="shared" si="15"/>
        <v>2.2.6</v>
      </c>
      <c r="C85" s="1612" t="str">
        <f t="shared" si="16"/>
        <v>主要設備機器の更新必要間隔</v>
      </c>
      <c r="D85" s="1613" t="e">
        <f t="shared" si="19"/>
        <v>#DIV/0!</v>
      </c>
      <c r="E85" s="1613" t="e">
        <f t="shared" si="19"/>
        <v>#DIV/0!</v>
      </c>
      <c r="F85" s="1557"/>
      <c r="G85" s="1614" t="e">
        <f t="shared" si="17"/>
        <v>#DIV/0!</v>
      </c>
      <c r="H85" s="1614" t="e">
        <f t="shared" si="18"/>
        <v>#DIV/0!</v>
      </c>
      <c r="I85" s="1642"/>
      <c r="J85" s="1645" t="s">
        <v>1468</v>
      </c>
      <c r="K85" s="1691" t="s">
        <v>330</v>
      </c>
      <c r="L85" s="2061" t="s">
        <v>337</v>
      </c>
      <c r="M85" s="1617">
        <v>0.2</v>
      </c>
      <c r="N85" s="1617">
        <v>0.2</v>
      </c>
      <c r="O85" s="1617">
        <v>0.2</v>
      </c>
      <c r="P85" s="1617">
        <v>0.2</v>
      </c>
      <c r="Q85" s="1617">
        <v>0.2</v>
      </c>
      <c r="R85" s="1617">
        <v>0.2</v>
      </c>
      <c r="S85" s="1617">
        <v>0.2</v>
      </c>
      <c r="T85" s="1617">
        <v>0.2</v>
      </c>
      <c r="U85" s="1617">
        <v>0.2</v>
      </c>
      <c r="V85" s="1621">
        <v>0.25</v>
      </c>
      <c r="W85" s="1623">
        <v>0</v>
      </c>
      <c r="X85" s="1621">
        <v>0</v>
      </c>
      <c r="Y85" s="1621">
        <v>0</v>
      </c>
      <c r="Z85" s="1618"/>
    </row>
    <row r="86" spans="2:26">
      <c r="B86" s="1595">
        <f t="shared" si="15"/>
        <v>2.2999999999999998</v>
      </c>
      <c r="C86" s="1739" t="str">
        <f t="shared" si="16"/>
        <v>適切な更新</v>
      </c>
      <c r="D86" s="1613"/>
      <c r="E86" s="1613"/>
      <c r="F86" s="1557"/>
      <c r="G86" s="1614" t="e">
        <f t="shared" si="17"/>
        <v>#DIV/0!</v>
      </c>
      <c r="H86" s="1614" t="e">
        <f t="shared" si="18"/>
        <v>#DIV/0!</v>
      </c>
      <c r="I86" s="1642"/>
      <c r="J86" s="1645">
        <v>2.2999999999999998</v>
      </c>
      <c r="K86" s="1645" t="s">
        <v>1641</v>
      </c>
      <c r="L86" s="1691" t="s">
        <v>415</v>
      </c>
      <c r="M86" s="1616">
        <v>0.25</v>
      </c>
      <c r="N86" s="1616">
        <v>0.25</v>
      </c>
      <c r="O86" s="1616">
        <v>0.25</v>
      </c>
      <c r="P86" s="1616">
        <v>0.25</v>
      </c>
      <c r="Q86" s="1616">
        <v>0.25</v>
      </c>
      <c r="R86" s="1616">
        <v>0.25</v>
      </c>
      <c r="S86" s="1616">
        <v>0.25</v>
      </c>
      <c r="T86" s="1624">
        <v>0.25</v>
      </c>
      <c r="U86" s="1616">
        <v>0.25</v>
      </c>
      <c r="V86" s="1621">
        <v>0.25</v>
      </c>
      <c r="W86" s="1621"/>
      <c r="X86" s="1623"/>
      <c r="Y86" s="1621"/>
      <c r="Z86" s="1618"/>
    </row>
    <row r="87" spans="2:26">
      <c r="B87" s="1595" t="str">
        <f t="shared" si="15"/>
        <v>2.3.1</v>
      </c>
      <c r="C87" s="1740" t="str">
        <f t="shared" si="16"/>
        <v>屋上（屋根）・外壁仕上げ材の更新</v>
      </c>
      <c r="D87" s="1613" t="e">
        <f>G$75*G$86*G87</f>
        <v>#DIV/0!</v>
      </c>
      <c r="E87" s="1613" t="e">
        <f t="shared" ref="D87:E89" si="20">H$75*H$86*H87</f>
        <v>#DIV/0!</v>
      </c>
      <c r="F87" s="1557"/>
      <c r="G87" s="1614" t="e">
        <f>SUMPRODUCT($M$7:$Y$7,M87:Y87)</f>
        <v>#DIV/0!</v>
      </c>
      <c r="H87" s="1614" t="e">
        <f t="shared" si="18"/>
        <v>#DIV/0!</v>
      </c>
      <c r="I87" s="1642"/>
      <c r="J87" s="1645" t="s">
        <v>1469</v>
      </c>
      <c r="K87" s="1645" t="s">
        <v>1642</v>
      </c>
      <c r="L87" s="1691" t="s">
        <v>416</v>
      </c>
      <c r="M87" s="1637">
        <v>0.33333333333333331</v>
      </c>
      <c r="N87" s="1637">
        <v>0.33333333333333331</v>
      </c>
      <c r="O87" s="1637">
        <v>0.33333333333333331</v>
      </c>
      <c r="P87" s="1637">
        <v>0.33333333333333331</v>
      </c>
      <c r="Q87" s="1637">
        <v>0.33333333333333331</v>
      </c>
      <c r="R87" s="1637">
        <v>0.33333333333333331</v>
      </c>
      <c r="S87" s="1637">
        <v>0.33333333333333331</v>
      </c>
      <c r="T87" s="1637">
        <v>0.33333333333333331</v>
      </c>
      <c r="U87" s="1637">
        <v>0.33333333333333331</v>
      </c>
      <c r="V87" s="1621">
        <v>0.33333333333333331</v>
      </c>
      <c r="W87" s="1621"/>
      <c r="X87" s="1623"/>
      <c r="Y87" s="1621"/>
      <c r="Z87" s="1618"/>
    </row>
    <row r="88" spans="2:26">
      <c r="B88" s="1595" t="str">
        <f t="shared" si="15"/>
        <v>2.3.2</v>
      </c>
      <c r="C88" s="1740" t="str">
        <f t="shared" si="16"/>
        <v>配管・配線材の更新</v>
      </c>
      <c r="D88" s="1613" t="e">
        <f t="shared" si="20"/>
        <v>#DIV/0!</v>
      </c>
      <c r="E88" s="1613" t="e">
        <f t="shared" si="20"/>
        <v>#DIV/0!</v>
      </c>
      <c r="F88" s="1557"/>
      <c r="G88" s="1614" t="e">
        <f t="shared" si="17"/>
        <v>#DIV/0!</v>
      </c>
      <c r="H88" s="1614" t="e">
        <f t="shared" si="18"/>
        <v>#DIV/0!</v>
      </c>
      <c r="I88" s="1642"/>
      <c r="J88" s="1645" t="s">
        <v>1470</v>
      </c>
      <c r="K88" s="1645" t="s">
        <v>1642</v>
      </c>
      <c r="L88" s="1691" t="s">
        <v>417</v>
      </c>
      <c r="M88" s="1637">
        <v>0.33333333333333331</v>
      </c>
      <c r="N88" s="1637">
        <v>0.33333333333333331</v>
      </c>
      <c r="O88" s="1637">
        <v>0.33333333333333331</v>
      </c>
      <c r="P88" s="1637">
        <v>0.33333333333333331</v>
      </c>
      <c r="Q88" s="1637">
        <v>0.33333333333333331</v>
      </c>
      <c r="R88" s="1637">
        <v>0.33333333333333331</v>
      </c>
      <c r="S88" s="1637">
        <v>0.33333333333333331</v>
      </c>
      <c r="T88" s="1637">
        <v>0.33333333333333331</v>
      </c>
      <c r="U88" s="1637">
        <v>0.33333333333333331</v>
      </c>
      <c r="V88" s="1621">
        <v>0.33333333333333331</v>
      </c>
      <c r="W88" s="1621"/>
      <c r="X88" s="1623"/>
      <c r="Y88" s="1621"/>
      <c r="Z88" s="1618"/>
    </row>
    <row r="89" spans="2:26">
      <c r="B89" s="1595" t="str">
        <f t="shared" si="15"/>
        <v>2.3.3</v>
      </c>
      <c r="C89" s="1740" t="str">
        <f t="shared" si="16"/>
        <v>主要設備機器の更新</v>
      </c>
      <c r="D89" s="1613" t="e">
        <f t="shared" si="20"/>
        <v>#DIV/0!</v>
      </c>
      <c r="E89" s="1613" t="e">
        <f t="shared" si="20"/>
        <v>#DIV/0!</v>
      </c>
      <c r="F89" s="1557"/>
      <c r="G89" s="1614" t="e">
        <f t="shared" si="17"/>
        <v>#DIV/0!</v>
      </c>
      <c r="H89" s="1614" t="e">
        <f t="shared" si="18"/>
        <v>#DIV/0!</v>
      </c>
      <c r="I89" s="1642"/>
      <c r="J89" s="1645" t="s">
        <v>1471</v>
      </c>
      <c r="K89" s="1645" t="s">
        <v>1642</v>
      </c>
      <c r="L89" s="1691" t="s">
        <v>418</v>
      </c>
      <c r="M89" s="1637">
        <v>0.33333333333333331</v>
      </c>
      <c r="N89" s="1637">
        <v>0.33333333333333331</v>
      </c>
      <c r="O89" s="1637">
        <v>0.33333333333333331</v>
      </c>
      <c r="P89" s="1637">
        <v>0.33333333333333331</v>
      </c>
      <c r="Q89" s="1637">
        <v>0.33333333333333331</v>
      </c>
      <c r="R89" s="1637">
        <v>0.33333333333333331</v>
      </c>
      <c r="S89" s="1637">
        <v>0.33333333333333331</v>
      </c>
      <c r="T89" s="1637">
        <v>0.33333333333333331</v>
      </c>
      <c r="U89" s="1637">
        <v>0.33333333333333331</v>
      </c>
      <c r="V89" s="1621">
        <v>0.33333333333333331</v>
      </c>
      <c r="W89" s="1621"/>
      <c r="X89" s="1623"/>
      <c r="Y89" s="1621"/>
      <c r="Z89" s="1618"/>
    </row>
    <row r="90" spans="2:26">
      <c r="B90" s="1595">
        <f t="shared" si="15"/>
        <v>2.4</v>
      </c>
      <c r="C90" s="1645" t="str">
        <f t="shared" si="16"/>
        <v>信頼性</v>
      </c>
      <c r="D90" s="1646"/>
      <c r="E90" s="1646"/>
      <c r="F90" s="1557"/>
      <c r="G90" s="1614" t="e">
        <f t="shared" si="17"/>
        <v>#DIV/0!</v>
      </c>
      <c r="H90" s="1614" t="e">
        <f t="shared" si="18"/>
        <v>#DIV/0!</v>
      </c>
      <c r="I90" s="1642"/>
      <c r="J90" s="1645">
        <v>2.4</v>
      </c>
      <c r="K90" s="1691" t="s">
        <v>327</v>
      </c>
      <c r="L90" s="1735" t="s">
        <v>711</v>
      </c>
      <c r="M90" s="1616">
        <v>0.25</v>
      </c>
      <c r="N90" s="1616">
        <v>0.25</v>
      </c>
      <c r="O90" s="1616">
        <v>0.25</v>
      </c>
      <c r="P90" s="1616">
        <v>0.25</v>
      </c>
      <c r="Q90" s="1616">
        <v>0.25</v>
      </c>
      <c r="R90" s="1616">
        <v>0.25</v>
      </c>
      <c r="S90" s="1616">
        <v>0.25</v>
      </c>
      <c r="T90" s="1624">
        <v>0.25</v>
      </c>
      <c r="U90" s="1616">
        <v>0.25</v>
      </c>
      <c r="V90" s="1621">
        <v>0.25</v>
      </c>
      <c r="W90" s="1623">
        <v>0</v>
      </c>
      <c r="X90" s="1621">
        <v>0</v>
      </c>
      <c r="Y90" s="1621">
        <v>0</v>
      </c>
      <c r="Z90" s="1618"/>
    </row>
    <row r="91" spans="2:26">
      <c r="B91" s="1595" t="str">
        <f t="shared" si="15"/>
        <v>2.4.1</v>
      </c>
      <c r="C91" s="1612" t="str">
        <f t="shared" si="16"/>
        <v>空調・換気設備</v>
      </c>
      <c r="D91" s="1613" t="e">
        <f t="shared" ref="D91:E95" si="21">G$75*G$90*G91</f>
        <v>#DIV/0!</v>
      </c>
      <c r="E91" s="1613" t="e">
        <f t="shared" si="21"/>
        <v>#DIV/0!</v>
      </c>
      <c r="F91" s="1557"/>
      <c r="G91" s="1614" t="e">
        <f t="shared" si="17"/>
        <v>#DIV/0!</v>
      </c>
      <c r="H91" s="1614" t="e">
        <f t="shared" si="18"/>
        <v>#DIV/0!</v>
      </c>
      <c r="I91" s="1642"/>
      <c r="J91" s="1645" t="s">
        <v>1472</v>
      </c>
      <c r="K91" s="1691" t="s">
        <v>339</v>
      </c>
      <c r="L91" s="2061" t="s">
        <v>340</v>
      </c>
      <c r="M91" s="1616">
        <v>0.2</v>
      </c>
      <c r="N91" s="1616">
        <v>0.2</v>
      </c>
      <c r="O91" s="1616">
        <v>0.2</v>
      </c>
      <c r="P91" s="1616">
        <v>0.2</v>
      </c>
      <c r="Q91" s="1616">
        <v>0.2</v>
      </c>
      <c r="R91" s="1616">
        <v>0.2</v>
      </c>
      <c r="S91" s="1616">
        <v>0.2</v>
      </c>
      <c r="T91" s="1624">
        <v>0.2</v>
      </c>
      <c r="U91" s="1616">
        <v>0.2</v>
      </c>
      <c r="V91" s="1621">
        <v>0.2</v>
      </c>
      <c r="W91" s="1623">
        <v>0</v>
      </c>
      <c r="X91" s="1621">
        <v>0</v>
      </c>
      <c r="Y91" s="1621">
        <v>0</v>
      </c>
      <c r="Z91" s="1618"/>
    </row>
    <row r="92" spans="2:26">
      <c r="B92" s="1595" t="str">
        <f t="shared" si="15"/>
        <v>2.4.2</v>
      </c>
      <c r="C92" s="1612" t="str">
        <f t="shared" si="16"/>
        <v>給排水・衛生設備</v>
      </c>
      <c r="D92" s="1613" t="e">
        <f t="shared" si="21"/>
        <v>#DIV/0!</v>
      </c>
      <c r="E92" s="1613" t="e">
        <f t="shared" si="21"/>
        <v>#DIV/0!</v>
      </c>
      <c r="F92" s="1557"/>
      <c r="G92" s="1614" t="e">
        <f t="shared" si="17"/>
        <v>#DIV/0!</v>
      </c>
      <c r="H92" s="1614" t="e">
        <f t="shared" si="18"/>
        <v>#DIV/0!</v>
      </c>
      <c r="I92" s="1642"/>
      <c r="J92" s="1645" t="s">
        <v>341</v>
      </c>
      <c r="K92" s="1691" t="s">
        <v>339</v>
      </c>
      <c r="L92" s="2061" t="s">
        <v>342</v>
      </c>
      <c r="M92" s="1616">
        <v>0.2</v>
      </c>
      <c r="N92" s="1616">
        <v>0.2</v>
      </c>
      <c r="O92" s="1616">
        <v>0.2</v>
      </c>
      <c r="P92" s="1616">
        <v>0.2</v>
      </c>
      <c r="Q92" s="1616">
        <v>0.2</v>
      </c>
      <c r="R92" s="1616">
        <v>0.2</v>
      </c>
      <c r="S92" s="1616">
        <v>0.2</v>
      </c>
      <c r="T92" s="1624">
        <v>0.2</v>
      </c>
      <c r="U92" s="1616">
        <v>0.2</v>
      </c>
      <c r="V92" s="1621">
        <v>0.2</v>
      </c>
      <c r="W92" s="1623">
        <v>0</v>
      </c>
      <c r="X92" s="1621">
        <v>0</v>
      </c>
      <c r="Y92" s="1621">
        <v>0</v>
      </c>
      <c r="Z92" s="1618"/>
    </row>
    <row r="93" spans="2:26">
      <c r="B93" s="1595" t="str">
        <f t="shared" si="15"/>
        <v>2.4.3</v>
      </c>
      <c r="C93" s="1612" t="str">
        <f t="shared" si="16"/>
        <v>電気設備</v>
      </c>
      <c r="D93" s="1613" t="e">
        <f t="shared" si="21"/>
        <v>#DIV/0!</v>
      </c>
      <c r="E93" s="1613" t="e">
        <f t="shared" si="21"/>
        <v>#DIV/0!</v>
      </c>
      <c r="F93" s="1557"/>
      <c r="G93" s="1614" t="e">
        <f t="shared" si="17"/>
        <v>#DIV/0!</v>
      </c>
      <c r="H93" s="1614" t="e">
        <f t="shared" si="18"/>
        <v>#DIV/0!</v>
      </c>
      <c r="I93" s="1642"/>
      <c r="J93" s="1645" t="s">
        <v>343</v>
      </c>
      <c r="K93" s="1691" t="s">
        <v>339</v>
      </c>
      <c r="L93" s="2061" t="s">
        <v>344</v>
      </c>
      <c r="M93" s="1616">
        <v>0.2</v>
      </c>
      <c r="N93" s="1616">
        <v>0.2</v>
      </c>
      <c r="O93" s="1616">
        <v>0.2</v>
      </c>
      <c r="P93" s="1616">
        <v>0.2</v>
      </c>
      <c r="Q93" s="1616">
        <v>0.2</v>
      </c>
      <c r="R93" s="1616">
        <v>0.2</v>
      </c>
      <c r="S93" s="1616">
        <v>0.2</v>
      </c>
      <c r="T93" s="1624">
        <v>0.2</v>
      </c>
      <c r="U93" s="1616">
        <v>0.2</v>
      </c>
      <c r="V93" s="1621">
        <v>0.2</v>
      </c>
      <c r="W93" s="1623">
        <v>0</v>
      </c>
      <c r="X93" s="1621">
        <v>0</v>
      </c>
      <c r="Y93" s="1621">
        <v>0</v>
      </c>
      <c r="Z93" s="1618"/>
    </row>
    <row r="94" spans="2:26">
      <c r="B94" s="1595" t="str">
        <f t="shared" si="15"/>
        <v>2.4.4</v>
      </c>
      <c r="C94" s="1612" t="str">
        <f t="shared" si="16"/>
        <v>機械・配管支持方法</v>
      </c>
      <c r="D94" s="1613" t="e">
        <f t="shared" si="21"/>
        <v>#DIV/0!</v>
      </c>
      <c r="E94" s="1613" t="e">
        <f t="shared" si="21"/>
        <v>#DIV/0!</v>
      </c>
      <c r="F94" s="1557"/>
      <c r="G94" s="1614" t="e">
        <f t="shared" si="17"/>
        <v>#DIV/0!</v>
      </c>
      <c r="H94" s="1614" t="e">
        <f t="shared" si="18"/>
        <v>#DIV/0!</v>
      </c>
      <c r="I94" s="1642"/>
      <c r="J94" s="1645" t="s">
        <v>345</v>
      </c>
      <c r="K94" s="1691" t="s">
        <v>339</v>
      </c>
      <c r="L94" s="2061" t="s">
        <v>346</v>
      </c>
      <c r="M94" s="1616">
        <v>0.2</v>
      </c>
      <c r="N94" s="1616">
        <v>0.2</v>
      </c>
      <c r="O94" s="1616">
        <v>0.2</v>
      </c>
      <c r="P94" s="1616">
        <v>0.2</v>
      </c>
      <c r="Q94" s="1616">
        <v>0.2</v>
      </c>
      <c r="R94" s="1616">
        <v>0.2</v>
      </c>
      <c r="S94" s="1616">
        <v>0.2</v>
      </c>
      <c r="T94" s="1624">
        <v>0.2</v>
      </c>
      <c r="U94" s="1616">
        <v>0.2</v>
      </c>
      <c r="V94" s="1621">
        <v>0.2</v>
      </c>
      <c r="W94" s="1623">
        <v>0</v>
      </c>
      <c r="X94" s="1621">
        <v>0</v>
      </c>
      <c r="Y94" s="1621">
        <v>0</v>
      </c>
      <c r="Z94" s="1618"/>
    </row>
    <row r="95" spans="2:26">
      <c r="B95" s="1595" t="str">
        <f t="shared" si="15"/>
        <v>2.4.5</v>
      </c>
      <c r="C95" s="1612" t="str">
        <f t="shared" si="16"/>
        <v>通信・情報設備</v>
      </c>
      <c r="D95" s="1613" t="e">
        <f t="shared" si="21"/>
        <v>#DIV/0!</v>
      </c>
      <c r="E95" s="1613" t="e">
        <f t="shared" si="21"/>
        <v>#DIV/0!</v>
      </c>
      <c r="F95" s="1557"/>
      <c r="G95" s="1614" t="e">
        <f t="shared" si="17"/>
        <v>#DIV/0!</v>
      </c>
      <c r="H95" s="1614" t="e">
        <f t="shared" si="18"/>
        <v>#DIV/0!</v>
      </c>
      <c r="I95" s="1642"/>
      <c r="J95" s="1645" t="s">
        <v>347</v>
      </c>
      <c r="K95" s="1691" t="s">
        <v>339</v>
      </c>
      <c r="L95" s="2061" t="s">
        <v>348</v>
      </c>
      <c r="M95" s="1616">
        <v>0.2</v>
      </c>
      <c r="N95" s="1616">
        <v>0.2</v>
      </c>
      <c r="O95" s="1616">
        <v>0.2</v>
      </c>
      <c r="P95" s="1616">
        <v>0.2</v>
      </c>
      <c r="Q95" s="1616">
        <v>0.2</v>
      </c>
      <c r="R95" s="1616">
        <v>0.2</v>
      </c>
      <c r="S95" s="1616">
        <v>0.2</v>
      </c>
      <c r="T95" s="1624">
        <v>0.2</v>
      </c>
      <c r="U95" s="1616">
        <v>0.2</v>
      </c>
      <c r="V95" s="1621">
        <v>0.2</v>
      </c>
      <c r="W95" s="1623">
        <v>0</v>
      </c>
      <c r="X95" s="1621">
        <v>0</v>
      </c>
      <c r="Y95" s="1621">
        <v>0</v>
      </c>
      <c r="Z95" s="1618"/>
    </row>
    <row r="96" spans="2:26" hidden="1">
      <c r="B96" s="1595">
        <f t="shared" si="15"/>
        <v>0</v>
      </c>
      <c r="C96" s="1648">
        <f t="shared" si="16"/>
        <v>0</v>
      </c>
      <c r="D96" s="1649"/>
      <c r="E96" s="1649"/>
      <c r="F96" s="1557"/>
      <c r="G96" s="1650" t="e">
        <f t="shared" si="17"/>
        <v>#DIV/0!</v>
      </c>
      <c r="H96" s="1650" t="e">
        <f t="shared" si="18"/>
        <v>#DIV/0!</v>
      </c>
      <c r="I96" s="1642"/>
      <c r="J96" s="1645"/>
      <c r="K96" s="1691" t="s">
        <v>270</v>
      </c>
      <c r="L96" s="2061"/>
      <c r="M96" s="1652">
        <v>0</v>
      </c>
      <c r="N96" s="1652">
        <v>0</v>
      </c>
      <c r="O96" s="1652">
        <v>0</v>
      </c>
      <c r="P96" s="1652">
        <v>0</v>
      </c>
      <c r="Q96" s="1652">
        <v>0</v>
      </c>
      <c r="R96" s="1652">
        <v>0</v>
      </c>
      <c r="S96" s="1652">
        <v>0</v>
      </c>
      <c r="T96" s="1653">
        <v>0</v>
      </c>
      <c r="U96" s="1652">
        <v>0</v>
      </c>
      <c r="V96" s="1621"/>
      <c r="W96" s="1623">
        <v>0</v>
      </c>
      <c r="X96" s="1621">
        <v>0</v>
      </c>
      <c r="Y96" s="1621">
        <v>0</v>
      </c>
      <c r="Z96" s="1618"/>
    </row>
    <row r="97" spans="1:26" s="1603" customFormat="1">
      <c r="A97"/>
      <c r="B97" s="1595">
        <f t="shared" si="15"/>
        <v>3</v>
      </c>
      <c r="C97" s="1655" t="str">
        <f t="shared" si="16"/>
        <v>対応性・更新性</v>
      </c>
      <c r="D97" s="1606" t="e">
        <f>SUM(D98:D108)</f>
        <v>#DIV/0!</v>
      </c>
      <c r="E97" s="1606" t="e">
        <f>SUM(E98:E108)</f>
        <v>#DIV/0!</v>
      </c>
      <c r="F97" s="1557"/>
      <c r="G97" s="1607" t="e">
        <f t="shared" si="17"/>
        <v>#DIV/0!</v>
      </c>
      <c r="H97" s="1607" t="e">
        <f t="shared" si="18"/>
        <v>#DIV/0!</v>
      </c>
      <c r="I97" s="1640"/>
      <c r="J97" s="1639">
        <v>3</v>
      </c>
      <c r="K97" s="1742" t="s">
        <v>312</v>
      </c>
      <c r="L97" s="1785" t="s">
        <v>349</v>
      </c>
      <c r="M97" s="1608">
        <v>0.3</v>
      </c>
      <c r="N97" s="1608">
        <v>0.3</v>
      </c>
      <c r="O97" s="1608">
        <v>0.3</v>
      </c>
      <c r="P97" s="1608">
        <v>0.3</v>
      </c>
      <c r="Q97" s="1608">
        <v>0.3</v>
      </c>
      <c r="R97" s="1608">
        <v>0.3</v>
      </c>
      <c r="S97" s="1608">
        <v>0.3</v>
      </c>
      <c r="T97" s="1644">
        <v>0.3</v>
      </c>
      <c r="U97" s="1608">
        <v>0.3</v>
      </c>
      <c r="V97" s="1709">
        <v>0.3</v>
      </c>
      <c r="W97" s="2060"/>
      <c r="X97" s="1709"/>
      <c r="Y97" s="1709"/>
      <c r="Z97" s="1610"/>
    </row>
    <row r="98" spans="1:26">
      <c r="B98" s="1595">
        <f t="shared" si="15"/>
        <v>3.1</v>
      </c>
      <c r="C98" s="1645" t="str">
        <f t="shared" si="16"/>
        <v>空間のゆとり</v>
      </c>
      <c r="D98" s="1606"/>
      <c r="E98" s="1606"/>
      <c r="F98" s="1557"/>
      <c r="G98" s="1614" t="e">
        <f t="shared" si="17"/>
        <v>#DIV/0!</v>
      </c>
      <c r="H98" s="1614" t="e">
        <f t="shared" si="18"/>
        <v>#DIV/0!</v>
      </c>
      <c r="I98" s="1642"/>
      <c r="J98" s="1645">
        <v>3.1</v>
      </c>
      <c r="K98" s="1691" t="s">
        <v>350</v>
      </c>
      <c r="L98" s="1735" t="s">
        <v>720</v>
      </c>
      <c r="M98" s="1616">
        <v>0.3</v>
      </c>
      <c r="N98" s="1616">
        <v>0.3</v>
      </c>
      <c r="O98" s="1616">
        <v>0.3</v>
      </c>
      <c r="P98" s="1616">
        <v>0.3</v>
      </c>
      <c r="Q98" s="1616">
        <v>0.3</v>
      </c>
      <c r="R98" s="1616"/>
      <c r="S98" s="1616"/>
      <c r="T98" s="1624">
        <v>0.3</v>
      </c>
      <c r="U98" s="1616">
        <v>0.3</v>
      </c>
      <c r="V98" s="1621">
        <v>0.3</v>
      </c>
      <c r="W98" s="1623">
        <v>0.5</v>
      </c>
      <c r="X98" s="1621">
        <v>0.5</v>
      </c>
      <c r="Y98" s="1621">
        <v>0.5</v>
      </c>
      <c r="Z98" s="1618"/>
    </row>
    <row r="99" spans="1:26">
      <c r="B99" s="1595" t="str">
        <f t="shared" si="15"/>
        <v>3.1.1</v>
      </c>
      <c r="C99" s="1612" t="str">
        <f t="shared" si="16"/>
        <v>階高のゆとり</v>
      </c>
      <c r="D99" s="1613" t="e">
        <f>G$97*G$98*G99</f>
        <v>#DIV/0!</v>
      </c>
      <c r="E99" s="1613" t="e">
        <f>H$97*H$98*H99</f>
        <v>#DIV/0!</v>
      </c>
      <c r="F99" s="1557"/>
      <c r="G99" s="1614" t="e">
        <f t="shared" si="17"/>
        <v>#DIV/0!</v>
      </c>
      <c r="H99" s="1614" t="e">
        <f t="shared" si="18"/>
        <v>#DIV/0!</v>
      </c>
      <c r="I99" s="1642"/>
      <c r="J99" s="1645" t="s">
        <v>1473</v>
      </c>
      <c r="K99" s="1691" t="s">
        <v>351</v>
      </c>
      <c r="L99" s="2061" t="s">
        <v>352</v>
      </c>
      <c r="M99" s="1616">
        <v>0.6</v>
      </c>
      <c r="N99" s="1616">
        <v>0.6</v>
      </c>
      <c r="O99" s="1616">
        <v>0.6</v>
      </c>
      <c r="P99" s="1616">
        <v>0.6</v>
      </c>
      <c r="Q99" s="1616">
        <v>0.6</v>
      </c>
      <c r="R99" s="1616"/>
      <c r="S99" s="1616"/>
      <c r="T99" s="1624">
        <v>0</v>
      </c>
      <c r="U99" s="1616">
        <v>0.6</v>
      </c>
      <c r="V99" s="1621">
        <v>0.6</v>
      </c>
      <c r="W99" s="1623">
        <v>0.6</v>
      </c>
      <c r="X99" s="1621">
        <v>0.6</v>
      </c>
      <c r="Y99" s="1621">
        <v>0.6</v>
      </c>
      <c r="Z99" s="1618"/>
    </row>
    <row r="100" spans="1:26">
      <c r="B100" s="1595" t="str">
        <f t="shared" si="15"/>
        <v>3.1.2</v>
      </c>
      <c r="C100" s="1612" t="str">
        <f t="shared" si="16"/>
        <v>空間の形状・自由さ</v>
      </c>
      <c r="D100" s="1613" t="e">
        <f>G$97*G$98*G100</f>
        <v>#DIV/0!</v>
      </c>
      <c r="E100" s="1613" t="e">
        <f>H$97*H$98*H100</f>
        <v>#DIV/0!</v>
      </c>
      <c r="F100" s="1557"/>
      <c r="G100" s="1614" t="e">
        <f t="shared" si="17"/>
        <v>#DIV/0!</v>
      </c>
      <c r="H100" s="1614" t="e">
        <f t="shared" si="18"/>
        <v>#DIV/0!</v>
      </c>
      <c r="I100" s="1642"/>
      <c r="J100" s="1645" t="s">
        <v>1474</v>
      </c>
      <c r="K100" s="1691" t="s">
        <v>351</v>
      </c>
      <c r="L100" s="2061" t="s">
        <v>353</v>
      </c>
      <c r="M100" s="1616">
        <v>0.4</v>
      </c>
      <c r="N100" s="1616">
        <v>0.4</v>
      </c>
      <c r="O100" s="1616">
        <v>0.4</v>
      </c>
      <c r="P100" s="1616">
        <v>0.4</v>
      </c>
      <c r="Q100" s="1616">
        <v>0.4</v>
      </c>
      <c r="R100" s="1616"/>
      <c r="S100" s="1616"/>
      <c r="T100" s="1624">
        <v>1</v>
      </c>
      <c r="U100" s="1616">
        <v>0.4</v>
      </c>
      <c r="V100" s="1621">
        <v>0.4</v>
      </c>
      <c r="W100" s="1623">
        <v>0.4</v>
      </c>
      <c r="X100" s="1621">
        <v>0.4</v>
      </c>
      <c r="Y100" s="1621">
        <v>0.4</v>
      </c>
      <c r="Z100" s="1618"/>
    </row>
    <row r="101" spans="1:26">
      <c r="B101" s="1595">
        <f t="shared" si="15"/>
        <v>3.2</v>
      </c>
      <c r="C101" s="1645" t="str">
        <f t="shared" si="16"/>
        <v>荷重のゆとり</v>
      </c>
      <c r="D101" s="1613" t="e">
        <f>G$97*G101</f>
        <v>#DIV/0!</v>
      </c>
      <c r="E101" s="1613" t="e">
        <f>H$97*H101</f>
        <v>#DIV/0!</v>
      </c>
      <c r="F101" s="1557"/>
      <c r="G101" s="1614" t="e">
        <f t="shared" si="17"/>
        <v>#DIV/0!</v>
      </c>
      <c r="H101" s="1614" t="e">
        <f t="shared" si="18"/>
        <v>#DIV/0!</v>
      </c>
      <c r="I101" s="1642"/>
      <c r="J101" s="1645">
        <v>3.2</v>
      </c>
      <c r="K101" s="1691" t="s">
        <v>350</v>
      </c>
      <c r="L101" s="1735" t="s">
        <v>724</v>
      </c>
      <c r="M101" s="1616">
        <v>0.3</v>
      </c>
      <c r="N101" s="1616">
        <v>0.3</v>
      </c>
      <c r="O101" s="1616">
        <v>0.3</v>
      </c>
      <c r="P101" s="1616">
        <v>0.3</v>
      </c>
      <c r="Q101" s="1616">
        <v>0.3</v>
      </c>
      <c r="R101" s="1616"/>
      <c r="S101" s="1616"/>
      <c r="T101" s="1624">
        <v>0.3</v>
      </c>
      <c r="U101" s="1616">
        <v>0.3</v>
      </c>
      <c r="V101" s="1621">
        <v>0.3</v>
      </c>
      <c r="W101" s="1623">
        <v>0.5</v>
      </c>
      <c r="X101" s="1621">
        <v>0.5</v>
      </c>
      <c r="Y101" s="1621">
        <v>0.5</v>
      </c>
      <c r="Z101" s="1618"/>
    </row>
    <row r="102" spans="1:26">
      <c r="B102" s="1595">
        <f t="shared" si="15"/>
        <v>3.3</v>
      </c>
      <c r="C102" s="1645" t="str">
        <f t="shared" si="16"/>
        <v>設備の更新性</v>
      </c>
      <c r="D102" s="1646"/>
      <c r="E102" s="1646"/>
      <c r="F102" s="1557"/>
      <c r="G102" s="1614" t="e">
        <f t="shared" si="17"/>
        <v>#DIV/0!</v>
      </c>
      <c r="H102" s="1614" t="e">
        <f t="shared" si="18"/>
        <v>#DIV/0!</v>
      </c>
      <c r="I102" s="1642"/>
      <c r="J102" s="1645">
        <v>3.3</v>
      </c>
      <c r="K102" s="1691" t="s">
        <v>350</v>
      </c>
      <c r="L102" s="1735" t="s">
        <v>725</v>
      </c>
      <c r="M102" s="1616">
        <v>0.4</v>
      </c>
      <c r="N102" s="1616">
        <v>0.4</v>
      </c>
      <c r="O102" s="1616">
        <v>0.4</v>
      </c>
      <c r="P102" s="1616">
        <v>0.4</v>
      </c>
      <c r="Q102" s="1616">
        <v>0.4</v>
      </c>
      <c r="R102" s="1616">
        <v>1</v>
      </c>
      <c r="S102" s="1616">
        <v>1</v>
      </c>
      <c r="T102" s="1624">
        <v>0.4</v>
      </c>
      <c r="U102" s="1616">
        <v>0.4</v>
      </c>
      <c r="V102" s="1621">
        <v>0.4</v>
      </c>
      <c r="W102" s="1623"/>
      <c r="X102" s="1621"/>
      <c r="Y102" s="1621"/>
      <c r="Z102" s="1618"/>
    </row>
    <row r="103" spans="1:26">
      <c r="B103" s="1595" t="str">
        <f t="shared" si="15"/>
        <v>3.3.1</v>
      </c>
      <c r="C103" s="1612" t="str">
        <f t="shared" si="16"/>
        <v>空調配管の更新性</v>
      </c>
      <c r="D103" s="1613" t="e">
        <f t="shared" ref="D103:E108" si="22">G$97*G$102*G103</f>
        <v>#DIV/0!</v>
      </c>
      <c r="E103" s="1613" t="e">
        <f t="shared" si="22"/>
        <v>#DIV/0!</v>
      </c>
      <c r="F103" s="1557"/>
      <c r="G103" s="1614" t="e">
        <f t="shared" si="17"/>
        <v>#DIV/0!</v>
      </c>
      <c r="H103" s="1614" t="e">
        <f t="shared" si="18"/>
        <v>#DIV/0!</v>
      </c>
      <c r="I103" s="1642"/>
      <c r="J103" s="1645" t="s">
        <v>1475</v>
      </c>
      <c r="K103" s="1691" t="s">
        <v>354</v>
      </c>
      <c r="L103" s="2061" t="s">
        <v>355</v>
      </c>
      <c r="M103" s="1616">
        <v>0.2</v>
      </c>
      <c r="N103" s="1616">
        <v>0.2</v>
      </c>
      <c r="O103" s="1616">
        <v>0.2</v>
      </c>
      <c r="P103" s="1616">
        <v>0.2</v>
      </c>
      <c r="Q103" s="1616">
        <v>0.2</v>
      </c>
      <c r="R103" s="1616">
        <v>0.2</v>
      </c>
      <c r="S103" s="1616">
        <v>0.2</v>
      </c>
      <c r="T103" s="1624">
        <v>0.2</v>
      </c>
      <c r="U103" s="1616">
        <v>0.2</v>
      </c>
      <c r="V103" s="1621">
        <v>0.2</v>
      </c>
      <c r="W103" s="1623"/>
      <c r="X103" s="1621"/>
      <c r="Y103" s="1621"/>
      <c r="Z103" s="1618"/>
    </row>
    <row r="104" spans="1:26">
      <c r="B104" s="1595" t="str">
        <f t="shared" si="15"/>
        <v>3.3.2</v>
      </c>
      <c r="C104" s="1612" t="str">
        <f t="shared" si="16"/>
        <v>給排水管の更新性</v>
      </c>
      <c r="D104" s="1613" t="e">
        <f t="shared" si="22"/>
        <v>#DIV/0!</v>
      </c>
      <c r="E104" s="1613" t="e">
        <f t="shared" si="22"/>
        <v>#DIV/0!</v>
      </c>
      <c r="F104" s="1557"/>
      <c r="G104" s="1614" t="e">
        <f t="shared" si="17"/>
        <v>#DIV/0!</v>
      </c>
      <c r="H104" s="1614" t="e">
        <f t="shared" si="18"/>
        <v>#DIV/0!</v>
      </c>
      <c r="I104" s="1642"/>
      <c r="J104" s="1645" t="s">
        <v>1477</v>
      </c>
      <c r="K104" s="1691" t="s">
        <v>354</v>
      </c>
      <c r="L104" s="2061" t="s">
        <v>356</v>
      </c>
      <c r="M104" s="1616">
        <v>0.2</v>
      </c>
      <c r="N104" s="1616">
        <v>0.2</v>
      </c>
      <c r="O104" s="1616">
        <v>0.2</v>
      </c>
      <c r="P104" s="1616">
        <v>0.2</v>
      </c>
      <c r="Q104" s="1616">
        <v>0.2</v>
      </c>
      <c r="R104" s="1616">
        <v>0.2</v>
      </c>
      <c r="S104" s="1616">
        <v>0.2</v>
      </c>
      <c r="T104" s="1624">
        <v>0.2</v>
      </c>
      <c r="U104" s="1616">
        <v>0.2</v>
      </c>
      <c r="V104" s="1621">
        <v>0.2</v>
      </c>
      <c r="W104" s="1623"/>
      <c r="X104" s="1621"/>
      <c r="Y104" s="1621"/>
      <c r="Z104" s="1618"/>
    </row>
    <row r="105" spans="1:26">
      <c r="B105" s="1595" t="str">
        <f t="shared" si="15"/>
        <v>3.3.3</v>
      </c>
      <c r="C105" s="1612" t="str">
        <f t="shared" si="16"/>
        <v>電気配線の更新性</v>
      </c>
      <c r="D105" s="1613" t="e">
        <f t="shared" si="22"/>
        <v>#DIV/0!</v>
      </c>
      <c r="E105" s="1613" t="e">
        <f t="shared" si="22"/>
        <v>#DIV/0!</v>
      </c>
      <c r="F105" s="1557"/>
      <c r="G105" s="1614" t="e">
        <f t="shared" si="17"/>
        <v>#DIV/0!</v>
      </c>
      <c r="H105" s="1614" t="e">
        <f t="shared" si="18"/>
        <v>#DIV/0!</v>
      </c>
      <c r="I105" s="1642"/>
      <c r="J105" s="1645" t="s">
        <v>1479</v>
      </c>
      <c r="K105" s="1691" t="s">
        <v>354</v>
      </c>
      <c r="L105" s="2061" t="s">
        <v>357</v>
      </c>
      <c r="M105" s="1616">
        <v>0.1</v>
      </c>
      <c r="N105" s="1616">
        <v>0.1</v>
      </c>
      <c r="O105" s="1616">
        <v>0.1</v>
      </c>
      <c r="P105" s="1616">
        <v>0.1</v>
      </c>
      <c r="Q105" s="1616">
        <v>0.1</v>
      </c>
      <c r="R105" s="1616">
        <v>0.1</v>
      </c>
      <c r="S105" s="1616">
        <v>0.1</v>
      </c>
      <c r="T105" s="1624">
        <v>0.1</v>
      </c>
      <c r="U105" s="1616">
        <v>0.1</v>
      </c>
      <c r="V105" s="1621">
        <v>0.1</v>
      </c>
      <c r="W105" s="1623"/>
      <c r="X105" s="1621"/>
      <c r="Y105" s="1621"/>
      <c r="Z105" s="1618"/>
    </row>
    <row r="106" spans="1:26">
      <c r="B106" s="1595" t="str">
        <f t="shared" ref="B106:B141" si="23">J106</f>
        <v>3.3.4</v>
      </c>
      <c r="C106" s="1612" t="str">
        <f t="shared" ref="C106:C141" si="24">L106</f>
        <v>通信配線の更新性</v>
      </c>
      <c r="D106" s="1613" t="e">
        <f t="shared" si="22"/>
        <v>#DIV/0!</v>
      </c>
      <c r="E106" s="1613" t="e">
        <f t="shared" si="22"/>
        <v>#DIV/0!</v>
      </c>
      <c r="F106" s="1557"/>
      <c r="G106" s="1614" t="e">
        <f t="shared" si="17"/>
        <v>#DIV/0!</v>
      </c>
      <c r="H106" s="1614" t="e">
        <f t="shared" si="18"/>
        <v>#DIV/0!</v>
      </c>
      <c r="I106" s="1642"/>
      <c r="J106" s="1645" t="s">
        <v>1480</v>
      </c>
      <c r="K106" s="1691" t="s">
        <v>354</v>
      </c>
      <c r="L106" s="2061" t="s">
        <v>358</v>
      </c>
      <c r="M106" s="1616">
        <v>0.1</v>
      </c>
      <c r="N106" s="1616">
        <v>0.1</v>
      </c>
      <c r="O106" s="1616">
        <v>0.1</v>
      </c>
      <c r="P106" s="1616">
        <v>0.1</v>
      </c>
      <c r="Q106" s="1616">
        <v>0.1</v>
      </c>
      <c r="R106" s="1616">
        <v>0.1</v>
      </c>
      <c r="S106" s="1616">
        <v>0.1</v>
      </c>
      <c r="T106" s="1624">
        <v>0.1</v>
      </c>
      <c r="U106" s="1616">
        <v>0.1</v>
      </c>
      <c r="V106" s="1621">
        <v>0.1</v>
      </c>
      <c r="W106" s="1623"/>
      <c r="X106" s="1621"/>
      <c r="Y106" s="1621"/>
      <c r="Z106" s="1618"/>
    </row>
    <row r="107" spans="1:26">
      <c r="B107" s="1595" t="str">
        <f t="shared" si="23"/>
        <v>3.3.5</v>
      </c>
      <c r="C107" s="1612" t="str">
        <f t="shared" si="24"/>
        <v>設備機器の更新性</v>
      </c>
      <c r="D107" s="1613" t="e">
        <f t="shared" si="22"/>
        <v>#DIV/0!</v>
      </c>
      <c r="E107" s="1613" t="e">
        <f t="shared" si="22"/>
        <v>#DIV/0!</v>
      </c>
      <c r="F107" s="1557"/>
      <c r="G107" s="1614" t="e">
        <f t="shared" si="17"/>
        <v>#DIV/0!</v>
      </c>
      <c r="H107" s="1614" t="e">
        <f t="shared" si="18"/>
        <v>#DIV/0!</v>
      </c>
      <c r="I107" s="1642"/>
      <c r="J107" s="1645" t="s">
        <v>1482</v>
      </c>
      <c r="K107" s="1691" t="s">
        <v>354</v>
      </c>
      <c r="L107" s="2061" t="s">
        <v>359</v>
      </c>
      <c r="M107" s="1616">
        <v>0.2</v>
      </c>
      <c r="N107" s="1616">
        <v>0.2</v>
      </c>
      <c r="O107" s="1616">
        <v>0.2</v>
      </c>
      <c r="P107" s="1616">
        <v>0.2</v>
      </c>
      <c r="Q107" s="1616">
        <v>0.2</v>
      </c>
      <c r="R107" s="1616">
        <v>0.2</v>
      </c>
      <c r="S107" s="1616">
        <v>0.2</v>
      </c>
      <c r="T107" s="1624">
        <v>0.2</v>
      </c>
      <c r="U107" s="1616">
        <v>0.2</v>
      </c>
      <c r="V107" s="1621">
        <v>0.2</v>
      </c>
      <c r="W107" s="1623"/>
      <c r="X107" s="1621"/>
      <c r="Y107" s="1621"/>
      <c r="Z107" s="1618"/>
    </row>
    <row r="108" spans="1:26">
      <c r="B108" s="1595" t="str">
        <f t="shared" si="23"/>
        <v>3.3.6</v>
      </c>
      <c r="C108" s="1612" t="str">
        <f t="shared" si="24"/>
        <v>バックアップスペースの確保</v>
      </c>
      <c r="D108" s="1613" t="e">
        <f t="shared" si="22"/>
        <v>#DIV/0!</v>
      </c>
      <c r="E108" s="1613" t="e">
        <f t="shared" si="22"/>
        <v>#DIV/0!</v>
      </c>
      <c r="F108" s="1557"/>
      <c r="G108" s="1614" t="e">
        <f t="shared" si="17"/>
        <v>#DIV/0!</v>
      </c>
      <c r="H108" s="1614" t="e">
        <f t="shared" si="18"/>
        <v>#DIV/0!</v>
      </c>
      <c r="I108" s="1642"/>
      <c r="J108" s="1645" t="s">
        <v>1483</v>
      </c>
      <c r="K108" s="1691" t="s">
        <v>354</v>
      </c>
      <c r="L108" s="2061" t="s">
        <v>733</v>
      </c>
      <c r="M108" s="1616">
        <v>0.2</v>
      </c>
      <c r="N108" s="1616">
        <v>0.2</v>
      </c>
      <c r="O108" s="1616">
        <v>0.2</v>
      </c>
      <c r="P108" s="1616">
        <v>0.2</v>
      </c>
      <c r="Q108" s="1616">
        <v>0.2</v>
      </c>
      <c r="R108" s="1616">
        <v>0.2</v>
      </c>
      <c r="S108" s="1616">
        <v>0.2</v>
      </c>
      <c r="T108" s="1624">
        <v>0.2</v>
      </c>
      <c r="U108" s="1616">
        <v>0.2</v>
      </c>
      <c r="V108" s="1621">
        <v>0.2</v>
      </c>
      <c r="W108" s="1623"/>
      <c r="X108" s="1621"/>
      <c r="Y108" s="1621"/>
      <c r="Z108" s="1618"/>
    </row>
    <row r="109" spans="1:26" s="1603" customFormat="1">
      <c r="A109"/>
      <c r="B109" s="1595" t="str">
        <f t="shared" si="23"/>
        <v>Q3</v>
      </c>
      <c r="C109" s="1595" t="str">
        <f t="shared" si="24"/>
        <v>室外環境（敷地内）</v>
      </c>
      <c r="D109" s="1597" t="e">
        <f t="shared" ref="D109:E111" si="25">G109</f>
        <v>#DIV/0!</v>
      </c>
      <c r="E109" s="1597" t="e">
        <f t="shared" si="25"/>
        <v>#DIV/0!</v>
      </c>
      <c r="F109" s="1557"/>
      <c r="G109" s="1598" t="e">
        <f t="shared" si="17"/>
        <v>#DIV/0!</v>
      </c>
      <c r="H109" s="1598" t="e">
        <f t="shared" si="18"/>
        <v>#DIV/0!</v>
      </c>
      <c r="I109" s="1638"/>
      <c r="J109" s="1595" t="s">
        <v>1485</v>
      </c>
      <c r="K109" s="2056" t="s">
        <v>270</v>
      </c>
      <c r="L109" s="2055" t="s">
        <v>1487</v>
      </c>
      <c r="M109" s="1601">
        <v>0.3</v>
      </c>
      <c r="N109" s="1601">
        <v>0.3</v>
      </c>
      <c r="O109" s="1601">
        <v>0.3</v>
      </c>
      <c r="P109" s="1601">
        <v>0.3</v>
      </c>
      <c r="Q109" s="1601">
        <v>0.3</v>
      </c>
      <c r="R109" s="1601">
        <v>0.3</v>
      </c>
      <c r="S109" s="1601">
        <v>0.3</v>
      </c>
      <c r="T109" s="1601">
        <v>0.3</v>
      </c>
      <c r="U109" s="1601">
        <v>0.4</v>
      </c>
      <c r="V109" s="2057">
        <v>0.3</v>
      </c>
      <c r="W109" s="2058">
        <v>0</v>
      </c>
      <c r="X109" s="2057">
        <v>0</v>
      </c>
      <c r="Y109" s="2057">
        <v>0</v>
      </c>
      <c r="Z109" s="1602"/>
    </row>
    <row r="110" spans="1:26" s="1603" customFormat="1">
      <c r="A110"/>
      <c r="B110" s="1595">
        <f t="shared" si="23"/>
        <v>1</v>
      </c>
      <c r="C110" s="1626" t="str">
        <f t="shared" si="24"/>
        <v>生物資源の保全と創出</v>
      </c>
      <c r="D110" s="1606" t="e">
        <f t="shared" si="25"/>
        <v>#DIV/0!</v>
      </c>
      <c r="E110" s="1606" t="e">
        <f t="shared" si="25"/>
        <v>#DIV/0!</v>
      </c>
      <c r="F110" s="1557"/>
      <c r="G110" s="1607" t="e">
        <f t="shared" si="17"/>
        <v>#DIV/0!</v>
      </c>
      <c r="H110" s="1607" t="e">
        <f t="shared" si="18"/>
        <v>#DIV/0!</v>
      </c>
      <c r="I110" s="1640"/>
      <c r="J110" s="1639">
        <v>1</v>
      </c>
      <c r="K110" s="1742" t="s">
        <v>360</v>
      </c>
      <c r="L110" s="1785" t="s">
        <v>900</v>
      </c>
      <c r="M110" s="1608">
        <v>0.3</v>
      </c>
      <c r="N110" s="1608">
        <v>0.3</v>
      </c>
      <c r="O110" s="1608">
        <v>0.3</v>
      </c>
      <c r="P110" s="1608">
        <v>0.3</v>
      </c>
      <c r="Q110" s="1608">
        <v>0.3</v>
      </c>
      <c r="R110" s="1608">
        <v>0.3</v>
      </c>
      <c r="S110" s="1608">
        <v>0.3</v>
      </c>
      <c r="T110" s="1644">
        <v>0.3</v>
      </c>
      <c r="U110" s="1608">
        <v>0.3</v>
      </c>
      <c r="V110" s="1709">
        <v>0.3</v>
      </c>
      <c r="W110" s="2060">
        <v>0</v>
      </c>
      <c r="X110" s="1709">
        <v>0</v>
      </c>
      <c r="Y110" s="1709">
        <v>0</v>
      </c>
      <c r="Z110" s="1610"/>
    </row>
    <row r="111" spans="1:26" s="1603" customFormat="1">
      <c r="A111"/>
      <c r="B111" s="1595">
        <f t="shared" si="23"/>
        <v>2</v>
      </c>
      <c r="C111" s="1626" t="str">
        <f t="shared" si="24"/>
        <v>まちなみ・景観への配慮</v>
      </c>
      <c r="D111" s="1606" t="e">
        <f t="shared" si="25"/>
        <v>#DIV/0!</v>
      </c>
      <c r="E111" s="1606" t="e">
        <f t="shared" si="25"/>
        <v>#DIV/0!</v>
      </c>
      <c r="F111" s="1557"/>
      <c r="G111" s="1607" t="e">
        <f t="shared" si="17"/>
        <v>#DIV/0!</v>
      </c>
      <c r="H111" s="1607" t="e">
        <f t="shared" si="18"/>
        <v>#DIV/0!</v>
      </c>
      <c r="I111" s="1640"/>
      <c r="J111" s="1639">
        <v>2</v>
      </c>
      <c r="K111" s="1742" t="s">
        <v>360</v>
      </c>
      <c r="L111" s="1785" t="s">
        <v>1489</v>
      </c>
      <c r="M111" s="1608">
        <v>0.4</v>
      </c>
      <c r="N111" s="1608">
        <v>0.4</v>
      </c>
      <c r="O111" s="1608">
        <v>0.4</v>
      </c>
      <c r="P111" s="1608">
        <v>0.4</v>
      </c>
      <c r="Q111" s="1608">
        <v>0.4</v>
      </c>
      <c r="R111" s="1608">
        <v>0.4</v>
      </c>
      <c r="S111" s="1608">
        <v>0.4</v>
      </c>
      <c r="T111" s="1644">
        <v>0.4</v>
      </c>
      <c r="U111" s="1608">
        <v>0.4</v>
      </c>
      <c r="V111" s="1709">
        <v>0.4</v>
      </c>
      <c r="W111" s="2060">
        <v>0</v>
      </c>
      <c r="X111" s="1709">
        <v>0</v>
      </c>
      <c r="Y111" s="1709">
        <v>0</v>
      </c>
      <c r="Z111" s="1610"/>
    </row>
    <row r="112" spans="1:26" s="1603" customFormat="1">
      <c r="A112"/>
      <c r="B112" s="1595">
        <f t="shared" si="23"/>
        <v>3</v>
      </c>
      <c r="C112" s="1626" t="str">
        <f t="shared" si="24"/>
        <v>地域性・アメニティへの配慮</v>
      </c>
      <c r="D112" s="1606" t="e">
        <f>SUM(D113:D114)</f>
        <v>#DIV/0!</v>
      </c>
      <c r="E112" s="1606" t="e">
        <f>SUM(E113:E114)</f>
        <v>#DIV/0!</v>
      </c>
      <c r="F112" s="1557"/>
      <c r="G112" s="1607" t="e">
        <f t="shared" si="17"/>
        <v>#DIV/0!</v>
      </c>
      <c r="H112" s="1607" t="e">
        <f t="shared" si="18"/>
        <v>#DIV/0!</v>
      </c>
      <c r="I112" s="1640"/>
      <c r="J112" s="1639">
        <v>3</v>
      </c>
      <c r="K112" s="1742" t="s">
        <v>360</v>
      </c>
      <c r="L112" s="1785" t="s">
        <v>1490</v>
      </c>
      <c r="M112" s="1608">
        <v>0.3</v>
      </c>
      <c r="N112" s="1608">
        <v>0.3</v>
      </c>
      <c r="O112" s="1608">
        <v>0.3</v>
      </c>
      <c r="P112" s="1608">
        <v>0.3</v>
      </c>
      <c r="Q112" s="1608">
        <v>0.3</v>
      </c>
      <c r="R112" s="1608">
        <v>0.3</v>
      </c>
      <c r="S112" s="1608">
        <v>0.3</v>
      </c>
      <c r="T112" s="1644">
        <v>0.3</v>
      </c>
      <c r="U112" s="1608">
        <v>0.3</v>
      </c>
      <c r="V112" s="1709">
        <v>0.3</v>
      </c>
      <c r="W112" s="2060">
        <v>0</v>
      </c>
      <c r="X112" s="1709">
        <v>0</v>
      </c>
      <c r="Y112" s="1709">
        <v>0</v>
      </c>
      <c r="Z112" s="1610"/>
    </row>
    <row r="113" spans="1:26" s="1603" customFormat="1">
      <c r="A113"/>
      <c r="B113" s="1595" t="str">
        <f t="shared" si="23"/>
        <v>3.1</v>
      </c>
      <c r="C113" s="1658" t="str">
        <f t="shared" si="24"/>
        <v>地域性への配慮，快適性の向上</v>
      </c>
      <c r="D113" s="1613" t="e">
        <f>G$112*G113</f>
        <v>#DIV/0!</v>
      </c>
      <c r="E113" s="1613" t="e">
        <f>H$112*H113</f>
        <v>#DIV/0!</v>
      </c>
      <c r="F113" s="1557"/>
      <c r="G113" s="1614" t="e">
        <f t="shared" si="17"/>
        <v>#DIV/0!</v>
      </c>
      <c r="H113" s="1614" t="e">
        <f t="shared" si="18"/>
        <v>#DIV/0!</v>
      </c>
      <c r="I113" s="1640"/>
      <c r="J113" s="1645" t="s">
        <v>1492</v>
      </c>
      <c r="K113" s="1691" t="s">
        <v>361</v>
      </c>
      <c r="L113" s="2083" t="s">
        <v>1826</v>
      </c>
      <c r="M113" s="1659">
        <v>0.5</v>
      </c>
      <c r="N113" s="1659">
        <v>0.5</v>
      </c>
      <c r="O113" s="1659">
        <v>0.5</v>
      </c>
      <c r="P113" s="1659">
        <v>0.5</v>
      </c>
      <c r="Q113" s="1659">
        <v>0.5</v>
      </c>
      <c r="R113" s="1659">
        <v>0.5</v>
      </c>
      <c r="S113" s="1659">
        <v>0.5</v>
      </c>
      <c r="T113" s="1659">
        <v>0.5</v>
      </c>
      <c r="U113" s="1659">
        <v>0.5</v>
      </c>
      <c r="V113" s="2084">
        <v>0.5</v>
      </c>
      <c r="W113" s="2085">
        <v>0</v>
      </c>
      <c r="X113" s="2084">
        <v>0</v>
      </c>
      <c r="Y113" s="2084">
        <v>0</v>
      </c>
      <c r="Z113" s="1610"/>
    </row>
    <row r="114" spans="1:26" s="1603" customFormat="1">
      <c r="A114"/>
      <c r="B114" s="1595" t="str">
        <f t="shared" si="23"/>
        <v>3.2</v>
      </c>
      <c r="C114" s="1658" t="str">
        <f t="shared" si="24"/>
        <v>敷地内温熱環境の向上</v>
      </c>
      <c r="D114" s="1613" t="e">
        <f>G$112*G114</f>
        <v>#DIV/0!</v>
      </c>
      <c r="E114" s="1613" t="e">
        <f>H$112*H114</f>
        <v>#DIV/0!</v>
      </c>
      <c r="F114" s="1557"/>
      <c r="G114" s="1614" t="e">
        <f t="shared" si="17"/>
        <v>#DIV/0!</v>
      </c>
      <c r="H114" s="1614" t="e">
        <f t="shared" si="18"/>
        <v>#DIV/0!</v>
      </c>
      <c r="I114" s="1640"/>
      <c r="J114" s="1645" t="s">
        <v>1494</v>
      </c>
      <c r="K114" s="1691" t="s">
        <v>361</v>
      </c>
      <c r="L114" s="2083" t="s">
        <v>1496</v>
      </c>
      <c r="M114" s="1659">
        <v>0.5</v>
      </c>
      <c r="N114" s="1659">
        <v>0.5</v>
      </c>
      <c r="O114" s="1659">
        <v>0.5</v>
      </c>
      <c r="P114" s="1659">
        <v>0.5</v>
      </c>
      <c r="Q114" s="1659">
        <v>0.5</v>
      </c>
      <c r="R114" s="1659">
        <v>0.5</v>
      </c>
      <c r="S114" s="1659">
        <v>0.5</v>
      </c>
      <c r="T114" s="1659">
        <v>0.5</v>
      </c>
      <c r="U114" s="1659">
        <v>0.5</v>
      </c>
      <c r="V114" s="2084">
        <v>0.5</v>
      </c>
      <c r="W114" s="2085">
        <v>0</v>
      </c>
      <c r="X114" s="2084">
        <v>0</v>
      </c>
      <c r="Y114" s="2084">
        <v>0</v>
      </c>
      <c r="Z114" s="1610"/>
    </row>
    <row r="115" spans="1:26" s="1603" customFormat="1" hidden="1">
      <c r="A115"/>
      <c r="B115" s="1595">
        <f t="shared" si="23"/>
        <v>0</v>
      </c>
      <c r="C115" s="1662">
        <f t="shared" si="24"/>
        <v>0</v>
      </c>
      <c r="D115" s="1662"/>
      <c r="E115" s="1662"/>
      <c r="F115" s="1557"/>
      <c r="G115" s="1663" t="e">
        <f t="shared" si="17"/>
        <v>#DIV/0!</v>
      </c>
      <c r="H115" s="1663" t="e">
        <f t="shared" si="18"/>
        <v>#DIV/0!</v>
      </c>
      <c r="I115" s="1640"/>
      <c r="J115" s="1639"/>
      <c r="K115" s="1742" t="s">
        <v>270</v>
      </c>
      <c r="L115" s="1785"/>
      <c r="M115" s="1709">
        <v>0</v>
      </c>
      <c r="N115" s="1709">
        <v>0</v>
      </c>
      <c r="O115" s="1709">
        <v>0</v>
      </c>
      <c r="P115" s="1709">
        <v>0</v>
      </c>
      <c r="Q115" s="1709">
        <v>0</v>
      </c>
      <c r="R115" s="1709">
        <v>0</v>
      </c>
      <c r="S115" s="1709">
        <v>0</v>
      </c>
      <c r="T115" s="2080">
        <v>0</v>
      </c>
      <c r="U115" s="1709">
        <v>0</v>
      </c>
      <c r="V115" s="1709">
        <v>0</v>
      </c>
      <c r="W115" s="2060">
        <v>0</v>
      </c>
      <c r="X115" s="1709">
        <v>0</v>
      </c>
      <c r="Y115" s="1709">
        <v>0</v>
      </c>
      <c r="Z115" s="1610"/>
    </row>
    <row r="116" spans="1:26" s="1594" customFormat="1" ht="14.25">
      <c r="A116"/>
      <c r="B116" s="2086" t="str">
        <f t="shared" si="23"/>
        <v>LR</v>
      </c>
      <c r="C116" s="1585" t="str">
        <f t="shared" si="24"/>
        <v>建築物の環境負荷低減性</v>
      </c>
      <c r="D116" s="1665"/>
      <c r="E116" s="1665"/>
      <c r="F116" s="1557"/>
      <c r="G116" s="1587" t="e">
        <f t="shared" si="17"/>
        <v>#DIV/0!</v>
      </c>
      <c r="H116" s="1587" t="e">
        <f t="shared" si="18"/>
        <v>#DIV/0!</v>
      </c>
      <c r="I116" s="1588"/>
      <c r="J116" s="2046" t="s">
        <v>1497</v>
      </c>
      <c r="K116" s="2042" t="s">
        <v>419</v>
      </c>
      <c r="L116" s="2043" t="s">
        <v>420</v>
      </c>
      <c r="M116" s="2048">
        <v>0</v>
      </c>
      <c r="N116" s="2048">
        <v>0</v>
      </c>
      <c r="O116" s="2048">
        <v>0</v>
      </c>
      <c r="P116" s="2048">
        <v>0</v>
      </c>
      <c r="Q116" s="2048">
        <v>0</v>
      </c>
      <c r="R116" s="2048">
        <v>0</v>
      </c>
      <c r="S116" s="2048">
        <v>0</v>
      </c>
      <c r="T116" s="2049">
        <v>0</v>
      </c>
      <c r="U116" s="2048">
        <v>0</v>
      </c>
      <c r="V116" s="2048">
        <v>0</v>
      </c>
      <c r="W116" s="2050">
        <v>0</v>
      </c>
      <c r="X116" s="2051">
        <v>0</v>
      </c>
      <c r="Y116" s="2051">
        <v>0</v>
      </c>
      <c r="Z116" s="1593"/>
    </row>
    <row r="117" spans="1:26" s="1603" customFormat="1">
      <c r="A117"/>
      <c r="B117" s="1595" t="str">
        <f t="shared" si="23"/>
        <v>LR1</v>
      </c>
      <c r="C117" s="1595" t="str">
        <f t="shared" si="24"/>
        <v>エネルギー</v>
      </c>
      <c r="D117" s="1597" t="e">
        <f>G117</f>
        <v>#DIV/0!</v>
      </c>
      <c r="E117" s="1597" t="e">
        <f>H117</f>
        <v>#DIV/0!</v>
      </c>
      <c r="F117" s="1557"/>
      <c r="G117" s="1598" t="e">
        <f t="shared" si="17"/>
        <v>#DIV/0!</v>
      </c>
      <c r="H117" s="1598" t="e">
        <f t="shared" si="18"/>
        <v>#DIV/0!</v>
      </c>
      <c r="I117" s="1638"/>
      <c r="J117" s="1595" t="s">
        <v>1498</v>
      </c>
      <c r="K117" s="2056" t="s">
        <v>1500</v>
      </c>
      <c r="L117" s="2055" t="s">
        <v>1502</v>
      </c>
      <c r="M117" s="2057">
        <v>0.4</v>
      </c>
      <c r="N117" s="2057">
        <v>0.4</v>
      </c>
      <c r="O117" s="2057">
        <v>0.4</v>
      </c>
      <c r="P117" s="2057">
        <v>0.4</v>
      </c>
      <c r="Q117" s="2057">
        <v>0.4</v>
      </c>
      <c r="R117" s="2057">
        <v>0.4</v>
      </c>
      <c r="S117" s="2057">
        <v>0.4</v>
      </c>
      <c r="T117" s="2057">
        <v>0.4</v>
      </c>
      <c r="U117" s="2057">
        <v>0.4</v>
      </c>
      <c r="V117" s="2057">
        <v>0.4</v>
      </c>
      <c r="W117" s="2058"/>
      <c r="X117" s="2057"/>
      <c r="Y117" s="2057"/>
      <c r="Z117" s="1602"/>
    </row>
    <row r="118" spans="1:26" s="1603" customFormat="1">
      <c r="A118"/>
      <c r="B118" s="1595">
        <f t="shared" si="23"/>
        <v>1</v>
      </c>
      <c r="C118" s="1639" t="str">
        <f t="shared" si="24"/>
        <v>建物外皮の熱負荷抑制</v>
      </c>
      <c r="D118" s="1606" t="e">
        <f>G118</f>
        <v>#DIV/0!</v>
      </c>
      <c r="E118" s="1606" t="e">
        <f>H118</f>
        <v>#DIV/0!</v>
      </c>
      <c r="F118" s="1557"/>
      <c r="G118" s="1607" t="e">
        <f t="shared" si="17"/>
        <v>#DIV/0!</v>
      </c>
      <c r="H118" s="1607" t="e">
        <f t="shared" si="18"/>
        <v>#DIV/0!</v>
      </c>
      <c r="I118" s="1640"/>
      <c r="J118" s="1671">
        <v>1</v>
      </c>
      <c r="K118" s="1742" t="s">
        <v>363</v>
      </c>
      <c r="L118" s="1778" t="s">
        <v>1503</v>
      </c>
      <c r="M118" s="2076">
        <v>0.2</v>
      </c>
      <c r="N118" s="2076">
        <v>0.2</v>
      </c>
      <c r="O118" s="2076">
        <v>0.2</v>
      </c>
      <c r="P118" s="2076">
        <v>0.2</v>
      </c>
      <c r="Q118" s="2076">
        <v>0.2</v>
      </c>
      <c r="R118" s="2076">
        <v>0.2</v>
      </c>
      <c r="S118" s="2076">
        <v>0.2</v>
      </c>
      <c r="T118" s="2076">
        <v>0.2</v>
      </c>
      <c r="U118" s="2076"/>
      <c r="V118" s="2076">
        <v>0.2</v>
      </c>
      <c r="W118" s="2060"/>
      <c r="X118" s="1709"/>
      <c r="Y118" s="1709"/>
      <c r="Z118" s="1610"/>
    </row>
    <row r="119" spans="1:26" s="1603" customFormat="1">
      <c r="A119"/>
      <c r="B119" s="1595">
        <f t="shared" si="23"/>
        <v>2</v>
      </c>
      <c r="C119" s="1639" t="str">
        <f t="shared" si="24"/>
        <v>自然エネルギー利用</v>
      </c>
      <c r="D119" s="1606" t="e">
        <f>SUM(D120:D121)</f>
        <v>#DIV/0!</v>
      </c>
      <c r="E119" s="1606" t="e">
        <f>SUM(E120:E121)</f>
        <v>#DIV/0!</v>
      </c>
      <c r="F119" s="1557"/>
      <c r="G119" s="1607" t="e">
        <f t="shared" ref="G119:G121" si="26">SUMPRODUCT($M$7:$Y$7,M119:Y119)</f>
        <v>#DIV/0!</v>
      </c>
      <c r="H119" s="1607" t="e">
        <f>(W$7*W119)+(X$7*X119)+(Y$7*Y119)</f>
        <v>#DIV/0!</v>
      </c>
      <c r="I119" s="1640"/>
      <c r="J119" s="1639">
        <v>2</v>
      </c>
      <c r="K119" s="1742" t="s">
        <v>363</v>
      </c>
      <c r="L119" s="1778" t="s">
        <v>745</v>
      </c>
      <c r="M119" s="2076">
        <v>0.1</v>
      </c>
      <c r="N119" s="2076">
        <v>0.1</v>
      </c>
      <c r="O119" s="2076">
        <v>0.1</v>
      </c>
      <c r="P119" s="2076">
        <v>0.1</v>
      </c>
      <c r="Q119" s="2076">
        <v>0.1</v>
      </c>
      <c r="R119" s="2076">
        <v>0.1</v>
      </c>
      <c r="S119" s="2076">
        <v>0.1</v>
      </c>
      <c r="T119" s="2076">
        <v>0.1</v>
      </c>
      <c r="U119" s="2343">
        <v>0.125</v>
      </c>
      <c r="V119" s="2076">
        <v>0.1</v>
      </c>
      <c r="W119" s="2060"/>
      <c r="X119" s="1709"/>
      <c r="Y119" s="1709"/>
      <c r="Z119" s="1610"/>
    </row>
    <row r="120" spans="1:26" s="1603" customFormat="1">
      <c r="A120"/>
      <c r="B120" s="1595" t="str">
        <f t="shared" si="23"/>
        <v>2a</v>
      </c>
      <c r="C120" s="1639" t="str">
        <f t="shared" si="24"/>
        <v>小中学校・集合住宅</v>
      </c>
      <c r="D120" s="1613" t="e">
        <f>G$119*G120</f>
        <v>#DIV/0!</v>
      </c>
      <c r="E120" s="1613" t="e">
        <f>H$119*H120</f>
        <v>#DIV/0!</v>
      </c>
      <c r="F120" s="1557"/>
      <c r="G120" s="1614" t="e">
        <f>SUMPRODUCT($M$7:$Y$7,M120:Y120)</f>
        <v>#DIV/0!</v>
      </c>
      <c r="H120" s="1614" t="e">
        <f t="shared" ref="H120:H121" si="27">(W$7*W120)+(X$7*X120)+(Y$7*Y120)</f>
        <v>#DIV/0!</v>
      </c>
      <c r="I120" s="1640"/>
      <c r="J120" s="1645" t="s">
        <v>1791</v>
      </c>
      <c r="K120" s="1742" t="s">
        <v>1796</v>
      </c>
      <c r="L120" s="1778" t="s">
        <v>1383</v>
      </c>
      <c r="M120" s="1734"/>
      <c r="N120" s="1734"/>
      <c r="O120" s="1734"/>
      <c r="P120" s="1734"/>
      <c r="Q120" s="1734"/>
      <c r="R120" s="1734"/>
      <c r="S120" s="1734">
        <v>1</v>
      </c>
      <c r="T120" s="1734"/>
      <c r="U120" s="1734"/>
      <c r="V120" s="1734">
        <v>1</v>
      </c>
      <c r="W120" s="2060"/>
      <c r="X120" s="1709"/>
      <c r="Y120" s="1709"/>
      <c r="Z120" s="1610"/>
    </row>
    <row r="121" spans="1:26" s="1603" customFormat="1">
      <c r="A121"/>
      <c r="B121" s="1595" t="str">
        <f t="shared" si="23"/>
        <v>2b</v>
      </c>
      <c r="C121" s="1639" t="str">
        <f t="shared" si="24"/>
        <v>上記以外</v>
      </c>
      <c r="D121" s="1613" t="e">
        <f>G$119*G121</f>
        <v>#DIV/0!</v>
      </c>
      <c r="E121" s="1613" t="e">
        <f>H$119*H121</f>
        <v>#DIV/0!</v>
      </c>
      <c r="F121" s="1557"/>
      <c r="G121" s="1614" t="e">
        <f t="shared" si="26"/>
        <v>#DIV/0!</v>
      </c>
      <c r="H121" s="1614" t="e">
        <f t="shared" si="27"/>
        <v>#DIV/0!</v>
      </c>
      <c r="I121" s="1640"/>
      <c r="J121" s="1645" t="s">
        <v>1793</v>
      </c>
      <c r="K121" s="1742" t="s">
        <v>1796</v>
      </c>
      <c r="L121" s="1778" t="s">
        <v>1384</v>
      </c>
      <c r="M121" s="1734">
        <v>1</v>
      </c>
      <c r="N121" s="1734">
        <v>1</v>
      </c>
      <c r="O121" s="1734">
        <v>1</v>
      </c>
      <c r="P121" s="1734">
        <v>1</v>
      </c>
      <c r="Q121" s="1734">
        <v>1</v>
      </c>
      <c r="R121" s="1734">
        <v>1</v>
      </c>
      <c r="S121" s="1734"/>
      <c r="T121" s="1734">
        <v>1</v>
      </c>
      <c r="U121" s="1734">
        <v>1</v>
      </c>
      <c r="V121" s="1734"/>
      <c r="W121" s="2060"/>
      <c r="X121" s="1709"/>
      <c r="Y121" s="1709"/>
      <c r="Z121" s="1610"/>
    </row>
    <row r="122" spans="1:26" s="1603" customFormat="1" hidden="1">
      <c r="A122"/>
      <c r="B122" s="1595" t="str">
        <f t="shared" si="23"/>
        <v>2.1</v>
      </c>
      <c r="C122" s="1645" t="str">
        <f t="shared" si="24"/>
        <v>自然エネルギーの直接利用</v>
      </c>
      <c r="D122" s="1613" t="e">
        <f>G$119*G121*G122</f>
        <v>#DIV/0!</v>
      </c>
      <c r="E122" s="1613" t="e">
        <f>H$119*H121*H122</f>
        <v>#DIV/0!</v>
      </c>
      <c r="F122" s="1557"/>
      <c r="G122" s="1614" t="e">
        <f t="shared" si="17"/>
        <v>#DIV/0!</v>
      </c>
      <c r="H122" s="1614" t="e">
        <f t="shared" si="18"/>
        <v>#DIV/0!</v>
      </c>
      <c r="I122" s="1642"/>
      <c r="J122" s="1645" t="s">
        <v>1505</v>
      </c>
      <c r="K122" s="1691" t="s">
        <v>364</v>
      </c>
      <c r="L122" s="1735" t="s">
        <v>746</v>
      </c>
      <c r="M122" s="1621"/>
      <c r="N122" s="1621"/>
      <c r="O122" s="1621"/>
      <c r="P122" s="1621"/>
      <c r="Q122" s="1621"/>
      <c r="R122" s="1621"/>
      <c r="S122" s="1621"/>
      <c r="T122" s="1621"/>
      <c r="U122" s="1621"/>
      <c r="V122" s="1621"/>
      <c r="W122" s="2085"/>
      <c r="X122" s="2084"/>
      <c r="Y122" s="2084"/>
      <c r="Z122" s="1610"/>
    </row>
    <row r="123" spans="1:26" s="1603" customFormat="1" hidden="1">
      <c r="A123"/>
      <c r="B123" s="1595" t="str">
        <f t="shared" si="23"/>
        <v>2.2</v>
      </c>
      <c r="C123" s="1645" t="str">
        <f t="shared" si="24"/>
        <v>自然エネルギーの変換利用</v>
      </c>
      <c r="D123" s="1613" t="e">
        <f>G$119*G121*G123</f>
        <v>#DIV/0!</v>
      </c>
      <c r="E123" s="1613" t="e">
        <f>H$119*H121*H123</f>
        <v>#DIV/0!</v>
      </c>
      <c r="F123" s="1557"/>
      <c r="G123" s="1614" t="e">
        <f t="shared" si="17"/>
        <v>#DIV/0!</v>
      </c>
      <c r="H123" s="1614" t="e">
        <f t="shared" si="18"/>
        <v>#DIV/0!</v>
      </c>
      <c r="I123" s="1643"/>
      <c r="J123" s="1645" t="s">
        <v>1507</v>
      </c>
      <c r="K123" s="1691" t="s">
        <v>364</v>
      </c>
      <c r="L123" s="1735" t="s">
        <v>747</v>
      </c>
      <c r="M123" s="1621"/>
      <c r="N123" s="1621"/>
      <c r="O123" s="1621"/>
      <c r="P123" s="1621"/>
      <c r="Q123" s="1621"/>
      <c r="R123" s="1621"/>
      <c r="S123" s="1621"/>
      <c r="T123" s="1621"/>
      <c r="U123" s="1621"/>
      <c r="V123" s="1621"/>
      <c r="W123" s="2085"/>
      <c r="X123" s="2084"/>
      <c r="Y123" s="2084"/>
      <c r="Z123" s="1610"/>
    </row>
    <row r="124" spans="1:26" s="1603" customFormat="1">
      <c r="A124"/>
      <c r="B124" s="1595">
        <f t="shared" si="23"/>
        <v>3</v>
      </c>
      <c r="C124" s="1639" t="str">
        <f t="shared" si="24"/>
        <v>設備システムの高効率化</v>
      </c>
      <c r="D124" s="1606" t="e">
        <f>SUM(D125:D131)</f>
        <v>#DIV/0!</v>
      </c>
      <c r="E124" s="1606" t="e">
        <f>SUM(E125:E131)</f>
        <v>#DIV/0!</v>
      </c>
      <c r="F124" s="1557"/>
      <c r="G124" s="1607" t="e">
        <f t="shared" si="17"/>
        <v>#DIV/0!</v>
      </c>
      <c r="H124" s="1607" t="e">
        <f t="shared" si="18"/>
        <v>#DIV/0!</v>
      </c>
      <c r="I124" s="1640"/>
      <c r="J124" s="1639">
        <v>3</v>
      </c>
      <c r="K124" s="1742" t="s">
        <v>363</v>
      </c>
      <c r="L124" s="1778" t="s">
        <v>748</v>
      </c>
      <c r="M124" s="2076">
        <v>0.5</v>
      </c>
      <c r="N124" s="2076">
        <v>0.5</v>
      </c>
      <c r="O124" s="2076">
        <v>0.5</v>
      </c>
      <c r="P124" s="2076">
        <v>0.5</v>
      </c>
      <c r="Q124" s="2076">
        <v>0.5</v>
      </c>
      <c r="R124" s="2076">
        <v>0.5</v>
      </c>
      <c r="S124" s="2076">
        <v>0.5</v>
      </c>
      <c r="T124" s="2076">
        <v>0.5</v>
      </c>
      <c r="U124" s="2343">
        <v>0.625</v>
      </c>
      <c r="V124" s="2076">
        <v>0.5</v>
      </c>
      <c r="W124" s="2060"/>
      <c r="X124" s="1709"/>
      <c r="Y124" s="1709"/>
      <c r="Z124" s="1610"/>
    </row>
    <row r="125" spans="1:26" s="1603" customFormat="1">
      <c r="A125"/>
      <c r="B125" s="1595" t="str">
        <f t="shared" si="23"/>
        <v>3a.3b</v>
      </c>
      <c r="C125" s="1639" t="str">
        <f t="shared" si="24"/>
        <v>非住宅部分</v>
      </c>
      <c r="D125" s="1613" t="e">
        <f>G124*G125</f>
        <v>#DIV/0!</v>
      </c>
      <c r="E125" s="1613" t="e">
        <f>H124*H125</f>
        <v>#DIV/0!</v>
      </c>
      <c r="F125" s="1557"/>
      <c r="G125" s="1614" t="e">
        <f t="shared" si="17"/>
        <v>#DIV/0!</v>
      </c>
      <c r="H125" s="1614" t="e">
        <f t="shared" si="18"/>
        <v>#DIV/0!</v>
      </c>
      <c r="I125" s="1640"/>
      <c r="J125" s="1639" t="s">
        <v>1508</v>
      </c>
      <c r="K125" s="1742" t="s">
        <v>1665</v>
      </c>
      <c r="L125" s="1778" t="s">
        <v>1510</v>
      </c>
      <c r="M125" s="1734">
        <v>1</v>
      </c>
      <c r="N125" s="1734">
        <v>1</v>
      </c>
      <c r="O125" s="1734">
        <v>1</v>
      </c>
      <c r="P125" s="1734">
        <v>1</v>
      </c>
      <c r="Q125" s="1734">
        <v>1</v>
      </c>
      <c r="R125" s="1734">
        <v>1</v>
      </c>
      <c r="S125" s="1734"/>
      <c r="T125" s="1734">
        <v>1</v>
      </c>
      <c r="U125" s="1734">
        <v>1</v>
      </c>
      <c r="V125" s="1734">
        <v>1</v>
      </c>
      <c r="W125" s="2060"/>
      <c r="X125" s="1709"/>
      <c r="Y125" s="1709"/>
      <c r="Z125" s="1610"/>
    </row>
    <row r="126" spans="1:26" s="1603" customFormat="1">
      <c r="A126"/>
      <c r="B126" s="1595" t="str">
        <f t="shared" si="23"/>
        <v>3b.c</v>
      </c>
      <c r="C126" s="1639" t="str">
        <f t="shared" si="24"/>
        <v>集合住宅の評価</v>
      </c>
      <c r="D126" s="1613" t="e">
        <f>G124*G126</f>
        <v>#DIV/0!</v>
      </c>
      <c r="E126" s="1613" t="e">
        <f>H124*H126</f>
        <v>#DIV/0!</v>
      </c>
      <c r="F126" s="1557"/>
      <c r="G126" s="1614" t="e">
        <f>SUMPRODUCT($M$7:$Y$7,M126:Y126)</f>
        <v>#DIV/0!</v>
      </c>
      <c r="H126" s="1614" t="e">
        <f t="shared" si="18"/>
        <v>#DIV/0!</v>
      </c>
      <c r="I126" s="1640"/>
      <c r="J126" s="1639" t="s">
        <v>1511</v>
      </c>
      <c r="K126" s="1742" t="s">
        <v>1665</v>
      </c>
      <c r="L126" s="1778" t="s">
        <v>136</v>
      </c>
      <c r="M126" s="1673"/>
      <c r="N126" s="1673"/>
      <c r="O126" s="1673"/>
      <c r="P126" s="1673"/>
      <c r="Q126" s="1673"/>
      <c r="R126" s="1673"/>
      <c r="S126" s="1734">
        <v>1</v>
      </c>
      <c r="T126" s="1673"/>
      <c r="U126" s="1673"/>
      <c r="V126" s="1734"/>
      <c r="W126" s="2060"/>
      <c r="X126" s="1709"/>
      <c r="Y126" s="1709"/>
      <c r="Z126" s="1610"/>
    </row>
    <row r="127" spans="1:26" hidden="1">
      <c r="B127" s="1595">
        <f t="shared" si="23"/>
        <v>3.1</v>
      </c>
      <c r="C127" s="1645" t="str">
        <f t="shared" si="24"/>
        <v>空調設備</v>
      </c>
      <c r="D127" s="1613"/>
      <c r="E127" s="1613"/>
      <c r="F127" s="1557"/>
      <c r="G127" s="1614" t="e">
        <f t="shared" si="17"/>
        <v>#DIV/0!</v>
      </c>
      <c r="H127" s="1614" t="e">
        <f t="shared" si="18"/>
        <v>#DIV/0!</v>
      </c>
      <c r="I127" s="1642"/>
      <c r="J127" s="1645">
        <v>3.1</v>
      </c>
      <c r="K127" s="1691" t="s">
        <v>1513</v>
      </c>
      <c r="L127" s="1735" t="s">
        <v>749</v>
      </c>
      <c r="M127" s="1621"/>
      <c r="N127" s="1621"/>
      <c r="O127" s="1621"/>
      <c r="P127" s="1621"/>
      <c r="Q127" s="1621"/>
      <c r="R127" s="1621"/>
      <c r="S127" s="1621"/>
      <c r="T127" s="1622"/>
      <c r="U127" s="1621"/>
      <c r="V127" s="2348">
        <v>0.65</v>
      </c>
      <c r="W127" s="1623"/>
      <c r="X127" s="1621"/>
      <c r="Y127" s="1621"/>
      <c r="Z127" s="1618"/>
    </row>
    <row r="128" spans="1:26" hidden="1">
      <c r="B128" s="1595">
        <f t="shared" si="23"/>
        <v>3.2</v>
      </c>
      <c r="C128" s="1645" t="str">
        <f t="shared" si="24"/>
        <v>換気設備</v>
      </c>
      <c r="D128" s="1613"/>
      <c r="E128" s="1613"/>
      <c r="F128" s="1557"/>
      <c r="G128" s="1614" t="e">
        <f t="shared" si="17"/>
        <v>#DIV/0!</v>
      </c>
      <c r="H128" s="1614" t="e">
        <f t="shared" si="18"/>
        <v>#DIV/0!</v>
      </c>
      <c r="I128" s="1643"/>
      <c r="J128" s="1645">
        <v>3.2</v>
      </c>
      <c r="K128" s="1691" t="s">
        <v>1513</v>
      </c>
      <c r="L128" s="1735" t="s">
        <v>750</v>
      </c>
      <c r="M128" s="1621"/>
      <c r="N128" s="1621"/>
      <c r="O128" s="1621"/>
      <c r="P128" s="1621"/>
      <c r="Q128" s="1621"/>
      <c r="R128" s="1621"/>
      <c r="S128" s="1621"/>
      <c r="T128" s="1622"/>
      <c r="U128" s="1621"/>
      <c r="V128" s="2348">
        <v>0.1</v>
      </c>
      <c r="W128" s="1623"/>
      <c r="X128" s="1621"/>
      <c r="Y128" s="1621"/>
      <c r="Z128" s="1630"/>
    </row>
    <row r="129" spans="1:26" hidden="1">
      <c r="B129" s="1595">
        <f t="shared" si="23"/>
        <v>3.3</v>
      </c>
      <c r="C129" s="1645" t="str">
        <f t="shared" si="24"/>
        <v>照明設備</v>
      </c>
      <c r="D129" s="1613"/>
      <c r="E129" s="1613"/>
      <c r="F129" s="1557"/>
      <c r="G129" s="1614" t="e">
        <f t="shared" si="17"/>
        <v>#DIV/0!</v>
      </c>
      <c r="H129" s="1614" t="e">
        <f t="shared" si="18"/>
        <v>#DIV/0!</v>
      </c>
      <c r="I129" s="1642"/>
      <c r="J129" s="1645">
        <v>3.3</v>
      </c>
      <c r="K129" s="1691" t="s">
        <v>1513</v>
      </c>
      <c r="L129" s="1735" t="s">
        <v>751</v>
      </c>
      <c r="M129" s="1621"/>
      <c r="N129" s="1621"/>
      <c r="O129" s="1621"/>
      <c r="P129" s="1621"/>
      <c r="Q129" s="1621"/>
      <c r="R129" s="1621"/>
      <c r="S129" s="1621"/>
      <c r="T129" s="1622"/>
      <c r="U129" s="1621"/>
      <c r="V129" s="2348">
        <v>0.2</v>
      </c>
      <c r="W129" s="1623"/>
      <c r="X129" s="1621"/>
      <c r="Y129" s="1621"/>
      <c r="Z129" s="1618"/>
    </row>
    <row r="130" spans="1:26" hidden="1">
      <c r="B130" s="1595">
        <f t="shared" si="23"/>
        <v>3.4</v>
      </c>
      <c r="C130" s="1645" t="str">
        <f t="shared" si="24"/>
        <v>給湯設備</v>
      </c>
      <c r="D130" s="1613"/>
      <c r="E130" s="1613"/>
      <c r="F130" s="1557"/>
      <c r="G130" s="1614" t="e">
        <f t="shared" si="17"/>
        <v>#DIV/0!</v>
      </c>
      <c r="H130" s="1614" t="e">
        <f t="shared" si="18"/>
        <v>#DIV/0!</v>
      </c>
      <c r="I130" s="1643"/>
      <c r="J130" s="2089">
        <v>3.4</v>
      </c>
      <c r="K130" s="1691" t="s">
        <v>1513</v>
      </c>
      <c r="L130" s="1735" t="s">
        <v>365</v>
      </c>
      <c r="M130" s="1621"/>
      <c r="N130" s="1621"/>
      <c r="O130" s="1621"/>
      <c r="P130" s="1621"/>
      <c r="Q130" s="1621"/>
      <c r="R130" s="1621"/>
      <c r="S130" s="1621"/>
      <c r="T130" s="1622"/>
      <c r="U130" s="1621"/>
      <c r="V130" s="2348">
        <v>0.05</v>
      </c>
      <c r="W130" s="1623"/>
      <c r="X130" s="1621"/>
      <c r="Y130" s="1621"/>
      <c r="Z130" s="1630"/>
    </row>
    <row r="131" spans="1:26" hidden="1">
      <c r="B131" s="1595">
        <f t="shared" si="23"/>
        <v>3.5</v>
      </c>
      <c r="C131" s="1645" t="str">
        <f t="shared" si="24"/>
        <v>昇降機設備</v>
      </c>
      <c r="D131" s="1613"/>
      <c r="E131" s="1613"/>
      <c r="F131" s="1557"/>
      <c r="G131" s="1614" t="e">
        <f t="shared" si="17"/>
        <v>#DIV/0!</v>
      </c>
      <c r="H131" s="1614" t="e">
        <f t="shared" si="18"/>
        <v>#DIV/0!</v>
      </c>
      <c r="I131" s="1643"/>
      <c r="J131" s="2089">
        <v>3.5</v>
      </c>
      <c r="K131" s="1691" t="s">
        <v>1513</v>
      </c>
      <c r="L131" s="1735" t="s">
        <v>752</v>
      </c>
      <c r="M131" s="1621"/>
      <c r="N131" s="1621"/>
      <c r="O131" s="1621"/>
      <c r="P131" s="1621"/>
      <c r="Q131" s="1621"/>
      <c r="R131" s="1621"/>
      <c r="S131" s="1621"/>
      <c r="T131" s="1622"/>
      <c r="U131" s="1621"/>
      <c r="V131" s="1621"/>
      <c r="W131" s="1623"/>
      <c r="X131" s="1621"/>
      <c r="Y131" s="1621"/>
      <c r="Z131" s="1630"/>
    </row>
    <row r="132" spans="1:26">
      <c r="B132" s="1595">
        <f t="shared" si="23"/>
        <v>3</v>
      </c>
      <c r="C132" s="1645" t="str">
        <f t="shared" si="24"/>
        <v>実績値を用いた総合評価</v>
      </c>
      <c r="D132" s="1613" t="e">
        <f>D125</f>
        <v>#DIV/0!</v>
      </c>
      <c r="E132" s="1613"/>
      <c r="F132" s="1557"/>
      <c r="G132" s="1614" t="e">
        <f t="shared" si="17"/>
        <v>#DIV/0!</v>
      </c>
      <c r="H132" s="1614" t="e">
        <f t="shared" si="18"/>
        <v>#DIV/0!</v>
      </c>
      <c r="I132" s="1643"/>
      <c r="J132" s="2089">
        <v>3</v>
      </c>
      <c r="K132" s="2349" t="s">
        <v>1666</v>
      </c>
      <c r="L132" s="1778" t="s">
        <v>1652</v>
      </c>
      <c r="M132" s="1621">
        <v>1</v>
      </c>
      <c r="N132" s="1621">
        <v>1</v>
      </c>
      <c r="O132" s="1621">
        <v>1</v>
      </c>
      <c r="P132" s="1621">
        <v>1</v>
      </c>
      <c r="Q132" s="1621">
        <v>1</v>
      </c>
      <c r="R132" s="1621">
        <v>1</v>
      </c>
      <c r="S132" s="1621"/>
      <c r="T132" s="1621">
        <v>1</v>
      </c>
      <c r="U132" s="1621"/>
      <c r="V132" s="1621">
        <v>1</v>
      </c>
      <c r="W132" s="1623"/>
      <c r="X132" s="1621"/>
      <c r="Y132" s="1621"/>
      <c r="Z132" s="1630"/>
    </row>
    <row r="133" spans="1:26" s="1603" customFormat="1">
      <c r="A133"/>
      <c r="B133" s="1595">
        <f t="shared" si="23"/>
        <v>4</v>
      </c>
      <c r="C133" s="1639" t="str">
        <f t="shared" si="24"/>
        <v>効率的運用</v>
      </c>
      <c r="D133" s="1606" t="e">
        <f>SUM(D134:D139)</f>
        <v>#DIV/0!</v>
      </c>
      <c r="E133" s="1606" t="e">
        <f>SUM(E134:E139)</f>
        <v>#DIV/0!</v>
      </c>
      <c r="F133" s="1557"/>
      <c r="G133" s="1607" t="e">
        <f t="shared" si="17"/>
        <v>#DIV/0!</v>
      </c>
      <c r="H133" s="1607" t="e">
        <f t="shared" si="18"/>
        <v>#DIV/0!</v>
      </c>
      <c r="I133" s="1640"/>
      <c r="J133" s="1671">
        <v>4</v>
      </c>
      <c r="K133" s="1742" t="s">
        <v>363</v>
      </c>
      <c r="L133" s="1778" t="s">
        <v>753</v>
      </c>
      <c r="M133" s="2076">
        <v>0.2</v>
      </c>
      <c r="N133" s="2076">
        <v>0.2</v>
      </c>
      <c r="O133" s="2076">
        <v>0.2</v>
      </c>
      <c r="P133" s="2076">
        <v>0.2</v>
      </c>
      <c r="Q133" s="2076">
        <v>0.2</v>
      </c>
      <c r="R133" s="2076">
        <v>0.2</v>
      </c>
      <c r="S133" s="2076">
        <v>0.2</v>
      </c>
      <c r="T133" s="2076">
        <v>0.2</v>
      </c>
      <c r="U133" s="2076">
        <v>0.25</v>
      </c>
      <c r="V133" s="2076">
        <v>0.2</v>
      </c>
      <c r="W133" s="2060"/>
      <c r="X133" s="1709"/>
      <c r="Y133" s="1709"/>
      <c r="Z133" s="1610"/>
    </row>
    <row r="134" spans="1:26">
      <c r="B134" s="1595">
        <f t="shared" si="23"/>
        <v>4.0999999999999996</v>
      </c>
      <c r="C134" s="1645" t="str">
        <f t="shared" si="24"/>
        <v>住宅以外の評価</v>
      </c>
      <c r="D134" s="1613"/>
      <c r="E134" s="1613"/>
      <c r="F134" s="1557"/>
      <c r="G134" s="1614" t="e">
        <f>SUMPRODUCT($M$7:$Y$7,M134:Y134)</f>
        <v>#DIV/0!</v>
      </c>
      <c r="H134" s="1614" t="e">
        <f t="shared" si="18"/>
        <v>#DIV/0!</v>
      </c>
      <c r="I134" s="1675"/>
      <c r="J134" s="1645">
        <v>4.0999999999999996</v>
      </c>
      <c r="K134" s="1691" t="s">
        <v>366</v>
      </c>
      <c r="L134" s="1735" t="s">
        <v>1514</v>
      </c>
      <c r="M134" s="1621">
        <v>1</v>
      </c>
      <c r="N134" s="1621">
        <v>1</v>
      </c>
      <c r="O134" s="1621">
        <v>1</v>
      </c>
      <c r="P134" s="1621">
        <v>1</v>
      </c>
      <c r="Q134" s="1621">
        <v>1</v>
      </c>
      <c r="R134" s="1621">
        <v>1</v>
      </c>
      <c r="S134" s="1621"/>
      <c r="T134" s="1621">
        <v>1</v>
      </c>
      <c r="U134" s="1621">
        <v>1</v>
      </c>
      <c r="V134" s="1621">
        <v>1</v>
      </c>
      <c r="W134" s="1623"/>
      <c r="X134" s="2084"/>
      <c r="Y134" s="2084"/>
      <c r="Z134" s="1676"/>
    </row>
    <row r="135" spans="1:26">
      <c r="B135" s="1595" t="str">
        <f t="shared" ref="B135:B139" si="28">J135</f>
        <v>4.1.1</v>
      </c>
      <c r="C135" s="1645" t="str">
        <f t="shared" ref="C135:C139" si="29">L135</f>
        <v>モニタリング</v>
      </c>
      <c r="D135" s="1613" t="e">
        <f>G$133*G$134*G135</f>
        <v>#DIV/0!</v>
      </c>
      <c r="E135" s="1613" t="e">
        <f>H$133*H$134*H135</f>
        <v>#DIV/0!</v>
      </c>
      <c r="F135" s="1557"/>
      <c r="G135" s="1614" t="e">
        <f>SUMPRODUCT($M$7:$Y$7,M135:Y135)</f>
        <v>#DIV/0!</v>
      </c>
      <c r="H135" s="1614" t="e">
        <f t="shared" si="18"/>
        <v>#DIV/0!</v>
      </c>
      <c r="I135" s="1675"/>
      <c r="J135" s="1645" t="s">
        <v>1515</v>
      </c>
      <c r="K135" s="1691" t="s">
        <v>1517</v>
      </c>
      <c r="L135" s="1735" t="s">
        <v>1518</v>
      </c>
      <c r="M135" s="1621">
        <v>0.5</v>
      </c>
      <c r="N135" s="1621">
        <v>0.5</v>
      </c>
      <c r="O135" s="1621">
        <v>0.5</v>
      </c>
      <c r="P135" s="1621">
        <v>0.5</v>
      </c>
      <c r="Q135" s="1621">
        <v>0.5</v>
      </c>
      <c r="R135" s="1621">
        <v>0.5</v>
      </c>
      <c r="S135" s="1621"/>
      <c r="T135" s="1621">
        <v>0.5</v>
      </c>
      <c r="U135" s="1621">
        <v>0.5</v>
      </c>
      <c r="V135" s="1621">
        <v>0.5</v>
      </c>
      <c r="W135" s="1623"/>
      <c r="X135" s="2084"/>
      <c r="Y135" s="2084"/>
      <c r="Z135" s="1676"/>
    </row>
    <row r="136" spans="1:26">
      <c r="B136" s="1595" t="str">
        <f t="shared" si="28"/>
        <v>4.1.2</v>
      </c>
      <c r="C136" s="1645" t="str">
        <f t="shared" si="29"/>
        <v>運用管理体制</v>
      </c>
      <c r="D136" s="1613" t="e">
        <f>G$133*G$134*G136</f>
        <v>#DIV/0!</v>
      </c>
      <c r="E136" s="1613" t="e">
        <f>H$133*H$134*H136</f>
        <v>#DIV/0!</v>
      </c>
      <c r="F136" s="1557"/>
      <c r="G136" s="1614" t="e">
        <f t="shared" si="17"/>
        <v>#DIV/0!</v>
      </c>
      <c r="H136" s="1614" t="e">
        <f t="shared" si="18"/>
        <v>#DIV/0!</v>
      </c>
      <c r="I136" s="1675"/>
      <c r="J136" s="1645" t="s">
        <v>1519</v>
      </c>
      <c r="K136" s="1691" t="s">
        <v>1517</v>
      </c>
      <c r="L136" s="2061" t="s">
        <v>754</v>
      </c>
      <c r="M136" s="1621">
        <v>0.5</v>
      </c>
      <c r="N136" s="1621">
        <v>0.5</v>
      </c>
      <c r="O136" s="1621">
        <v>0.5</v>
      </c>
      <c r="P136" s="1621">
        <v>0.5</v>
      </c>
      <c r="Q136" s="1621">
        <v>0.5</v>
      </c>
      <c r="R136" s="1621">
        <v>0.5</v>
      </c>
      <c r="S136" s="1621"/>
      <c r="T136" s="1621">
        <v>0.5</v>
      </c>
      <c r="U136" s="1621">
        <v>0.5</v>
      </c>
      <c r="V136" s="1621">
        <v>0.5</v>
      </c>
      <c r="W136" s="1623"/>
      <c r="X136" s="2084"/>
      <c r="Y136" s="2084"/>
      <c r="Z136" s="1676"/>
    </row>
    <row r="137" spans="1:26" s="1678" customFormat="1">
      <c r="A137"/>
      <c r="B137" s="1595">
        <f t="shared" si="28"/>
        <v>4.2</v>
      </c>
      <c r="C137" s="1645" t="str">
        <f t="shared" si="29"/>
        <v>住宅の評価</v>
      </c>
      <c r="D137" s="1613"/>
      <c r="E137" s="1613"/>
      <c r="F137" s="1557"/>
      <c r="G137" s="1614" t="e">
        <f>SUMPRODUCT($M$7:$Y$7,M137:Y137)</f>
        <v>#DIV/0!</v>
      </c>
      <c r="H137" s="1614" t="e">
        <f t="shared" si="18"/>
        <v>#DIV/0!</v>
      </c>
      <c r="I137" s="1675"/>
      <c r="J137" s="1645">
        <v>4.2</v>
      </c>
      <c r="K137" s="1691" t="s">
        <v>366</v>
      </c>
      <c r="L137" s="2061" t="s">
        <v>1520</v>
      </c>
      <c r="M137" s="1621"/>
      <c r="N137" s="1621"/>
      <c r="O137" s="1621"/>
      <c r="P137" s="1621"/>
      <c r="Q137" s="1621"/>
      <c r="R137" s="1621"/>
      <c r="S137" s="1621">
        <v>1</v>
      </c>
      <c r="T137" s="1622"/>
      <c r="U137" s="1621"/>
      <c r="V137" s="1621"/>
      <c r="W137" s="1623"/>
      <c r="X137" s="2084"/>
      <c r="Y137" s="2084"/>
      <c r="Z137" s="1676"/>
    </row>
    <row r="138" spans="1:26" s="1678" customFormat="1">
      <c r="A138"/>
      <c r="B138" s="1595" t="str">
        <f t="shared" si="28"/>
        <v>4.2.1</v>
      </c>
      <c r="C138" s="1645" t="str">
        <f t="shared" si="29"/>
        <v>住まい方の提示</v>
      </c>
      <c r="D138" s="1613" t="e">
        <f>G$133*G$137*G138</f>
        <v>#DIV/0!</v>
      </c>
      <c r="E138" s="1613" t="e">
        <f>H$133*H$137*H138</f>
        <v>#DIV/0!</v>
      </c>
      <c r="F138" s="1557"/>
      <c r="G138" s="1614" t="e">
        <f>SUMPRODUCT($M$7:$Y$7,M138:Y138)</f>
        <v>#DIV/0!</v>
      </c>
      <c r="H138" s="1614" t="e">
        <f t="shared" si="18"/>
        <v>#DIV/0!</v>
      </c>
      <c r="I138" s="1675"/>
      <c r="J138" s="1645" t="s">
        <v>1441</v>
      </c>
      <c r="K138" s="1691" t="s">
        <v>1523</v>
      </c>
      <c r="L138" s="2061" t="s">
        <v>1654</v>
      </c>
      <c r="M138" s="1621"/>
      <c r="N138" s="1621"/>
      <c r="O138" s="1621"/>
      <c r="P138" s="1621"/>
      <c r="Q138" s="1621"/>
      <c r="R138" s="1621"/>
      <c r="S138" s="1621">
        <v>0.5</v>
      </c>
      <c r="T138" s="1622"/>
      <c r="U138" s="1621"/>
      <c r="V138" s="1621"/>
      <c r="W138" s="1623"/>
      <c r="X138" s="2084"/>
      <c r="Y138" s="2084"/>
      <c r="Z138" s="1676"/>
    </row>
    <row r="139" spans="1:26" s="1678" customFormat="1">
      <c r="A139"/>
      <c r="B139" s="1595" t="str">
        <f t="shared" si="28"/>
        <v>4.2.2</v>
      </c>
      <c r="C139" s="1645" t="str">
        <f t="shared" si="29"/>
        <v>エネルギーの管理と制御</v>
      </c>
      <c r="D139" s="1613" t="e">
        <f>G$133*G$137*G139</f>
        <v>#DIV/0!</v>
      </c>
      <c r="E139" s="1613" t="e">
        <f>H$133*H$137*H139</f>
        <v>#DIV/0!</v>
      </c>
      <c r="F139" s="1557"/>
      <c r="G139" s="1614" t="e">
        <f t="shared" si="17"/>
        <v>#DIV/0!</v>
      </c>
      <c r="H139" s="1614" t="e">
        <f t="shared" si="18"/>
        <v>#DIV/0!</v>
      </c>
      <c r="I139" s="1675"/>
      <c r="J139" s="1645" t="s">
        <v>1443</v>
      </c>
      <c r="K139" s="1691" t="s">
        <v>1523</v>
      </c>
      <c r="L139" s="2061" t="s">
        <v>1655</v>
      </c>
      <c r="M139" s="1621"/>
      <c r="N139" s="1621"/>
      <c r="O139" s="1621"/>
      <c r="P139" s="1621"/>
      <c r="Q139" s="1621"/>
      <c r="R139" s="1621"/>
      <c r="S139" s="1621">
        <v>0.5</v>
      </c>
      <c r="T139" s="1622"/>
      <c r="U139" s="1621"/>
      <c r="V139" s="1621"/>
      <c r="W139" s="1623"/>
      <c r="X139" s="2084"/>
      <c r="Y139" s="2084"/>
      <c r="Z139" s="1676"/>
    </row>
    <row r="140" spans="1:26" s="1603" customFormat="1">
      <c r="A140"/>
      <c r="B140" s="1595" t="str">
        <f t="shared" si="23"/>
        <v>LR2</v>
      </c>
      <c r="C140" s="1595" t="str">
        <f t="shared" si="24"/>
        <v>資源・マテリアル</v>
      </c>
      <c r="D140" s="1597" t="e">
        <f>G140</f>
        <v>#DIV/0!</v>
      </c>
      <c r="E140" s="1597" t="e">
        <f>H140</f>
        <v>#DIV/0!</v>
      </c>
      <c r="F140" s="1557"/>
      <c r="G140" s="1598" t="e">
        <f t="shared" si="17"/>
        <v>#DIV/0!</v>
      </c>
      <c r="H140" s="1598" t="e">
        <f t="shared" si="18"/>
        <v>#DIV/0!</v>
      </c>
      <c r="I140" s="1599"/>
      <c r="J140" s="1596" t="s">
        <v>1526</v>
      </c>
      <c r="K140" s="2091" t="s">
        <v>1500</v>
      </c>
      <c r="L140" s="2055" t="s">
        <v>1527</v>
      </c>
      <c r="M140" s="2057">
        <v>0.3</v>
      </c>
      <c r="N140" s="2057">
        <v>0.3</v>
      </c>
      <c r="O140" s="2057">
        <v>0.3</v>
      </c>
      <c r="P140" s="2057">
        <v>0.3</v>
      </c>
      <c r="Q140" s="2057">
        <v>0.3</v>
      </c>
      <c r="R140" s="2057">
        <v>0.3</v>
      </c>
      <c r="S140" s="2057">
        <v>0.3</v>
      </c>
      <c r="T140" s="2092">
        <v>0.3</v>
      </c>
      <c r="U140" s="2057">
        <v>0.3</v>
      </c>
      <c r="V140" s="2057">
        <v>0.3</v>
      </c>
      <c r="W140" s="2093"/>
      <c r="X140" s="2094"/>
      <c r="Y140" s="2094"/>
      <c r="Z140" s="1683"/>
    </row>
    <row r="141" spans="1:26" s="1603" customFormat="1">
      <c r="A141"/>
      <c r="B141" s="1595">
        <f t="shared" si="23"/>
        <v>1</v>
      </c>
      <c r="C141" s="1639" t="str">
        <f t="shared" si="24"/>
        <v>水資源保護</v>
      </c>
      <c r="D141" s="1606" t="e">
        <f>SUM(D142:D145)</f>
        <v>#DIV/0!</v>
      </c>
      <c r="E141" s="1606" t="e">
        <f>SUM(E142:E145)</f>
        <v>#DIV/0!</v>
      </c>
      <c r="F141" s="1557"/>
      <c r="G141" s="1607" t="e">
        <f t="shared" si="17"/>
        <v>#DIV/0!</v>
      </c>
      <c r="H141" s="1607" t="e">
        <f t="shared" si="18"/>
        <v>#DIV/0!</v>
      </c>
      <c r="I141" s="1599"/>
      <c r="J141" s="1671">
        <v>1</v>
      </c>
      <c r="K141" s="1742" t="s">
        <v>367</v>
      </c>
      <c r="L141" s="1778" t="s">
        <v>757</v>
      </c>
      <c r="M141" s="1709">
        <v>0.2</v>
      </c>
      <c r="N141" s="1709">
        <v>0.2</v>
      </c>
      <c r="O141" s="1709">
        <v>0.2</v>
      </c>
      <c r="P141" s="1709">
        <v>0.2</v>
      </c>
      <c r="Q141" s="1709">
        <v>0.2</v>
      </c>
      <c r="R141" s="1709">
        <v>0.2</v>
      </c>
      <c r="S141" s="1709">
        <v>0.2</v>
      </c>
      <c r="T141" s="2080">
        <v>0.2</v>
      </c>
      <c r="U141" s="1709">
        <v>0.2</v>
      </c>
      <c r="V141" s="1709">
        <v>0.2</v>
      </c>
      <c r="W141" s="2095"/>
      <c r="X141" s="2096"/>
      <c r="Y141" s="2096"/>
      <c r="Z141" s="1683"/>
    </row>
    <row r="142" spans="1:26">
      <c r="B142" s="1595">
        <f t="shared" ref="B142:B173" si="30">J142</f>
        <v>1.1000000000000001</v>
      </c>
      <c r="C142" s="1612" t="str">
        <f t="shared" ref="C142:C173" si="31">L142</f>
        <v>節水</v>
      </c>
      <c r="D142" s="1613" t="e">
        <f>G$141*G142</f>
        <v>#DIV/0!</v>
      </c>
      <c r="E142" s="1613" t="e">
        <f>H$141*H142</f>
        <v>#DIV/0!</v>
      </c>
      <c r="F142" s="1557"/>
      <c r="G142" s="1614" t="e">
        <f t="shared" ref="G142:G180" si="32">SUMPRODUCT($M$7:$Y$7,M142:Y142)</f>
        <v>#DIV/0!</v>
      </c>
      <c r="H142" s="1614" t="e">
        <f t="shared" ref="H142:H180" si="33">(W$7*W142)+(X$7*X142)+(Y$7*Y142)</f>
        <v>#DIV/0!</v>
      </c>
      <c r="I142" s="1569"/>
      <c r="J142" s="1645">
        <v>1.1000000000000001</v>
      </c>
      <c r="K142" s="1691" t="s">
        <v>368</v>
      </c>
      <c r="L142" s="2061" t="s">
        <v>758</v>
      </c>
      <c r="M142" s="1621">
        <v>0.4</v>
      </c>
      <c r="N142" s="1621">
        <v>0.4</v>
      </c>
      <c r="O142" s="1621">
        <v>0.4</v>
      </c>
      <c r="P142" s="1621">
        <v>0.4</v>
      </c>
      <c r="Q142" s="1621">
        <v>0.4</v>
      </c>
      <c r="R142" s="1621">
        <v>0.4</v>
      </c>
      <c r="S142" s="1621">
        <v>0.4</v>
      </c>
      <c r="T142" s="1622">
        <v>0.4</v>
      </c>
      <c r="U142" s="1621">
        <v>0.4</v>
      </c>
      <c r="V142" s="1621">
        <v>0.4</v>
      </c>
      <c r="W142" s="1867"/>
      <c r="X142" s="1713"/>
      <c r="Y142" s="1713"/>
    </row>
    <row r="143" spans="1:26">
      <c r="B143" s="1595">
        <f t="shared" si="30"/>
        <v>1.2</v>
      </c>
      <c r="C143" s="1645" t="str">
        <f t="shared" si="31"/>
        <v>雨水利用・雑排水再利用</v>
      </c>
      <c r="D143" s="1613"/>
      <c r="E143" s="1613"/>
      <c r="F143" s="1557"/>
      <c r="G143" s="1614" t="e">
        <f t="shared" si="32"/>
        <v>#DIV/0!</v>
      </c>
      <c r="H143" s="1614" t="e">
        <f t="shared" si="33"/>
        <v>#DIV/0!</v>
      </c>
      <c r="I143" s="1569"/>
      <c r="J143" s="2089">
        <v>1.2</v>
      </c>
      <c r="K143" s="1691" t="s">
        <v>368</v>
      </c>
      <c r="L143" s="1735" t="s">
        <v>759</v>
      </c>
      <c r="M143" s="1621">
        <v>0.6</v>
      </c>
      <c r="N143" s="1621">
        <v>0.6</v>
      </c>
      <c r="O143" s="1621">
        <v>0.6</v>
      </c>
      <c r="P143" s="1621">
        <v>0.6</v>
      </c>
      <c r="Q143" s="1621">
        <v>0.6</v>
      </c>
      <c r="R143" s="1621">
        <v>0.6</v>
      </c>
      <c r="S143" s="1621">
        <v>0.6</v>
      </c>
      <c r="T143" s="1622">
        <v>0.6</v>
      </c>
      <c r="U143" s="1621">
        <v>0.6</v>
      </c>
      <c r="V143" s="1621">
        <v>0.6</v>
      </c>
      <c r="W143" s="1867"/>
      <c r="X143" s="1713"/>
      <c r="Y143" s="1713"/>
    </row>
    <row r="144" spans="1:26">
      <c r="B144" s="1595" t="str">
        <f t="shared" si="30"/>
        <v>1.2.1</v>
      </c>
      <c r="C144" s="1612" t="str">
        <f t="shared" si="31"/>
        <v>雨水利用システム導入の有無</v>
      </c>
      <c r="D144" s="1613" t="e">
        <f>G$141*G$143*G144</f>
        <v>#DIV/0!</v>
      </c>
      <c r="E144" s="1613" t="e">
        <f>H$141*H$143*H144</f>
        <v>#DIV/0!</v>
      </c>
      <c r="F144" s="1557"/>
      <c r="G144" s="1614" t="e">
        <f t="shared" si="32"/>
        <v>#DIV/0!</v>
      </c>
      <c r="H144" s="1614" t="e">
        <f t="shared" si="33"/>
        <v>#DIV/0!</v>
      </c>
      <c r="I144" s="1569"/>
      <c r="J144" s="1645" t="s">
        <v>1457</v>
      </c>
      <c r="K144" s="1691" t="s">
        <v>369</v>
      </c>
      <c r="L144" s="2061" t="s">
        <v>1528</v>
      </c>
      <c r="M144" s="1621">
        <v>0.7</v>
      </c>
      <c r="N144" s="1621">
        <v>0.7</v>
      </c>
      <c r="O144" s="1621">
        <v>0.7</v>
      </c>
      <c r="P144" s="1621">
        <v>0.7</v>
      </c>
      <c r="Q144" s="1621">
        <v>0.7</v>
      </c>
      <c r="R144" s="1621">
        <v>0.7</v>
      </c>
      <c r="S144" s="1621">
        <v>0.7</v>
      </c>
      <c r="T144" s="1622">
        <v>0.7</v>
      </c>
      <c r="U144" s="1621">
        <v>0.7</v>
      </c>
      <c r="V144" s="1621">
        <v>0.7</v>
      </c>
      <c r="W144" s="1867"/>
      <c r="X144" s="1713"/>
      <c r="Y144" s="1713"/>
    </row>
    <row r="145" spans="1:26">
      <c r="B145" s="1595" t="str">
        <f t="shared" si="30"/>
        <v>1.2.2</v>
      </c>
      <c r="C145" s="1612" t="str">
        <f t="shared" si="31"/>
        <v>雑排水等再利用システム導入の有無</v>
      </c>
      <c r="D145" s="1613" t="e">
        <f>G$141*G$143*G145</f>
        <v>#DIV/0!</v>
      </c>
      <c r="E145" s="1613" t="e">
        <f>H$141*H$143*H145</f>
        <v>#DIV/0!</v>
      </c>
      <c r="F145" s="1557"/>
      <c r="G145" s="1614" t="e">
        <f t="shared" si="32"/>
        <v>#DIV/0!</v>
      </c>
      <c r="H145" s="1614" t="e">
        <f t="shared" si="33"/>
        <v>#DIV/0!</v>
      </c>
      <c r="I145" s="1569"/>
      <c r="J145" s="1645" t="s">
        <v>1458</v>
      </c>
      <c r="K145" s="1691" t="s">
        <v>369</v>
      </c>
      <c r="L145" s="2061" t="s">
        <v>901</v>
      </c>
      <c r="M145" s="1621">
        <v>0.3</v>
      </c>
      <c r="N145" s="1621">
        <v>0.3</v>
      </c>
      <c r="O145" s="1621">
        <v>0.3</v>
      </c>
      <c r="P145" s="1621">
        <v>0.3</v>
      </c>
      <c r="Q145" s="1621">
        <v>0.3</v>
      </c>
      <c r="R145" s="1621">
        <v>0.3</v>
      </c>
      <c r="S145" s="1621">
        <v>0.3</v>
      </c>
      <c r="T145" s="1622">
        <v>0.3</v>
      </c>
      <c r="U145" s="1621">
        <v>0.3</v>
      </c>
      <c r="V145" s="1621">
        <v>0.3</v>
      </c>
      <c r="W145" s="1867"/>
      <c r="X145" s="1713"/>
      <c r="Y145" s="1713"/>
    </row>
    <row r="146" spans="1:26" s="1603" customFormat="1">
      <c r="A146"/>
      <c r="B146" s="1595">
        <f t="shared" si="30"/>
        <v>2</v>
      </c>
      <c r="C146" s="1687" t="str">
        <f t="shared" si="31"/>
        <v>非再生性資源の使用量削減</v>
      </c>
      <c r="D146" s="1606" t="e">
        <f>SUM(D147:D152)</f>
        <v>#DIV/0!</v>
      </c>
      <c r="E146" s="1606" t="e">
        <f>SUM(E147:E152)</f>
        <v>#DIV/0!</v>
      </c>
      <c r="F146" s="1557"/>
      <c r="G146" s="1607" t="e">
        <f t="shared" si="32"/>
        <v>#DIV/0!</v>
      </c>
      <c r="H146" s="1607" t="e">
        <f t="shared" si="33"/>
        <v>#DIV/0!</v>
      </c>
      <c r="I146" s="1599"/>
      <c r="J146" s="1639">
        <v>2</v>
      </c>
      <c r="K146" s="1742" t="s">
        <v>367</v>
      </c>
      <c r="L146" s="1785" t="s">
        <v>763</v>
      </c>
      <c r="M146" s="1709">
        <v>0.6</v>
      </c>
      <c r="N146" s="1709">
        <v>0.6</v>
      </c>
      <c r="O146" s="1709">
        <v>0.6</v>
      </c>
      <c r="P146" s="1709">
        <v>0.6</v>
      </c>
      <c r="Q146" s="1709">
        <v>0.6</v>
      </c>
      <c r="R146" s="1709">
        <v>0.6</v>
      </c>
      <c r="S146" s="1709">
        <v>0.6</v>
      </c>
      <c r="T146" s="1709">
        <v>0.6</v>
      </c>
      <c r="U146" s="1709">
        <v>0.6</v>
      </c>
      <c r="V146" s="1709">
        <v>0.6</v>
      </c>
      <c r="W146" s="2095"/>
      <c r="X146" s="2096"/>
      <c r="Y146" s="2096"/>
      <c r="Z146" s="1683"/>
    </row>
    <row r="147" spans="1:26">
      <c r="B147" s="1595" t="str">
        <f t="shared" si="30"/>
        <v>2.1</v>
      </c>
      <c r="C147" s="1645" t="str">
        <f t="shared" si="31"/>
        <v>材料使用量の削減</v>
      </c>
      <c r="D147" s="1613" t="e">
        <f>G$146*G147</f>
        <v>#DIV/0!</v>
      </c>
      <c r="E147" s="1613" t="e">
        <f>H$146*H147</f>
        <v>#DIV/0!</v>
      </c>
      <c r="F147" s="1557"/>
      <c r="G147" s="1614" t="e">
        <f t="shared" si="32"/>
        <v>#DIV/0!</v>
      </c>
      <c r="H147" s="1614" t="e">
        <f t="shared" si="33"/>
        <v>#DIV/0!</v>
      </c>
      <c r="I147" s="1569"/>
      <c r="J147" s="1645" t="s">
        <v>1505</v>
      </c>
      <c r="K147" s="1742" t="s">
        <v>370</v>
      </c>
      <c r="L147" s="2061" t="s">
        <v>764</v>
      </c>
      <c r="M147" s="2084">
        <v>0.1</v>
      </c>
      <c r="N147" s="2084">
        <v>0.1</v>
      </c>
      <c r="O147" s="2084">
        <v>0.1</v>
      </c>
      <c r="P147" s="2084">
        <v>0.1</v>
      </c>
      <c r="Q147" s="2084">
        <v>0.1</v>
      </c>
      <c r="R147" s="2084">
        <v>0.1</v>
      </c>
      <c r="S147" s="2084">
        <v>0.1</v>
      </c>
      <c r="T147" s="2084">
        <v>0.1</v>
      </c>
      <c r="U147" s="2084">
        <v>0.1</v>
      </c>
      <c r="V147" s="2084">
        <v>0.1</v>
      </c>
      <c r="W147" s="2097"/>
      <c r="X147" s="2096"/>
      <c r="Y147" s="2096"/>
    </row>
    <row r="148" spans="1:26">
      <c r="B148" s="1595" t="str">
        <f t="shared" si="30"/>
        <v>2.2</v>
      </c>
      <c r="C148" s="1645" t="str">
        <f t="shared" si="31"/>
        <v>既存建築躯体等の継続使用</v>
      </c>
      <c r="D148" s="1613" t="e">
        <f>G$146*G148</f>
        <v>#DIV/0!</v>
      </c>
      <c r="E148" s="1613" t="e">
        <f>H$146*H$147*H148</f>
        <v>#DIV/0!</v>
      </c>
      <c r="F148" s="1557"/>
      <c r="G148" s="1614" t="e">
        <f t="shared" si="32"/>
        <v>#DIV/0!</v>
      </c>
      <c r="H148" s="1614" t="e">
        <f t="shared" si="33"/>
        <v>#DIV/0!</v>
      </c>
      <c r="I148" s="1569"/>
      <c r="J148" s="1645" t="s">
        <v>1507</v>
      </c>
      <c r="K148" s="1691" t="s">
        <v>370</v>
      </c>
      <c r="L148" s="1735" t="s">
        <v>765</v>
      </c>
      <c r="M148" s="1621">
        <v>0.2</v>
      </c>
      <c r="N148" s="1621">
        <v>0.2</v>
      </c>
      <c r="O148" s="1621">
        <v>0.2</v>
      </c>
      <c r="P148" s="1621">
        <v>0.2</v>
      </c>
      <c r="Q148" s="1621">
        <v>0.2</v>
      </c>
      <c r="R148" s="1621">
        <v>0.2</v>
      </c>
      <c r="S148" s="1621">
        <v>0.2</v>
      </c>
      <c r="T148" s="1621">
        <v>0.2</v>
      </c>
      <c r="U148" s="1621">
        <v>0.2</v>
      </c>
      <c r="V148" s="1621">
        <v>0.2</v>
      </c>
      <c r="W148" s="1867"/>
      <c r="X148" s="1713"/>
      <c r="Y148" s="1713"/>
    </row>
    <row r="149" spans="1:26">
      <c r="B149" s="1595" t="str">
        <f t="shared" si="30"/>
        <v>2.3</v>
      </c>
      <c r="C149" s="1645" t="str">
        <f t="shared" si="31"/>
        <v>躯体材料におけるリサイクル材の使用</v>
      </c>
      <c r="D149" s="1613" t="e">
        <f>G$146*G149</f>
        <v>#DIV/0!</v>
      </c>
      <c r="E149" s="1613" t="e">
        <f>H$146*H$147*H149</f>
        <v>#DIV/0!</v>
      </c>
      <c r="F149" s="1557"/>
      <c r="G149" s="1614" t="e">
        <f t="shared" si="32"/>
        <v>#DIV/0!</v>
      </c>
      <c r="H149" s="1614" t="e">
        <f t="shared" si="33"/>
        <v>#DIV/0!</v>
      </c>
      <c r="I149" s="1569"/>
      <c r="J149" s="1645" t="s">
        <v>1529</v>
      </c>
      <c r="K149" s="1691" t="s">
        <v>370</v>
      </c>
      <c r="L149" s="1735" t="s">
        <v>767</v>
      </c>
      <c r="M149" s="1621">
        <v>0.2</v>
      </c>
      <c r="N149" s="1621">
        <v>0.2</v>
      </c>
      <c r="O149" s="1621">
        <v>0.2</v>
      </c>
      <c r="P149" s="1621">
        <v>0.2</v>
      </c>
      <c r="Q149" s="1621">
        <v>0.2</v>
      </c>
      <c r="R149" s="1621">
        <v>0.2</v>
      </c>
      <c r="S149" s="1621">
        <v>0.2</v>
      </c>
      <c r="T149" s="1621">
        <v>0.2</v>
      </c>
      <c r="U149" s="1621">
        <v>0.2</v>
      </c>
      <c r="V149" s="1621">
        <v>0.2</v>
      </c>
      <c r="W149" s="1867"/>
      <c r="X149" s="1713"/>
      <c r="Y149" s="1713"/>
    </row>
    <row r="150" spans="1:26">
      <c r="B150" s="1595" t="str">
        <f t="shared" si="30"/>
        <v>2.4</v>
      </c>
      <c r="C150" s="1612" t="str">
        <f t="shared" si="31"/>
        <v>躯体材料以外におけるリサイクル材の使用</v>
      </c>
      <c r="D150" s="1613" t="e">
        <f>G$146*G150</f>
        <v>#DIV/0!</v>
      </c>
      <c r="E150" s="1613" t="e">
        <f>H$146*H150</f>
        <v>#DIV/0!</v>
      </c>
      <c r="F150" s="1557"/>
      <c r="G150" s="1614" t="e">
        <f t="shared" si="32"/>
        <v>#DIV/0!</v>
      </c>
      <c r="H150" s="1614" t="e">
        <f t="shared" si="33"/>
        <v>#DIV/0!</v>
      </c>
      <c r="I150" s="1569"/>
      <c r="J150" s="1645" t="s">
        <v>1530</v>
      </c>
      <c r="K150" s="1691" t="s">
        <v>370</v>
      </c>
      <c r="L150" s="1735" t="s">
        <v>1531</v>
      </c>
      <c r="M150" s="1621">
        <v>0.2</v>
      </c>
      <c r="N150" s="1621">
        <v>0.2</v>
      </c>
      <c r="O150" s="1621">
        <v>0.2</v>
      </c>
      <c r="P150" s="1621">
        <v>0.2</v>
      </c>
      <c r="Q150" s="1621">
        <v>0.2</v>
      </c>
      <c r="R150" s="1621">
        <v>0.2</v>
      </c>
      <c r="S150" s="1621">
        <v>0.2</v>
      </c>
      <c r="T150" s="1621">
        <v>0.2</v>
      </c>
      <c r="U150" s="1621">
        <v>0.2</v>
      </c>
      <c r="V150" s="1621">
        <v>0.2</v>
      </c>
      <c r="W150" s="1867"/>
      <c r="X150" s="1713"/>
      <c r="Y150" s="1713"/>
    </row>
    <row r="151" spans="1:26">
      <c r="B151" s="1595" t="str">
        <f t="shared" si="30"/>
        <v>2.5</v>
      </c>
      <c r="C151" s="1612" t="str">
        <f t="shared" si="31"/>
        <v>持続可能な森林から産出された木材</v>
      </c>
      <c r="D151" s="1613" t="e">
        <f>G$146*G151</f>
        <v>#DIV/0!</v>
      </c>
      <c r="E151" s="1613" t="e">
        <f>H$146*H151</f>
        <v>#DIV/0!</v>
      </c>
      <c r="F151" s="1557"/>
      <c r="G151" s="1614" t="e">
        <f t="shared" si="32"/>
        <v>#DIV/0!</v>
      </c>
      <c r="H151" s="1614" t="e">
        <f t="shared" si="33"/>
        <v>#DIV/0!</v>
      </c>
      <c r="I151" s="1569"/>
      <c r="J151" s="1645" t="s">
        <v>1532</v>
      </c>
      <c r="K151" s="1691" t="s">
        <v>370</v>
      </c>
      <c r="L151" s="2061" t="s">
        <v>1533</v>
      </c>
      <c r="M151" s="1621">
        <v>0.1</v>
      </c>
      <c r="N151" s="1621">
        <v>0.1</v>
      </c>
      <c r="O151" s="1621">
        <v>0.1</v>
      </c>
      <c r="P151" s="1621">
        <v>0.1</v>
      </c>
      <c r="Q151" s="1621">
        <v>0.1</v>
      </c>
      <c r="R151" s="1621">
        <v>0.1</v>
      </c>
      <c r="S151" s="1621">
        <v>0.1</v>
      </c>
      <c r="T151" s="1621">
        <v>0.1</v>
      </c>
      <c r="U151" s="1621">
        <v>0.1</v>
      </c>
      <c r="V151" s="1621">
        <v>0.1</v>
      </c>
      <c r="W151" s="1867"/>
      <c r="X151" s="1713"/>
      <c r="Y151" s="1713"/>
    </row>
    <row r="152" spans="1:26">
      <c r="B152" s="1595" t="str">
        <f t="shared" si="30"/>
        <v>2.6</v>
      </c>
      <c r="C152" s="1645" t="str">
        <f t="shared" si="31"/>
        <v>部材の再利用可能性向上への取組</v>
      </c>
      <c r="D152" s="1613" t="e">
        <f>G$146*G152</f>
        <v>#DIV/0!</v>
      </c>
      <c r="E152" s="1613" t="e">
        <f>H$146*H152</f>
        <v>#DIV/0!</v>
      </c>
      <c r="F152" s="1557"/>
      <c r="G152" s="1614" t="e">
        <f t="shared" si="32"/>
        <v>#DIV/0!</v>
      </c>
      <c r="H152" s="1614" t="e">
        <f t="shared" si="33"/>
        <v>#DIV/0!</v>
      </c>
      <c r="I152" s="1569"/>
      <c r="J152" s="1645" t="s">
        <v>1534</v>
      </c>
      <c r="K152" s="1691" t="s">
        <v>370</v>
      </c>
      <c r="L152" s="1735" t="s">
        <v>1809</v>
      </c>
      <c r="M152" s="1621">
        <v>0.2</v>
      </c>
      <c r="N152" s="1621">
        <v>0.2</v>
      </c>
      <c r="O152" s="1621">
        <v>0.2</v>
      </c>
      <c r="P152" s="1621">
        <v>0.2</v>
      </c>
      <c r="Q152" s="1621">
        <v>0.2</v>
      </c>
      <c r="R152" s="1621">
        <v>0.2</v>
      </c>
      <c r="S152" s="1621">
        <v>0.2</v>
      </c>
      <c r="T152" s="1621">
        <v>0.2</v>
      </c>
      <c r="U152" s="1621">
        <v>0.2</v>
      </c>
      <c r="V152" s="1621">
        <v>0.2</v>
      </c>
      <c r="W152" s="1867"/>
      <c r="X152" s="1713"/>
      <c r="Y152" s="1713"/>
    </row>
    <row r="153" spans="1:26" s="1603" customFormat="1">
      <c r="A153"/>
      <c r="B153" s="1595">
        <f t="shared" si="30"/>
        <v>3</v>
      </c>
      <c r="C153" s="1687" t="str">
        <f t="shared" si="31"/>
        <v>汚染物質含有材料の使用回避</v>
      </c>
      <c r="D153" s="1606" t="e">
        <f>SUM(D154:D158)</f>
        <v>#DIV/0!</v>
      </c>
      <c r="E153" s="1606" t="e">
        <f>SUM(E154:E158)</f>
        <v>#DIV/0!</v>
      </c>
      <c r="F153" s="1557"/>
      <c r="G153" s="1607" t="e">
        <f t="shared" si="32"/>
        <v>#DIV/0!</v>
      </c>
      <c r="H153" s="1607" t="e">
        <f t="shared" si="33"/>
        <v>#DIV/0!</v>
      </c>
      <c r="I153" s="1599"/>
      <c r="J153" s="1639">
        <v>3</v>
      </c>
      <c r="K153" s="1742" t="s">
        <v>367</v>
      </c>
      <c r="L153" s="1785" t="s">
        <v>769</v>
      </c>
      <c r="M153" s="1709">
        <v>0.2</v>
      </c>
      <c r="N153" s="1709">
        <v>0.2</v>
      </c>
      <c r="O153" s="1709">
        <v>0.2</v>
      </c>
      <c r="P153" s="1709">
        <v>0.2</v>
      </c>
      <c r="Q153" s="1709">
        <v>0.2</v>
      </c>
      <c r="R153" s="1709">
        <v>0.2</v>
      </c>
      <c r="S153" s="1709">
        <v>0.2</v>
      </c>
      <c r="T153" s="1709">
        <v>0.2</v>
      </c>
      <c r="U153" s="1709">
        <v>0.2</v>
      </c>
      <c r="V153" s="1709">
        <v>0.2</v>
      </c>
      <c r="W153" s="2095">
        <v>0</v>
      </c>
      <c r="X153" s="2096">
        <v>0</v>
      </c>
      <c r="Y153" s="2096">
        <v>0</v>
      </c>
      <c r="Z153" s="1683"/>
    </row>
    <row r="154" spans="1:26">
      <c r="B154" s="1595" t="str">
        <f t="shared" si="30"/>
        <v>3.1</v>
      </c>
      <c r="C154" s="1645" t="str">
        <f t="shared" si="31"/>
        <v>有害物質を含まない材料の使用</v>
      </c>
      <c r="D154" s="1613" t="e">
        <f>G$153*G154</f>
        <v>#DIV/0!</v>
      </c>
      <c r="E154" s="1613" t="e">
        <f>H$153*H154</f>
        <v>#DIV/0!</v>
      </c>
      <c r="F154" s="1557"/>
      <c r="G154" s="1614" t="e">
        <f t="shared" si="32"/>
        <v>#DIV/0!</v>
      </c>
      <c r="H154" s="1614" t="e">
        <f t="shared" si="33"/>
        <v>#DIV/0!</v>
      </c>
      <c r="I154" s="1569"/>
      <c r="J154" s="1645" t="s">
        <v>1492</v>
      </c>
      <c r="K154" s="1691" t="s">
        <v>371</v>
      </c>
      <c r="L154" s="1735" t="s">
        <v>770</v>
      </c>
      <c r="M154" s="1621">
        <v>0.3</v>
      </c>
      <c r="N154" s="1621">
        <v>0.3</v>
      </c>
      <c r="O154" s="1621">
        <v>0.3</v>
      </c>
      <c r="P154" s="1621">
        <v>0.3</v>
      </c>
      <c r="Q154" s="1621">
        <v>0.3</v>
      </c>
      <c r="R154" s="1621">
        <v>0.3</v>
      </c>
      <c r="S154" s="1621">
        <v>0.3</v>
      </c>
      <c r="T154" s="1621">
        <v>0.3</v>
      </c>
      <c r="U154" s="1621">
        <v>0.3</v>
      </c>
      <c r="V154" s="1621">
        <v>0.3</v>
      </c>
      <c r="W154" s="1867">
        <v>0</v>
      </c>
      <c r="X154" s="1713">
        <v>0</v>
      </c>
      <c r="Y154" s="1713">
        <v>0</v>
      </c>
    </row>
    <row r="155" spans="1:26">
      <c r="B155" s="1595" t="str">
        <f t="shared" si="30"/>
        <v>3.2</v>
      </c>
      <c r="C155" s="1645" t="str">
        <f t="shared" si="31"/>
        <v>フロン・ハロンの回避</v>
      </c>
      <c r="D155" s="1613"/>
      <c r="E155" s="1613"/>
      <c r="F155" s="1557"/>
      <c r="G155" s="1614" t="e">
        <f t="shared" si="32"/>
        <v>#DIV/0!</v>
      </c>
      <c r="H155" s="1614" t="e">
        <f t="shared" si="33"/>
        <v>#DIV/0!</v>
      </c>
      <c r="I155" s="1569"/>
      <c r="J155" s="1645" t="s">
        <v>1494</v>
      </c>
      <c r="K155" s="1691" t="s">
        <v>371</v>
      </c>
      <c r="L155" s="1735" t="s">
        <v>771</v>
      </c>
      <c r="M155" s="1621">
        <v>0.7</v>
      </c>
      <c r="N155" s="1621">
        <v>0.7</v>
      </c>
      <c r="O155" s="1621">
        <v>0.7</v>
      </c>
      <c r="P155" s="1621">
        <v>0.7</v>
      </c>
      <c r="Q155" s="1621">
        <v>0.7</v>
      </c>
      <c r="R155" s="1621">
        <v>0.7</v>
      </c>
      <c r="S155" s="1621">
        <v>0.7</v>
      </c>
      <c r="T155" s="1621">
        <v>0.7</v>
      </c>
      <c r="U155" s="1621">
        <v>0.7</v>
      </c>
      <c r="V155" s="1621">
        <v>0.7</v>
      </c>
      <c r="W155" s="1867">
        <v>0</v>
      </c>
      <c r="X155" s="1713">
        <v>0</v>
      </c>
      <c r="Y155" s="1713">
        <v>0</v>
      </c>
    </row>
    <row r="156" spans="1:26">
      <c r="B156" s="1595" t="str">
        <f t="shared" si="30"/>
        <v>3.2.1</v>
      </c>
      <c r="C156" s="1612" t="str">
        <f t="shared" si="31"/>
        <v>消火剤</v>
      </c>
      <c r="D156" s="1613" t="e">
        <f t="shared" ref="D156:E158" si="34">G$153*G$155*G156</f>
        <v>#DIV/0!</v>
      </c>
      <c r="E156" s="1613" t="e">
        <f t="shared" si="34"/>
        <v>#DIV/0!</v>
      </c>
      <c r="F156" s="1557"/>
      <c r="G156" s="1614" t="e">
        <f t="shared" si="32"/>
        <v>#DIV/0!</v>
      </c>
      <c r="H156" s="1614" t="e">
        <f t="shared" si="33"/>
        <v>#DIV/0!</v>
      </c>
      <c r="I156" s="1569"/>
      <c r="J156" s="1645" t="s">
        <v>1535</v>
      </c>
      <c r="K156" s="1691" t="s">
        <v>372</v>
      </c>
      <c r="L156" s="2061" t="s">
        <v>1537</v>
      </c>
      <c r="M156" s="1621">
        <v>0.33333333333333331</v>
      </c>
      <c r="N156" s="1621">
        <v>0.33333333333333331</v>
      </c>
      <c r="O156" s="1621">
        <v>0.33333333333333331</v>
      </c>
      <c r="P156" s="1621">
        <v>0.33333333333333331</v>
      </c>
      <c r="Q156" s="1621">
        <v>0.33333333333333331</v>
      </c>
      <c r="R156" s="1621">
        <v>0.33333333333333331</v>
      </c>
      <c r="S156" s="1621">
        <v>0.33333333333333331</v>
      </c>
      <c r="T156" s="1621">
        <v>0.33333333333333331</v>
      </c>
      <c r="U156" s="1621">
        <v>0.33333333333333331</v>
      </c>
      <c r="V156" s="1621">
        <v>0.33333333333333331</v>
      </c>
      <c r="W156" s="1867">
        <v>0</v>
      </c>
      <c r="X156" s="1713">
        <v>0</v>
      </c>
      <c r="Y156" s="1713">
        <v>0</v>
      </c>
    </row>
    <row r="157" spans="1:26">
      <c r="B157" s="1595" t="str">
        <f t="shared" si="30"/>
        <v>3.2.2</v>
      </c>
      <c r="C157" s="1612" t="str">
        <f t="shared" si="31"/>
        <v>発泡剤（断熱材等）</v>
      </c>
      <c r="D157" s="1613" t="e">
        <f t="shared" si="34"/>
        <v>#DIV/0!</v>
      </c>
      <c r="E157" s="1613" t="e">
        <f t="shared" si="34"/>
        <v>#DIV/0!</v>
      </c>
      <c r="F157" s="1557"/>
      <c r="G157" s="1614" t="e">
        <f t="shared" si="32"/>
        <v>#DIV/0!</v>
      </c>
      <c r="H157" s="1614" t="e">
        <f t="shared" si="33"/>
        <v>#DIV/0!</v>
      </c>
      <c r="I157" s="1569"/>
      <c r="J157" s="1645" t="s">
        <v>1538</v>
      </c>
      <c r="K157" s="1691" t="s">
        <v>372</v>
      </c>
      <c r="L157" s="2061" t="s">
        <v>902</v>
      </c>
      <c r="M157" s="1621">
        <v>0.33333333333333331</v>
      </c>
      <c r="N157" s="1621">
        <v>0.33333333333333331</v>
      </c>
      <c r="O157" s="1621">
        <v>0.33333333333333331</v>
      </c>
      <c r="P157" s="1621">
        <v>0.33333333333333331</v>
      </c>
      <c r="Q157" s="1621">
        <v>0.33333333333333331</v>
      </c>
      <c r="R157" s="1621">
        <v>0.33333333333333331</v>
      </c>
      <c r="S157" s="1621">
        <v>0.33333333333333331</v>
      </c>
      <c r="T157" s="1621">
        <v>0.33333333333333331</v>
      </c>
      <c r="U157" s="1621">
        <v>0.33333333333333331</v>
      </c>
      <c r="V157" s="1621">
        <v>0.33333333333333331</v>
      </c>
      <c r="W157" s="1867">
        <v>0</v>
      </c>
      <c r="X157" s="1713">
        <v>0</v>
      </c>
      <c r="Y157" s="1713">
        <v>0</v>
      </c>
    </row>
    <row r="158" spans="1:26">
      <c r="B158" s="1595" t="str">
        <f t="shared" si="30"/>
        <v>3.2.3</v>
      </c>
      <c r="C158" s="1612" t="str">
        <f t="shared" si="31"/>
        <v>冷媒</v>
      </c>
      <c r="D158" s="1613" t="e">
        <f t="shared" si="34"/>
        <v>#DIV/0!</v>
      </c>
      <c r="E158" s="1613" t="e">
        <f t="shared" si="34"/>
        <v>#DIV/0!</v>
      </c>
      <c r="F158" s="1557"/>
      <c r="G158" s="1614" t="e">
        <f t="shared" si="32"/>
        <v>#DIV/0!</v>
      </c>
      <c r="H158" s="1614" t="e">
        <f t="shared" si="33"/>
        <v>#DIV/0!</v>
      </c>
      <c r="I158" s="1569"/>
      <c r="J158" s="1645" t="s">
        <v>1541</v>
      </c>
      <c r="K158" s="1691" t="s">
        <v>372</v>
      </c>
      <c r="L158" s="2061" t="s">
        <v>374</v>
      </c>
      <c r="M158" s="1621">
        <v>0.33333333333333331</v>
      </c>
      <c r="N158" s="1621">
        <v>0.33333333333333331</v>
      </c>
      <c r="O158" s="1621">
        <v>0.33333333333333331</v>
      </c>
      <c r="P158" s="1621">
        <v>0.33333333333333331</v>
      </c>
      <c r="Q158" s="1621">
        <v>0.33333333333333331</v>
      </c>
      <c r="R158" s="1621">
        <v>0.33333333333333331</v>
      </c>
      <c r="S158" s="1621">
        <v>0.33333333333333331</v>
      </c>
      <c r="T158" s="1621">
        <v>0.33333333333333331</v>
      </c>
      <c r="U158" s="1621">
        <v>0.33333333333333331</v>
      </c>
      <c r="V158" s="1621">
        <v>0.33333333333333331</v>
      </c>
      <c r="W158" s="1867">
        <v>0</v>
      </c>
      <c r="X158" s="1713">
        <v>0</v>
      </c>
      <c r="Y158" s="1713">
        <v>0</v>
      </c>
    </row>
    <row r="159" spans="1:26" s="1603" customFormat="1">
      <c r="A159"/>
      <c r="B159" s="1595" t="str">
        <f t="shared" si="30"/>
        <v>LR3</v>
      </c>
      <c r="C159" s="1596" t="str">
        <f t="shared" si="31"/>
        <v>敷地外環境</v>
      </c>
      <c r="D159" s="1597" t="e">
        <f>G159</f>
        <v>#DIV/0!</v>
      </c>
      <c r="E159" s="1597" t="e">
        <f>H159</f>
        <v>#DIV/0!</v>
      </c>
      <c r="F159" s="1557"/>
      <c r="G159" s="1598" t="e">
        <f t="shared" si="32"/>
        <v>#DIV/0!</v>
      </c>
      <c r="H159" s="1598" t="e">
        <f t="shared" si="33"/>
        <v>#DIV/0!</v>
      </c>
      <c r="I159" s="1599"/>
      <c r="J159" s="1596" t="s">
        <v>1542</v>
      </c>
      <c r="K159" s="2091" t="s">
        <v>1500</v>
      </c>
      <c r="L159" s="2055" t="s">
        <v>1543</v>
      </c>
      <c r="M159" s="2057">
        <v>0.3</v>
      </c>
      <c r="N159" s="2057">
        <v>0.3</v>
      </c>
      <c r="O159" s="2057">
        <v>0.3</v>
      </c>
      <c r="P159" s="2057">
        <v>0.3</v>
      </c>
      <c r="Q159" s="2057">
        <v>0.3</v>
      </c>
      <c r="R159" s="2057">
        <v>0.3</v>
      </c>
      <c r="S159" s="2057">
        <v>0.3</v>
      </c>
      <c r="T159" s="2057">
        <v>0.3</v>
      </c>
      <c r="U159" s="2057">
        <v>0.3</v>
      </c>
      <c r="V159" s="2057">
        <v>0.3</v>
      </c>
      <c r="W159" s="2093">
        <v>0</v>
      </c>
      <c r="X159" s="2094">
        <v>0</v>
      </c>
      <c r="Y159" s="2094">
        <v>0</v>
      </c>
      <c r="Z159" s="1683"/>
    </row>
    <row r="160" spans="1:26" s="1603" customFormat="1">
      <c r="A160"/>
      <c r="B160" s="2056">
        <f t="shared" si="30"/>
        <v>1</v>
      </c>
      <c r="C160" s="1639" t="str">
        <f t="shared" si="31"/>
        <v>地球温暖化への配慮</v>
      </c>
      <c r="D160" s="1606" t="e">
        <f>G160</f>
        <v>#DIV/0!</v>
      </c>
      <c r="E160" s="1606" t="e">
        <f>H160</f>
        <v>#DIV/0!</v>
      </c>
      <c r="F160" s="1557"/>
      <c r="G160" s="1607" t="e">
        <f t="shared" si="32"/>
        <v>#DIV/0!</v>
      </c>
      <c r="H160" s="1607" t="e">
        <f t="shared" si="33"/>
        <v>#DIV/0!</v>
      </c>
      <c r="I160" s="1599"/>
      <c r="J160" s="1639">
        <v>1</v>
      </c>
      <c r="K160" s="1742" t="s">
        <v>375</v>
      </c>
      <c r="L160" s="1778" t="s">
        <v>1101</v>
      </c>
      <c r="M160" s="1709">
        <v>0.33333333333333331</v>
      </c>
      <c r="N160" s="1709">
        <v>0.33333333333333331</v>
      </c>
      <c r="O160" s="1709">
        <v>0.33333333333333331</v>
      </c>
      <c r="P160" s="1709">
        <v>0.33333333333333331</v>
      </c>
      <c r="Q160" s="1709">
        <v>0.33333333333333331</v>
      </c>
      <c r="R160" s="1709">
        <v>0.33333333333333331</v>
      </c>
      <c r="S160" s="1709">
        <v>0.33333333333333331</v>
      </c>
      <c r="T160" s="1709">
        <v>0.33333333333333331</v>
      </c>
      <c r="U160" s="1709">
        <v>0.33333333333333331</v>
      </c>
      <c r="V160" s="1709">
        <v>0.33333333333333331</v>
      </c>
      <c r="W160" s="2060">
        <v>0</v>
      </c>
      <c r="X160" s="1709">
        <v>0</v>
      </c>
      <c r="Y160" s="1709">
        <v>0</v>
      </c>
      <c r="Z160" s="1683"/>
    </row>
    <row r="161" spans="1:26" s="1603" customFormat="1">
      <c r="A161"/>
      <c r="B161" s="1595">
        <f t="shared" si="30"/>
        <v>2</v>
      </c>
      <c r="C161" s="1639" t="str">
        <f t="shared" si="31"/>
        <v>地域環境への配慮</v>
      </c>
      <c r="D161" s="1606" t="e">
        <f>SUM(D162:D168)</f>
        <v>#DIV/0!</v>
      </c>
      <c r="E161" s="1606" t="e">
        <f>SUM(E162:E168)</f>
        <v>#DIV/0!</v>
      </c>
      <c r="F161" s="1557"/>
      <c r="G161" s="1607" t="e">
        <f t="shared" si="32"/>
        <v>#DIV/0!</v>
      </c>
      <c r="H161" s="1607" t="e">
        <f t="shared" si="33"/>
        <v>#DIV/0!</v>
      </c>
      <c r="I161" s="1599"/>
      <c r="J161" s="1639">
        <v>2</v>
      </c>
      <c r="K161" s="1742" t="s">
        <v>375</v>
      </c>
      <c r="L161" s="1778" t="s">
        <v>1102</v>
      </c>
      <c r="M161" s="1709">
        <v>0.33333333333333331</v>
      </c>
      <c r="N161" s="1709">
        <v>0.33333333333333331</v>
      </c>
      <c r="O161" s="1709">
        <v>0.33333333333333331</v>
      </c>
      <c r="P161" s="1709">
        <v>0.33333333333333331</v>
      </c>
      <c r="Q161" s="1709">
        <v>0.33333333333333331</v>
      </c>
      <c r="R161" s="1709">
        <v>0.33333333333333331</v>
      </c>
      <c r="S161" s="1709">
        <v>0.33333333333333331</v>
      </c>
      <c r="T161" s="1709">
        <v>0.33333333333333331</v>
      </c>
      <c r="U161" s="1709">
        <v>0.33333333333333331</v>
      </c>
      <c r="V161" s="1709">
        <v>0.33333333333333331</v>
      </c>
      <c r="W161" s="2060">
        <v>0</v>
      </c>
      <c r="X161" s="1709">
        <v>0</v>
      </c>
      <c r="Y161" s="1709">
        <v>0</v>
      </c>
      <c r="Z161" s="1683"/>
    </row>
    <row r="162" spans="1:26">
      <c r="B162" s="1595" t="str">
        <f t="shared" si="30"/>
        <v>2.1</v>
      </c>
      <c r="C162" s="1732" t="str">
        <f t="shared" si="31"/>
        <v>大気汚染防止</v>
      </c>
      <c r="D162" s="1613" t="e">
        <f>G$161*G162</f>
        <v>#DIV/0!</v>
      </c>
      <c r="E162" s="1613" t="e">
        <f>H$161*H162</f>
        <v>#DIV/0!</v>
      </c>
      <c r="F162" s="1557"/>
      <c r="G162" s="1689" t="e">
        <f t="shared" si="32"/>
        <v>#DIV/0!</v>
      </c>
      <c r="H162" s="1689" t="e">
        <f t="shared" si="33"/>
        <v>#DIV/0!</v>
      </c>
      <c r="I162" s="1690"/>
      <c r="J162" s="1628" t="s">
        <v>1505</v>
      </c>
      <c r="K162" s="1691" t="s">
        <v>376</v>
      </c>
      <c r="L162" s="1735" t="s">
        <v>1103</v>
      </c>
      <c r="M162" s="1621">
        <v>0.25</v>
      </c>
      <c r="N162" s="1621">
        <v>0.25</v>
      </c>
      <c r="O162" s="1621">
        <v>0.25</v>
      </c>
      <c r="P162" s="1621">
        <v>0.25</v>
      </c>
      <c r="Q162" s="1621">
        <v>0.25</v>
      </c>
      <c r="R162" s="1621">
        <v>0.25</v>
      </c>
      <c r="S162" s="1621">
        <v>0.25</v>
      </c>
      <c r="T162" s="1621">
        <v>0.25</v>
      </c>
      <c r="U162" s="1621">
        <v>0.25</v>
      </c>
      <c r="V162" s="1621">
        <v>0.25</v>
      </c>
      <c r="W162" s="1623"/>
      <c r="X162" s="1621"/>
      <c r="Y162" s="1621"/>
    </row>
    <row r="163" spans="1:26">
      <c r="B163" s="1595" t="str">
        <f t="shared" si="30"/>
        <v>2.2</v>
      </c>
      <c r="C163" s="1732" t="str">
        <f t="shared" si="31"/>
        <v>温熱環境悪化の改善</v>
      </c>
      <c r="D163" s="1613" t="e">
        <f>G$161*G163</f>
        <v>#DIV/0!</v>
      </c>
      <c r="E163" s="1613" t="e">
        <f>H$161*H163</f>
        <v>#DIV/0!</v>
      </c>
      <c r="F163" s="1557"/>
      <c r="G163" s="1689" t="e">
        <f t="shared" si="32"/>
        <v>#DIV/0!</v>
      </c>
      <c r="H163" s="1689" t="e">
        <f t="shared" si="33"/>
        <v>#DIV/0!</v>
      </c>
      <c r="I163" s="1690"/>
      <c r="J163" s="1628" t="s">
        <v>1507</v>
      </c>
      <c r="K163" s="1691" t="s">
        <v>376</v>
      </c>
      <c r="L163" s="1735" t="s">
        <v>1667</v>
      </c>
      <c r="M163" s="2084">
        <v>0.5</v>
      </c>
      <c r="N163" s="2084">
        <v>0.5</v>
      </c>
      <c r="O163" s="2084">
        <v>0.5</v>
      </c>
      <c r="P163" s="2084">
        <v>0.5</v>
      </c>
      <c r="Q163" s="2084">
        <v>0.5</v>
      </c>
      <c r="R163" s="2084">
        <v>0.5</v>
      </c>
      <c r="S163" s="2084">
        <v>0.5</v>
      </c>
      <c r="T163" s="2084">
        <v>0.5</v>
      </c>
      <c r="U163" s="2084">
        <v>0.5</v>
      </c>
      <c r="V163" s="2084">
        <v>0.5</v>
      </c>
      <c r="W163" s="2085"/>
      <c r="X163" s="2084"/>
      <c r="Y163" s="2084"/>
    </row>
    <row r="164" spans="1:26">
      <c r="B164" s="1595" t="str">
        <f t="shared" si="30"/>
        <v>2.3</v>
      </c>
      <c r="C164" s="1732" t="str">
        <f t="shared" si="31"/>
        <v>地域インフラへの負荷抑制</v>
      </c>
      <c r="D164" s="1613"/>
      <c r="E164" s="1613"/>
      <c r="F164" s="1557"/>
      <c r="G164" s="1689" t="e">
        <f t="shared" si="32"/>
        <v>#DIV/0!</v>
      </c>
      <c r="H164" s="1689" t="e">
        <f t="shared" si="33"/>
        <v>#DIV/0!</v>
      </c>
      <c r="I164" s="1690"/>
      <c r="J164" s="1628" t="s">
        <v>1529</v>
      </c>
      <c r="K164" s="1691" t="s">
        <v>376</v>
      </c>
      <c r="L164" s="1735" t="s">
        <v>903</v>
      </c>
      <c r="M164" s="2084">
        <v>0.25</v>
      </c>
      <c r="N164" s="2084">
        <v>0.25</v>
      </c>
      <c r="O164" s="2084">
        <v>0.25</v>
      </c>
      <c r="P164" s="2084">
        <v>0.25</v>
      </c>
      <c r="Q164" s="2084">
        <v>0.25</v>
      </c>
      <c r="R164" s="2084">
        <v>0.25</v>
      </c>
      <c r="S164" s="2084">
        <v>0.25</v>
      </c>
      <c r="T164" s="2084">
        <v>0.25</v>
      </c>
      <c r="U164" s="2084">
        <v>0.25</v>
      </c>
      <c r="V164" s="2084">
        <v>0.25</v>
      </c>
      <c r="W164" s="2085"/>
      <c r="X164" s="2084"/>
      <c r="Y164" s="2084"/>
    </row>
    <row r="165" spans="1:26">
      <c r="B165" s="1595" t="str">
        <f t="shared" si="30"/>
        <v>2.3.1</v>
      </c>
      <c r="C165" s="1645" t="str">
        <f t="shared" si="31"/>
        <v>雨水排水負荷低減</v>
      </c>
      <c r="D165" s="1613" t="e">
        <f>G$161*G$164*G165</f>
        <v>#DIV/0!</v>
      </c>
      <c r="E165" s="1613" t="e">
        <f>H$163*H$164*H165</f>
        <v>#DIV/0!</v>
      </c>
      <c r="F165" s="1557"/>
      <c r="G165" s="1689" t="e">
        <f t="shared" si="32"/>
        <v>#DIV/0!</v>
      </c>
      <c r="H165" s="1689" t="e">
        <f t="shared" si="33"/>
        <v>#DIV/0!</v>
      </c>
      <c r="I165" s="512"/>
      <c r="J165" s="1628" t="s">
        <v>1469</v>
      </c>
      <c r="K165" s="1691" t="s">
        <v>377</v>
      </c>
      <c r="L165" s="1692" t="s">
        <v>1668</v>
      </c>
      <c r="M165" s="1621">
        <v>0.25</v>
      </c>
      <c r="N165" s="1621">
        <v>0.25</v>
      </c>
      <c r="O165" s="1621">
        <v>0.25</v>
      </c>
      <c r="P165" s="1621">
        <v>0.25</v>
      </c>
      <c r="Q165" s="1621">
        <v>0.25</v>
      </c>
      <c r="R165" s="1621">
        <v>0.25</v>
      </c>
      <c r="S165" s="1621">
        <v>0.25</v>
      </c>
      <c r="T165" s="1621">
        <v>0.25</v>
      </c>
      <c r="U165" s="1621">
        <v>0.25</v>
      </c>
      <c r="V165" s="1621">
        <v>0.25</v>
      </c>
      <c r="W165" s="2085"/>
      <c r="X165" s="2084"/>
      <c r="Y165" s="2084"/>
    </row>
    <row r="166" spans="1:26">
      <c r="B166" s="1595" t="str">
        <f t="shared" si="30"/>
        <v>2.3.2</v>
      </c>
      <c r="C166" s="1645" t="str">
        <f t="shared" si="31"/>
        <v>汚水処理負荷抑制</v>
      </c>
      <c r="D166" s="1613" t="e">
        <f>G$161*G$164*G166</f>
        <v>#DIV/0!</v>
      </c>
      <c r="E166" s="1613" t="e">
        <f>H$163*H$164*H166</f>
        <v>#DIV/0!</v>
      </c>
      <c r="F166" s="1557"/>
      <c r="G166" s="1689" t="e">
        <f t="shared" si="32"/>
        <v>#DIV/0!</v>
      </c>
      <c r="H166" s="1689" t="e">
        <f t="shared" si="33"/>
        <v>#DIV/0!</v>
      </c>
      <c r="I166" s="512"/>
      <c r="J166" s="1628" t="s">
        <v>1470</v>
      </c>
      <c r="K166" s="1691" t="s">
        <v>377</v>
      </c>
      <c r="L166" s="1692" t="s">
        <v>1669</v>
      </c>
      <c r="M166" s="1621">
        <v>0.25</v>
      </c>
      <c r="N166" s="1621">
        <v>0.25</v>
      </c>
      <c r="O166" s="1621">
        <v>0.25</v>
      </c>
      <c r="P166" s="1621">
        <v>0.25</v>
      </c>
      <c r="Q166" s="1621">
        <v>0.25</v>
      </c>
      <c r="R166" s="1621">
        <v>0.25</v>
      </c>
      <c r="S166" s="1621">
        <v>0.25</v>
      </c>
      <c r="T166" s="1621">
        <v>0.25</v>
      </c>
      <c r="U166" s="1621">
        <v>0.25</v>
      </c>
      <c r="V166" s="1621">
        <v>0.25</v>
      </c>
      <c r="W166" s="2085"/>
      <c r="X166" s="2084"/>
      <c r="Y166" s="2084"/>
    </row>
    <row r="167" spans="1:26">
      <c r="B167" s="1595" t="str">
        <f t="shared" si="30"/>
        <v>2.3.3</v>
      </c>
      <c r="C167" s="1645" t="str">
        <f t="shared" si="31"/>
        <v>交通負荷抑制</v>
      </c>
      <c r="D167" s="1613" t="e">
        <f>G$161*G$164*G167</f>
        <v>#DIV/0!</v>
      </c>
      <c r="E167" s="1613" t="e">
        <f>H$163*H$164*H167</f>
        <v>#DIV/0!</v>
      </c>
      <c r="F167" s="1557"/>
      <c r="G167" s="1689" t="e">
        <f t="shared" si="32"/>
        <v>#DIV/0!</v>
      </c>
      <c r="H167" s="1689" t="e">
        <f t="shared" si="33"/>
        <v>#DIV/0!</v>
      </c>
      <c r="I167" s="512"/>
      <c r="J167" s="1628" t="s">
        <v>1471</v>
      </c>
      <c r="K167" s="1691" t="s">
        <v>377</v>
      </c>
      <c r="L167" s="1692" t="s">
        <v>1104</v>
      </c>
      <c r="M167" s="1621">
        <v>0.25</v>
      </c>
      <c r="N167" s="1621">
        <v>0.25</v>
      </c>
      <c r="O167" s="1621">
        <v>0.25</v>
      </c>
      <c r="P167" s="1621">
        <v>0.25</v>
      </c>
      <c r="Q167" s="1621">
        <v>0.25</v>
      </c>
      <c r="R167" s="1621">
        <v>0.25</v>
      </c>
      <c r="S167" s="1621">
        <v>0.25</v>
      </c>
      <c r="T167" s="1621">
        <v>0.25</v>
      </c>
      <c r="U167" s="1621">
        <v>0.25</v>
      </c>
      <c r="V167" s="1621">
        <v>0.25</v>
      </c>
      <c r="W167" s="2085"/>
      <c r="X167" s="2084"/>
      <c r="Y167" s="2084"/>
    </row>
    <row r="168" spans="1:26">
      <c r="B168" s="1595" t="str">
        <f t="shared" si="30"/>
        <v>2.3.4</v>
      </c>
      <c r="C168" s="1732" t="str">
        <f t="shared" si="31"/>
        <v>廃棄物処理負荷抑制</v>
      </c>
      <c r="D168" s="1613" t="e">
        <f>G$161*G$164*G168</f>
        <v>#DIV/0!</v>
      </c>
      <c r="E168" s="1613" t="e">
        <f>H$163*H$164*H168</f>
        <v>#DIV/0!</v>
      </c>
      <c r="F168" s="1557"/>
      <c r="G168" s="1689" t="e">
        <f t="shared" si="32"/>
        <v>#DIV/0!</v>
      </c>
      <c r="H168" s="1689" t="e">
        <f t="shared" si="33"/>
        <v>#DIV/0!</v>
      </c>
      <c r="I168" s="1690"/>
      <c r="J168" s="1628" t="s">
        <v>1670</v>
      </c>
      <c r="K168" s="1691" t="s">
        <v>377</v>
      </c>
      <c r="L168" s="1693" t="s">
        <v>1105</v>
      </c>
      <c r="M168" s="1621">
        <v>0.25</v>
      </c>
      <c r="N168" s="1621">
        <v>0.25</v>
      </c>
      <c r="O168" s="1621">
        <v>0.25</v>
      </c>
      <c r="P168" s="1621">
        <v>0.25</v>
      </c>
      <c r="Q168" s="1621">
        <v>0.25</v>
      </c>
      <c r="R168" s="1621">
        <v>0.25</v>
      </c>
      <c r="S168" s="1621">
        <v>0.25</v>
      </c>
      <c r="T168" s="1621">
        <v>0.25</v>
      </c>
      <c r="U168" s="1621">
        <v>0.25</v>
      </c>
      <c r="V168" s="1621">
        <v>0.25</v>
      </c>
      <c r="W168" s="2085"/>
      <c r="X168" s="2084"/>
      <c r="Y168" s="2084"/>
    </row>
    <row r="169" spans="1:26" s="1603" customFormat="1">
      <c r="A169"/>
      <c r="B169" s="1595">
        <f t="shared" si="30"/>
        <v>3</v>
      </c>
      <c r="C169" s="1687" t="str">
        <f t="shared" si="31"/>
        <v>周辺環境への配慮</v>
      </c>
      <c r="D169" s="1606" t="e">
        <f>SUM(D170:D180)</f>
        <v>#DIV/0!</v>
      </c>
      <c r="E169" s="1606" t="e">
        <f>SUM(E170:E180)</f>
        <v>#DIV/0!</v>
      </c>
      <c r="F169" s="1557"/>
      <c r="G169" s="1607" t="e">
        <f t="shared" si="32"/>
        <v>#DIV/0!</v>
      </c>
      <c r="H169" s="1607" t="e">
        <f t="shared" si="33"/>
        <v>#DIV/0!</v>
      </c>
      <c r="I169" s="1599"/>
      <c r="J169" s="1639">
        <v>3</v>
      </c>
      <c r="K169" s="1742" t="s">
        <v>375</v>
      </c>
      <c r="L169" s="1778" t="s">
        <v>1106</v>
      </c>
      <c r="M169" s="1709">
        <v>0.33333333333333331</v>
      </c>
      <c r="N169" s="1709">
        <v>0.33333333333333331</v>
      </c>
      <c r="O169" s="1709">
        <v>0.33333333333333331</v>
      </c>
      <c r="P169" s="1709">
        <v>0.33333333333333331</v>
      </c>
      <c r="Q169" s="1709">
        <v>0.33333333333333331</v>
      </c>
      <c r="R169" s="1709">
        <v>0.33333333333333331</v>
      </c>
      <c r="S169" s="1709">
        <v>0.33333333333333331</v>
      </c>
      <c r="T169" s="1709">
        <v>0.33333333333333331</v>
      </c>
      <c r="U169" s="1709">
        <v>0.33333333333333331</v>
      </c>
      <c r="V169" s="1709">
        <v>0.33333333333333331</v>
      </c>
      <c r="W169" s="2060">
        <v>0</v>
      </c>
      <c r="X169" s="1709">
        <v>0</v>
      </c>
      <c r="Y169" s="1709">
        <v>0</v>
      </c>
      <c r="Z169" s="1683"/>
    </row>
    <row r="170" spans="1:26">
      <c r="B170" s="1595" t="str">
        <f t="shared" si="30"/>
        <v>3.1</v>
      </c>
      <c r="C170" s="1732" t="str">
        <f t="shared" si="31"/>
        <v>騒音・振動・悪臭の防止</v>
      </c>
      <c r="D170" s="1613"/>
      <c r="E170" s="1613"/>
      <c r="F170" s="1557"/>
      <c r="G170" s="1689" t="e">
        <f t="shared" si="32"/>
        <v>#DIV/0!</v>
      </c>
      <c r="H170" s="1689" t="e">
        <f t="shared" si="33"/>
        <v>#DIV/0!</v>
      </c>
      <c r="I170" s="1690"/>
      <c r="J170" s="1628" t="s">
        <v>1492</v>
      </c>
      <c r="K170" s="1691" t="s">
        <v>378</v>
      </c>
      <c r="L170" s="1735" t="s">
        <v>1107</v>
      </c>
      <c r="M170" s="2084">
        <v>0.4</v>
      </c>
      <c r="N170" s="2084">
        <v>0.4</v>
      </c>
      <c r="O170" s="2084">
        <v>0.4</v>
      </c>
      <c r="P170" s="2084">
        <v>0.4</v>
      </c>
      <c r="Q170" s="2084">
        <v>0.4</v>
      </c>
      <c r="R170" s="2084">
        <v>0.4</v>
      </c>
      <c r="S170" s="2084">
        <v>0.4</v>
      </c>
      <c r="T170" s="2084">
        <v>0.4</v>
      </c>
      <c r="U170" s="2084">
        <v>0.4</v>
      </c>
      <c r="V170" s="2084">
        <v>0.4</v>
      </c>
      <c r="W170" s="2085"/>
      <c r="X170" s="2084"/>
      <c r="Y170" s="2084"/>
    </row>
    <row r="171" spans="1:26" s="1603" customFormat="1">
      <c r="A171"/>
      <c r="B171" s="1595" t="str">
        <f t="shared" si="30"/>
        <v>3.1.1</v>
      </c>
      <c r="C171" s="1639" t="str">
        <f t="shared" si="31"/>
        <v>騒音</v>
      </c>
      <c r="D171" s="1613" t="e">
        <f t="shared" ref="D171:E173" si="35">G$169*G$170*G171</f>
        <v>#DIV/0!</v>
      </c>
      <c r="E171" s="1613" t="e">
        <f t="shared" si="35"/>
        <v>#DIV/0!</v>
      </c>
      <c r="F171" s="1557"/>
      <c r="G171" s="1741" t="e">
        <f t="shared" si="32"/>
        <v>#DIV/0!</v>
      </c>
      <c r="H171" s="1741" t="e">
        <f t="shared" si="33"/>
        <v>#DIV/0!</v>
      </c>
      <c r="I171" s="1690"/>
      <c r="J171" s="1628" t="s">
        <v>1473</v>
      </c>
      <c r="K171" s="1645" t="s">
        <v>379</v>
      </c>
      <c r="L171" s="1735" t="s">
        <v>1108</v>
      </c>
      <c r="M171" s="1621">
        <v>0.33333333333333331</v>
      </c>
      <c r="N171" s="1621">
        <v>0.33333333333333331</v>
      </c>
      <c r="O171" s="1621">
        <v>0.33333333333333331</v>
      </c>
      <c r="P171" s="1621">
        <v>0.33333333333333331</v>
      </c>
      <c r="Q171" s="1621">
        <v>0.33333333333333331</v>
      </c>
      <c r="R171" s="1621">
        <v>0.33333333333333331</v>
      </c>
      <c r="S171" s="1621">
        <v>0.33333333333333331</v>
      </c>
      <c r="T171" s="1621">
        <v>0.33333333333333331</v>
      </c>
      <c r="U171" s="1621">
        <v>0.33333333333333331</v>
      </c>
      <c r="V171" s="1621">
        <v>0.33333333333333331</v>
      </c>
      <c r="W171" s="1623"/>
      <c r="X171" s="1621"/>
      <c r="Y171" s="1621"/>
      <c r="Z171" s="1683"/>
    </row>
    <row r="172" spans="1:26">
      <c r="B172" s="1595" t="str">
        <f t="shared" si="30"/>
        <v>3.1.2</v>
      </c>
      <c r="C172" s="1732" t="str">
        <f t="shared" si="31"/>
        <v>振動</v>
      </c>
      <c r="D172" s="1613" t="e">
        <f t="shared" si="35"/>
        <v>#DIV/0!</v>
      </c>
      <c r="E172" s="1613" t="e">
        <f t="shared" si="35"/>
        <v>#DIV/0!</v>
      </c>
      <c r="F172" s="1557"/>
      <c r="G172" s="1689" t="e">
        <f t="shared" si="32"/>
        <v>#DIV/0!</v>
      </c>
      <c r="H172" s="1689" t="e">
        <f t="shared" si="33"/>
        <v>#DIV/0!</v>
      </c>
      <c r="I172" s="1690"/>
      <c r="J172" s="1628" t="s">
        <v>1474</v>
      </c>
      <c r="K172" s="1645" t="s">
        <v>379</v>
      </c>
      <c r="L172" s="1735" t="s">
        <v>1109</v>
      </c>
      <c r="M172" s="1621">
        <v>0.33333333333333331</v>
      </c>
      <c r="N172" s="1621">
        <v>0.33333333333333331</v>
      </c>
      <c r="O172" s="1621">
        <v>0.33333333333333331</v>
      </c>
      <c r="P172" s="1621">
        <v>0.33333333333333331</v>
      </c>
      <c r="Q172" s="1621">
        <v>0.33333333333333331</v>
      </c>
      <c r="R172" s="1621">
        <v>0.33333333333333331</v>
      </c>
      <c r="S172" s="1621">
        <v>0.33333333333333331</v>
      </c>
      <c r="T172" s="1621">
        <v>0.33333333333333331</v>
      </c>
      <c r="U172" s="1621">
        <v>0.33333333333333331</v>
      </c>
      <c r="V172" s="1621">
        <v>0.33333333333333331</v>
      </c>
      <c r="W172" s="1623"/>
      <c r="X172" s="1621"/>
      <c r="Y172" s="1621"/>
    </row>
    <row r="173" spans="1:26">
      <c r="B173" s="1595" t="str">
        <f t="shared" si="30"/>
        <v>3.1.3</v>
      </c>
      <c r="C173" s="1732" t="str">
        <f t="shared" si="31"/>
        <v>悪臭</v>
      </c>
      <c r="D173" s="1613" t="e">
        <f t="shared" si="35"/>
        <v>#DIV/0!</v>
      </c>
      <c r="E173" s="1613" t="e">
        <f t="shared" si="35"/>
        <v>#DIV/0!</v>
      </c>
      <c r="F173" s="1557"/>
      <c r="G173" s="1689" t="e">
        <f t="shared" si="32"/>
        <v>#DIV/0!</v>
      </c>
      <c r="H173" s="1689" t="e">
        <f t="shared" si="33"/>
        <v>#DIV/0!</v>
      </c>
      <c r="I173" s="1690"/>
      <c r="J173" s="1628" t="s">
        <v>1671</v>
      </c>
      <c r="K173" s="1645" t="s">
        <v>379</v>
      </c>
      <c r="L173" s="1735" t="s">
        <v>904</v>
      </c>
      <c r="M173" s="1621">
        <v>0.33333333333333331</v>
      </c>
      <c r="N173" s="1621">
        <v>0.33333333333333331</v>
      </c>
      <c r="O173" s="1621">
        <v>0.33333333333333331</v>
      </c>
      <c r="P173" s="1621">
        <v>0.33333333333333331</v>
      </c>
      <c r="Q173" s="1621">
        <v>0.33333333333333331</v>
      </c>
      <c r="R173" s="1621">
        <v>0.33333333333333331</v>
      </c>
      <c r="S173" s="1621">
        <v>0.33333333333333331</v>
      </c>
      <c r="T173" s="1621">
        <v>0.33333333333333331</v>
      </c>
      <c r="U173" s="1621">
        <v>0.33333333333333331</v>
      </c>
      <c r="V173" s="1621">
        <v>0.33333333333333331</v>
      </c>
      <c r="W173" s="1623"/>
      <c r="X173" s="1621"/>
      <c r="Y173" s="1621"/>
    </row>
    <row r="174" spans="1:26">
      <c r="B174" s="1595" t="str">
        <f t="shared" ref="B174:B180" si="36">J174</f>
        <v>3.2</v>
      </c>
      <c r="C174" s="1732" t="str">
        <f t="shared" ref="C174:C180" si="37">L174</f>
        <v>風害，日照阻害の抑制</v>
      </c>
      <c r="D174" s="1613"/>
      <c r="E174" s="1613"/>
      <c r="F174" s="1557"/>
      <c r="G174" s="1689" t="e">
        <f t="shared" si="32"/>
        <v>#DIV/0!</v>
      </c>
      <c r="H174" s="1689" t="e">
        <f t="shared" si="33"/>
        <v>#DIV/0!</v>
      </c>
      <c r="I174" s="1690"/>
      <c r="J174" s="1628" t="s">
        <v>1494</v>
      </c>
      <c r="K174" s="1691" t="s">
        <v>378</v>
      </c>
      <c r="L174" s="1735" t="s">
        <v>1853</v>
      </c>
      <c r="M174" s="2084">
        <v>0.4</v>
      </c>
      <c r="N174" s="2084">
        <v>0.4</v>
      </c>
      <c r="O174" s="2084">
        <v>0.4</v>
      </c>
      <c r="P174" s="2084">
        <v>0.4</v>
      </c>
      <c r="Q174" s="2084">
        <v>0.4</v>
      </c>
      <c r="R174" s="2084">
        <v>0.4</v>
      </c>
      <c r="S174" s="2084">
        <v>0.4</v>
      </c>
      <c r="T174" s="2084">
        <v>0.4</v>
      </c>
      <c r="U174" s="2084">
        <v>0.4</v>
      </c>
      <c r="V174" s="2084">
        <v>0.4</v>
      </c>
      <c r="W174" s="2085"/>
      <c r="X174" s="2084"/>
      <c r="Y174" s="2084"/>
    </row>
    <row r="175" spans="1:26">
      <c r="B175" s="1595" t="str">
        <f t="shared" si="36"/>
        <v>3.2.1</v>
      </c>
      <c r="C175" s="1732" t="str">
        <f t="shared" si="37"/>
        <v>風害の抑制</v>
      </c>
      <c r="D175" s="1613" t="e">
        <f t="shared" ref="D175:E177" si="38">G$169*G$174*G175</f>
        <v>#DIV/0!</v>
      </c>
      <c r="E175" s="1613" t="e">
        <f t="shared" si="38"/>
        <v>#DIV/0!</v>
      </c>
      <c r="F175" s="1557"/>
      <c r="G175" s="1689" t="e">
        <f t="shared" si="32"/>
        <v>#DIV/0!</v>
      </c>
      <c r="H175" s="1689" t="e">
        <f t="shared" si="33"/>
        <v>#DIV/0!</v>
      </c>
      <c r="I175" s="1690"/>
      <c r="J175" s="1628" t="s">
        <v>1535</v>
      </c>
      <c r="K175" s="1691" t="s">
        <v>380</v>
      </c>
      <c r="L175" s="1692" t="s">
        <v>1672</v>
      </c>
      <c r="M175" s="1621">
        <v>0.7</v>
      </c>
      <c r="N175" s="1621">
        <v>0.7</v>
      </c>
      <c r="O175" s="1621">
        <v>0.7</v>
      </c>
      <c r="P175" s="1621">
        <v>0.7</v>
      </c>
      <c r="Q175" s="1621">
        <v>0.7</v>
      </c>
      <c r="R175" s="1621">
        <v>0.7</v>
      </c>
      <c r="S175" s="1621">
        <v>0.7</v>
      </c>
      <c r="T175" s="1621">
        <v>0.7</v>
      </c>
      <c r="U175" s="1621">
        <v>0.7</v>
      </c>
      <c r="V175" s="2347">
        <v>0.6</v>
      </c>
      <c r="W175" s="2085"/>
      <c r="X175" s="2084"/>
      <c r="Y175" s="2084"/>
    </row>
    <row r="176" spans="1:26">
      <c r="B176" s="1595" t="str">
        <f>J176</f>
        <v>3.2.3</v>
      </c>
      <c r="C176" s="1732" t="str">
        <f>L176</f>
        <v>砂塵の抑制</v>
      </c>
      <c r="D176" s="1613" t="e">
        <f t="shared" si="38"/>
        <v>#DIV/0!</v>
      </c>
      <c r="E176" s="1613" t="e">
        <f t="shared" si="38"/>
        <v>#DIV/0!</v>
      </c>
      <c r="F176" s="1557"/>
      <c r="G176" s="1689" t="e">
        <f t="shared" si="32"/>
        <v>#DIV/0!</v>
      </c>
      <c r="H176" s="1689" t="e">
        <f t="shared" si="33"/>
        <v>#DIV/0!</v>
      </c>
      <c r="I176" s="1690"/>
      <c r="J176" s="1628" t="s">
        <v>373</v>
      </c>
      <c r="K176" s="1691" t="s">
        <v>381</v>
      </c>
      <c r="L176" s="1692" t="s">
        <v>1110</v>
      </c>
      <c r="M176" s="1621"/>
      <c r="N176" s="1621"/>
      <c r="O176" s="1621"/>
      <c r="P176" s="1621"/>
      <c r="Q176" s="1621"/>
      <c r="R176" s="1621"/>
      <c r="S176" s="1621"/>
      <c r="T176" s="1621"/>
      <c r="U176" s="1621"/>
      <c r="V176" s="2347">
        <v>0.2</v>
      </c>
      <c r="W176" s="2085"/>
      <c r="X176" s="2084"/>
      <c r="Y176" s="2084"/>
    </row>
    <row r="177" spans="2:25" s="1556" customFormat="1">
      <c r="B177" s="1595" t="str">
        <f>J177</f>
        <v>3.2.2</v>
      </c>
      <c r="C177" s="1732" t="str">
        <f>L177</f>
        <v>日照阻害の抑制</v>
      </c>
      <c r="D177" s="1613" t="e">
        <f t="shared" si="38"/>
        <v>#DIV/0!</v>
      </c>
      <c r="E177" s="1613" t="e">
        <f t="shared" si="38"/>
        <v>#DIV/0!</v>
      </c>
      <c r="F177" s="1557"/>
      <c r="G177" s="1689" t="e">
        <f t="shared" si="32"/>
        <v>#DIV/0!</v>
      </c>
      <c r="H177" s="1689" t="e">
        <f t="shared" si="33"/>
        <v>#DIV/0!</v>
      </c>
      <c r="I177" s="1690"/>
      <c r="J177" s="1628" t="s">
        <v>1538</v>
      </c>
      <c r="K177" s="1691" t="s">
        <v>380</v>
      </c>
      <c r="L177" s="1692" t="s">
        <v>1673</v>
      </c>
      <c r="M177" s="1621">
        <v>0.3</v>
      </c>
      <c r="N177" s="1621">
        <v>0.3</v>
      </c>
      <c r="O177" s="1621">
        <v>0.3</v>
      </c>
      <c r="P177" s="1621">
        <v>0.3</v>
      </c>
      <c r="Q177" s="1621">
        <v>0.3</v>
      </c>
      <c r="R177" s="1621">
        <v>0.3</v>
      </c>
      <c r="S177" s="1621">
        <v>0.3</v>
      </c>
      <c r="T177" s="1621">
        <v>0.3</v>
      </c>
      <c r="U177" s="1621">
        <v>0.3</v>
      </c>
      <c r="V177" s="2347">
        <v>0.2</v>
      </c>
      <c r="W177" s="2085"/>
      <c r="X177" s="2084"/>
      <c r="Y177" s="2084"/>
    </row>
    <row r="178" spans="2:25" s="1556" customFormat="1">
      <c r="B178" s="1595" t="str">
        <f t="shared" si="36"/>
        <v>3.3</v>
      </c>
      <c r="C178" s="1732" t="str">
        <f t="shared" si="37"/>
        <v>光害の抑制</v>
      </c>
      <c r="D178" s="1613"/>
      <c r="E178" s="1613"/>
      <c r="F178" s="1557"/>
      <c r="G178" s="1689" t="e">
        <f t="shared" si="32"/>
        <v>#DIV/0!</v>
      </c>
      <c r="H178" s="1689" t="e">
        <f t="shared" si="33"/>
        <v>#DIV/0!</v>
      </c>
      <c r="I178" s="1690"/>
      <c r="J178" s="1628" t="s">
        <v>1674</v>
      </c>
      <c r="K178" s="1691" t="s">
        <v>378</v>
      </c>
      <c r="L178" s="1692" t="s">
        <v>1112</v>
      </c>
      <c r="M178" s="1621">
        <v>0.2</v>
      </c>
      <c r="N178" s="1621">
        <v>0.2</v>
      </c>
      <c r="O178" s="1621">
        <v>0.2</v>
      </c>
      <c r="P178" s="1621">
        <v>0.2</v>
      </c>
      <c r="Q178" s="1621">
        <v>0.2</v>
      </c>
      <c r="R178" s="1621">
        <v>0.2</v>
      </c>
      <c r="S178" s="1621">
        <v>0.2</v>
      </c>
      <c r="T178" s="1621">
        <v>0.2</v>
      </c>
      <c r="U178" s="1621">
        <v>0.2</v>
      </c>
      <c r="V178" s="2084">
        <v>0.2</v>
      </c>
      <c r="W178" s="2085"/>
      <c r="X178" s="2084"/>
      <c r="Y178" s="2084"/>
    </row>
    <row r="179" spans="2:25" s="1556" customFormat="1">
      <c r="B179" s="1595" t="str">
        <f t="shared" si="36"/>
        <v>3.3.1</v>
      </c>
      <c r="C179" s="1743" t="str">
        <f t="shared" si="37"/>
        <v>屋外照明及び屋内照明のうち外に漏れる光への対策</v>
      </c>
      <c r="D179" s="1613" t="e">
        <f>G$169*G$178*G179</f>
        <v>#DIV/0!</v>
      </c>
      <c r="E179" s="1613" t="e">
        <f>H$169*H$178*H179</f>
        <v>#DIV/0!</v>
      </c>
      <c r="F179" s="1557"/>
      <c r="G179" s="1689" t="e">
        <f t="shared" si="32"/>
        <v>#DIV/0!</v>
      </c>
      <c r="H179" s="1689" t="e">
        <f t="shared" si="33"/>
        <v>#DIV/0!</v>
      </c>
      <c r="I179" s="1690"/>
      <c r="J179" s="1628" t="s">
        <v>1475</v>
      </c>
      <c r="K179" s="1691" t="s">
        <v>381</v>
      </c>
      <c r="L179" s="1692" t="s">
        <v>1675</v>
      </c>
      <c r="M179" s="2084">
        <v>0.7</v>
      </c>
      <c r="N179" s="2084">
        <v>0.7</v>
      </c>
      <c r="O179" s="2084">
        <v>0.7</v>
      </c>
      <c r="P179" s="2084">
        <v>0.7</v>
      </c>
      <c r="Q179" s="2084">
        <v>0.7</v>
      </c>
      <c r="R179" s="2084">
        <v>0.7</v>
      </c>
      <c r="S179" s="2084">
        <v>0.7</v>
      </c>
      <c r="T179" s="2084">
        <v>0.7</v>
      </c>
      <c r="U179" s="2084">
        <v>0.7</v>
      </c>
      <c r="V179" s="1621">
        <v>0.7</v>
      </c>
      <c r="W179" s="2085"/>
      <c r="X179" s="2084"/>
      <c r="Y179" s="2084"/>
    </row>
    <row r="180" spans="2:25" s="1556" customFormat="1">
      <c r="B180" s="1595" t="str">
        <f t="shared" si="36"/>
        <v>3.3.2</v>
      </c>
      <c r="C180" s="1735" t="str">
        <f t="shared" si="37"/>
        <v>昼光の建物外壁による反射光（グレア）への対策</v>
      </c>
      <c r="D180" s="1613" t="e">
        <f>G$169*G$178*G180</f>
        <v>#DIV/0!</v>
      </c>
      <c r="E180" s="1613" t="e">
        <f>H$169*H$178*H180</f>
        <v>#DIV/0!</v>
      </c>
      <c r="F180" s="1557"/>
      <c r="G180" s="1689" t="e">
        <f t="shared" si="32"/>
        <v>#DIV/0!</v>
      </c>
      <c r="H180" s="1689" t="e">
        <f t="shared" si="33"/>
        <v>#DIV/0!</v>
      </c>
      <c r="I180" s="1690"/>
      <c r="J180" s="1628" t="s">
        <v>1477</v>
      </c>
      <c r="K180" s="1691" t="s">
        <v>381</v>
      </c>
      <c r="L180" s="1692" t="s">
        <v>1676</v>
      </c>
      <c r="M180" s="1621">
        <v>0.3</v>
      </c>
      <c r="N180" s="1621">
        <v>0.3</v>
      </c>
      <c r="O180" s="1621">
        <v>0.3</v>
      </c>
      <c r="P180" s="1621">
        <v>0.3</v>
      </c>
      <c r="Q180" s="1621">
        <v>0.3</v>
      </c>
      <c r="R180" s="1621">
        <v>0.3</v>
      </c>
      <c r="S180" s="1621">
        <v>0.3</v>
      </c>
      <c r="T180" s="1621">
        <v>0.3</v>
      </c>
      <c r="U180" s="1621">
        <v>0.3</v>
      </c>
      <c r="V180" s="1621">
        <v>0.3</v>
      </c>
      <c r="W180" s="2085"/>
      <c r="X180" s="2084"/>
      <c r="Y180" s="2084"/>
    </row>
    <row r="181" spans="2:25" customFormat="1">
      <c r="J181" s="1744"/>
    </row>
  </sheetData>
  <sheetProtection password="CC47" sheet="1" objects="1" scenarios="1"/>
  <mergeCells count="1">
    <mergeCell ref="B5:C6"/>
  </mergeCells>
  <phoneticPr fontId="20"/>
  <printOptions horizontalCentered="1"/>
  <pageMargins left="0.59055118110236227" right="0.59055118110236227" top="0.78740157480314965" bottom="0.59055118110236227" header="0.51181102362204722" footer="0.51181102362204722"/>
  <pageSetup paperSize="9" scale="37" orientation="portrait" verticalDpi="4294967293" r:id="rId1"/>
  <headerFooter alignWithMargins="0">
    <oddHeader>&amp;L&amp;F&amp;R&amp;A</oddHeader>
    <oddFooter>&amp;C&amp;P/&amp;N</oddFooter>
  </headerFooter>
  <rowBreaks count="1" manualBreakCount="1">
    <brk id="115" max="16383" man="1"/>
  </rowBreaks>
</worksheet>
</file>

<file path=xl/worksheets/sheet22.xml><?xml version="1.0" encoding="utf-8"?>
<worksheet xmlns="http://schemas.openxmlformats.org/spreadsheetml/2006/main" xmlns:r="http://schemas.openxmlformats.org/officeDocument/2006/relationships">
  <sheetPr codeName="Sheet9">
    <pageSetUpPr fitToPage="1"/>
  </sheetPr>
  <dimension ref="A1:L72"/>
  <sheetViews>
    <sheetView showGridLines="0" topLeftCell="A7" zoomScaleNormal="100" workbookViewId="0">
      <selection activeCell="F2" sqref="F2"/>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2" width="0" hidden="1" customWidth="1"/>
    <col min="13" max="16384" width="9" hidden="1"/>
  </cols>
  <sheetData>
    <row r="1" spans="2:6" ht="6" customHeight="1"/>
    <row r="2" spans="2:6" ht="18.75">
      <c r="B2" s="1297" t="s">
        <v>108</v>
      </c>
      <c r="C2" s="776"/>
      <c r="D2" s="776"/>
      <c r="E2" s="511" t="s">
        <v>798</v>
      </c>
      <c r="F2" s="2691">
        <f>メイン!H11</f>
        <v>0</v>
      </c>
    </row>
    <row r="3" spans="2:6" ht="16.5" customHeight="1">
      <c r="F3" s="1298" t="str">
        <f>メイン!C5</f>
        <v>CASBEE京都-改修2015（v.1.0）</v>
      </c>
    </row>
    <row r="4" spans="2:6">
      <c r="B4" s="3197" t="s">
        <v>109</v>
      </c>
      <c r="C4" s="3198"/>
      <c r="D4" s="1299" t="s">
        <v>110</v>
      </c>
      <c r="E4" s="1300" t="s">
        <v>111</v>
      </c>
      <c r="F4" s="1300" t="s">
        <v>840</v>
      </c>
    </row>
    <row r="5" spans="2:6" ht="35.25" customHeight="1">
      <c r="B5" s="3199" t="s">
        <v>112</v>
      </c>
      <c r="C5" s="1300" t="s">
        <v>841</v>
      </c>
      <c r="D5" s="1299" t="str">
        <f>メイン!H21</f>
        <v/>
      </c>
      <c r="E5" s="1299" t="str">
        <f>D5</f>
        <v/>
      </c>
      <c r="F5" s="1300"/>
    </row>
    <row r="6" spans="2:6">
      <c r="B6" s="3200"/>
      <c r="C6" s="1300" t="s">
        <v>113</v>
      </c>
      <c r="D6" s="1302">
        <f>メイン!H19</f>
        <v>0</v>
      </c>
      <c r="E6" s="1302">
        <f>D6</f>
        <v>0</v>
      </c>
      <c r="F6" s="1303"/>
    </row>
    <row r="7" spans="2:6">
      <c r="B7" s="3201"/>
      <c r="C7" s="1300" t="s">
        <v>114</v>
      </c>
      <c r="D7" s="1300" t="str">
        <f>メイン!H23</f>
        <v>S造</v>
      </c>
      <c r="E7" s="1300" t="str">
        <f>D7</f>
        <v>S造</v>
      </c>
      <c r="F7" s="1303"/>
    </row>
    <row r="8" spans="2:6" ht="31.5" customHeight="1">
      <c r="B8" s="1299" t="s">
        <v>115</v>
      </c>
      <c r="C8" s="1305" t="s">
        <v>116</v>
      </c>
      <c r="D8" s="1306" t="str">
        <f>CO2計算_後!O35</f>
        <v/>
      </c>
      <c r="E8" s="1306" t="str">
        <f>CO2計算_後!L35</f>
        <v/>
      </c>
      <c r="F8" s="1307"/>
    </row>
    <row r="9" spans="2:6" ht="19.5" customHeight="1">
      <c r="B9" s="1308"/>
      <c r="C9" s="1305" t="s">
        <v>117</v>
      </c>
      <c r="D9" s="1309" t="e">
        <f>CO2計算_後!O133</f>
        <v>#DIV/0!</v>
      </c>
      <c r="E9" s="1309" t="e">
        <f>CO2計算_後!L133</f>
        <v>#DIV/0!</v>
      </c>
      <c r="F9" s="1310" t="s">
        <v>118</v>
      </c>
    </row>
    <row r="10" spans="2:6" ht="29.25" customHeight="1">
      <c r="B10" s="3194" t="s">
        <v>120</v>
      </c>
      <c r="C10" s="1299" t="s">
        <v>121</v>
      </c>
      <c r="D10" s="1311" t="s">
        <v>1743</v>
      </c>
      <c r="E10" s="1312" t="s">
        <v>1845</v>
      </c>
      <c r="F10" s="1303"/>
    </row>
    <row r="11" spans="2:6" ht="25.5">
      <c r="B11" s="3194"/>
      <c r="C11" s="1299" t="s">
        <v>122</v>
      </c>
      <c r="D11" s="1311" t="s">
        <v>1744</v>
      </c>
      <c r="E11" s="1313" t="s">
        <v>123</v>
      </c>
      <c r="F11" s="1303"/>
    </row>
    <row r="12" spans="2:6">
      <c r="B12" s="3194"/>
      <c r="C12" s="1301" t="s">
        <v>167</v>
      </c>
      <c r="D12" s="1314" t="s">
        <v>124</v>
      </c>
      <c r="E12" s="1315" t="s">
        <v>123</v>
      </c>
      <c r="F12" s="1316"/>
    </row>
    <row r="13" spans="2:6">
      <c r="B13" s="3195"/>
      <c r="C13" s="1318" t="s">
        <v>125</v>
      </c>
      <c r="D13" s="1319"/>
      <c r="E13" s="1320"/>
      <c r="F13" s="1321"/>
    </row>
    <row r="14" spans="2:6" ht="19.5" customHeight="1">
      <c r="B14" s="3194"/>
      <c r="C14" s="1322" t="s">
        <v>126</v>
      </c>
      <c r="D14" s="1323" t="e">
        <f>CO2計算_後!O93</f>
        <v>#DIV/0!</v>
      </c>
      <c r="E14" s="1324" t="e">
        <f>CO2計算_後!L93</f>
        <v>#DIV/0!</v>
      </c>
      <c r="F14" s="1325" t="s">
        <v>127</v>
      </c>
    </row>
    <row r="15" spans="2:6" ht="14.25">
      <c r="B15" s="3194"/>
      <c r="C15" s="1326" t="s">
        <v>128</v>
      </c>
      <c r="D15" s="1327" t="e">
        <f>CO2計算_後!O94</f>
        <v>#DIV/0!</v>
      </c>
      <c r="E15" s="1328" t="e">
        <f>CO2計算_後!L94</f>
        <v>#DIV/0!</v>
      </c>
      <c r="F15" s="1329" t="s">
        <v>127</v>
      </c>
    </row>
    <row r="16" spans="2:6">
      <c r="B16" s="3194"/>
      <c r="C16" s="1326" t="s">
        <v>129</v>
      </c>
      <c r="D16" s="1327" t="e">
        <f>CO2計算_後!O95</f>
        <v>#DIV/0!</v>
      </c>
      <c r="E16" s="1328" t="e">
        <f>CO2計算_後!L95</f>
        <v>#DIV/0!</v>
      </c>
      <c r="F16" s="1330" t="s">
        <v>130</v>
      </c>
    </row>
    <row r="17" spans="2:6" hidden="1">
      <c r="B17" s="3194"/>
      <c r="C17" s="1326" t="s">
        <v>131</v>
      </c>
      <c r="D17" s="1327" t="e">
        <f>CO2計算_後!O96</f>
        <v>#DIV/0!</v>
      </c>
      <c r="E17" s="1328" t="e">
        <f>CO2計算_後!L96</f>
        <v>#DIV/0!</v>
      </c>
      <c r="F17" s="1330" t="s">
        <v>130</v>
      </c>
    </row>
    <row r="18" spans="2:6">
      <c r="B18" s="3194"/>
      <c r="C18" s="1326" t="s">
        <v>132</v>
      </c>
      <c r="D18" s="1327" t="e">
        <f>CO2計算_後!O97</f>
        <v>#DIV/0!</v>
      </c>
      <c r="E18" s="1328" t="e">
        <f>CO2計算_後!L97</f>
        <v>#DIV/0!</v>
      </c>
      <c r="F18" s="1330" t="s">
        <v>130</v>
      </c>
    </row>
    <row r="19" spans="2:6">
      <c r="B19" s="3194"/>
      <c r="C19" s="1326" t="s">
        <v>133</v>
      </c>
      <c r="D19" s="1327" t="e">
        <f>CO2計算_後!O98</f>
        <v>#DIV/0!</v>
      </c>
      <c r="E19" s="1328" t="e">
        <f>CO2計算_後!L98</f>
        <v>#DIV/0!</v>
      </c>
      <c r="F19" s="1330" t="s">
        <v>130</v>
      </c>
    </row>
    <row r="20" spans="2:6">
      <c r="B20" s="3194"/>
      <c r="C20" s="1331" t="s">
        <v>134</v>
      </c>
      <c r="D20" s="1331" t="s">
        <v>135</v>
      </c>
      <c r="E20" s="1332" t="s">
        <v>138</v>
      </c>
      <c r="F20" s="1333" t="s">
        <v>139</v>
      </c>
    </row>
    <row r="21" spans="2:6">
      <c r="B21" s="3195"/>
      <c r="C21" s="1318" t="s">
        <v>140</v>
      </c>
      <c r="D21" s="1319"/>
      <c r="E21" s="1320"/>
      <c r="F21" s="1334"/>
    </row>
    <row r="22" spans="2:6" ht="15">
      <c r="B22" s="3194"/>
      <c r="C22" s="1322" t="s">
        <v>126</v>
      </c>
      <c r="D22" s="1323">
        <v>266.70999999999998</v>
      </c>
      <c r="E22" s="1324" t="s">
        <v>138</v>
      </c>
      <c r="F22" s="1329" t="s">
        <v>141</v>
      </c>
    </row>
    <row r="23" spans="2:6" ht="15">
      <c r="B23" s="3194"/>
      <c r="C23" s="1326" t="s">
        <v>128</v>
      </c>
      <c r="D23" s="1327">
        <v>216.57</v>
      </c>
      <c r="E23" s="1328" t="s">
        <v>138</v>
      </c>
      <c r="F23" s="1330" t="s">
        <v>141</v>
      </c>
    </row>
    <row r="24" spans="2:6">
      <c r="B24" s="3194"/>
      <c r="C24" s="1326" t="s">
        <v>129</v>
      </c>
      <c r="D24" s="1327">
        <v>1.28</v>
      </c>
      <c r="E24" s="1328" t="s">
        <v>138</v>
      </c>
      <c r="F24" s="1330" t="s">
        <v>146</v>
      </c>
    </row>
    <row r="25" spans="2:6" hidden="1">
      <c r="B25" s="3194"/>
      <c r="C25" s="1326" t="s">
        <v>131</v>
      </c>
      <c r="D25" s="1327"/>
      <c r="E25" s="1328" t="s">
        <v>138</v>
      </c>
      <c r="F25" s="1330" t="s">
        <v>143</v>
      </c>
    </row>
    <row r="26" spans="2:6">
      <c r="B26" s="3194"/>
      <c r="C26" s="1326" t="s">
        <v>132</v>
      </c>
      <c r="D26" s="1327">
        <v>0.51</v>
      </c>
      <c r="E26" s="1328" t="s">
        <v>138</v>
      </c>
      <c r="F26" s="1330" t="s">
        <v>146</v>
      </c>
    </row>
    <row r="27" spans="2:6">
      <c r="B27" s="3194"/>
      <c r="C27" s="1326" t="s">
        <v>144</v>
      </c>
      <c r="D27" s="1327">
        <v>4.75</v>
      </c>
      <c r="E27" s="1328" t="s">
        <v>138</v>
      </c>
      <c r="F27" s="1330" t="s">
        <v>1800</v>
      </c>
    </row>
    <row r="28" spans="2:6">
      <c r="B28" s="3194"/>
      <c r="C28" s="1331" t="s">
        <v>134</v>
      </c>
      <c r="D28" s="1331" t="s">
        <v>135</v>
      </c>
      <c r="E28" s="1332" t="s">
        <v>145</v>
      </c>
      <c r="F28" s="1330" t="s">
        <v>146</v>
      </c>
    </row>
    <row r="29" spans="2:6" ht="14.25" thickBot="1">
      <c r="B29" s="3195"/>
      <c r="C29" s="1318" t="s">
        <v>147</v>
      </c>
      <c r="D29" s="1319"/>
      <c r="E29" s="1335"/>
      <c r="F29" s="1336"/>
    </row>
    <row r="30" spans="2:6" ht="24" customHeight="1">
      <c r="B30" s="3194"/>
      <c r="C30" s="1322" t="s">
        <v>148</v>
      </c>
      <c r="D30" s="1337">
        <v>0</v>
      </c>
      <c r="E30" s="1338">
        <v>0</v>
      </c>
      <c r="F30" s="1339"/>
    </row>
    <row r="31" spans="2:6" ht="25.5" customHeight="1" thickBot="1">
      <c r="B31" s="3194"/>
      <c r="C31" s="1322" t="s">
        <v>149</v>
      </c>
      <c r="D31" s="1337">
        <v>0</v>
      </c>
      <c r="E31" s="1340">
        <v>0.3</v>
      </c>
      <c r="F31" s="1341"/>
    </row>
    <row r="32" spans="2:6" ht="24" customHeight="1">
      <c r="B32" s="3194"/>
      <c r="C32" s="1326" t="s">
        <v>150</v>
      </c>
      <c r="D32" s="1337">
        <v>0</v>
      </c>
      <c r="E32" s="1342">
        <v>0</v>
      </c>
      <c r="F32" s="1329"/>
    </row>
    <row r="33" spans="2:6" ht="24" customHeight="1">
      <c r="B33" s="3194"/>
      <c r="C33" s="1343" t="s">
        <v>151</v>
      </c>
      <c r="D33" s="1344">
        <v>0</v>
      </c>
      <c r="E33" s="1345">
        <v>0</v>
      </c>
      <c r="F33" s="1346"/>
    </row>
    <row r="34" spans="2:6" ht="19.5" customHeight="1">
      <c r="B34" s="1301"/>
      <c r="C34" s="1347" t="s">
        <v>117</v>
      </c>
      <c r="D34" s="1348" t="e">
        <f>CO2計算_後!O134</f>
        <v>#DIV/0!</v>
      </c>
      <c r="E34" s="1349" t="e">
        <f>CO2計算_後!L134</f>
        <v>#DIV/0!</v>
      </c>
      <c r="F34" s="1310" t="s">
        <v>118</v>
      </c>
    </row>
    <row r="35" spans="2:6">
      <c r="B35" s="1317" t="s">
        <v>446</v>
      </c>
      <c r="C35" s="1350" t="s">
        <v>152</v>
      </c>
      <c r="D35" s="1351"/>
      <c r="E35" s="1351"/>
      <c r="F35" s="1321"/>
    </row>
    <row r="36" spans="2:6">
      <c r="B36" s="1308" t="s">
        <v>153</v>
      </c>
      <c r="C36" s="1352" t="s">
        <v>582</v>
      </c>
      <c r="D36" s="1353">
        <f>CO2データ!I269</f>
        <v>25</v>
      </c>
      <c r="E36" s="1353">
        <f>D36</f>
        <v>25</v>
      </c>
      <c r="F36" s="1354"/>
    </row>
    <row r="37" spans="2:6" ht="13.5" hidden="1" customHeight="1">
      <c r="B37" s="1308"/>
      <c r="C37" s="1355" t="s">
        <v>154</v>
      </c>
      <c r="D37" s="1356">
        <f>CO2データ!I270</f>
        <v>0</v>
      </c>
      <c r="E37" s="1356"/>
      <c r="F37" s="1357"/>
    </row>
    <row r="38" spans="2:6">
      <c r="B38" s="1308"/>
      <c r="C38" s="1326" t="s">
        <v>581</v>
      </c>
      <c r="D38" s="1356">
        <f>CO2データ!I271</f>
        <v>18</v>
      </c>
      <c r="E38" s="1356">
        <f>D38</f>
        <v>18</v>
      </c>
      <c r="F38" s="1357"/>
    </row>
    <row r="39" spans="2:6">
      <c r="B39" s="1308"/>
      <c r="C39" s="1355" t="s">
        <v>155</v>
      </c>
      <c r="D39" s="1353">
        <f>CO2データ!I272</f>
        <v>15</v>
      </c>
      <c r="E39" s="1353">
        <f>D39</f>
        <v>15</v>
      </c>
      <c r="F39" s="1354"/>
    </row>
    <row r="40" spans="2:6">
      <c r="B40" s="1317"/>
      <c r="C40" s="1350" t="s">
        <v>156</v>
      </c>
      <c r="D40" s="1351"/>
      <c r="E40" s="1351"/>
      <c r="F40" s="1321"/>
    </row>
    <row r="41" spans="2:6">
      <c r="B41" s="1308"/>
      <c r="C41" s="1355" t="s">
        <v>582</v>
      </c>
      <c r="D41" s="1358">
        <f>CO2データ!I275</f>
        <v>0.01</v>
      </c>
      <c r="E41" s="1358">
        <f>D41</f>
        <v>0.01</v>
      </c>
      <c r="F41" s="1359"/>
    </row>
    <row r="42" spans="2:6">
      <c r="B42" s="1308"/>
      <c r="C42" s="1326" t="s">
        <v>581</v>
      </c>
      <c r="D42" s="1360">
        <f>CO2データ!I276</f>
        <v>0.01</v>
      </c>
      <c r="E42" s="1360">
        <f>D42</f>
        <v>0.01</v>
      </c>
      <c r="F42" s="1361"/>
    </row>
    <row r="43" spans="2:6">
      <c r="B43" s="1308"/>
      <c r="C43" s="1362" t="s">
        <v>155</v>
      </c>
      <c r="D43" s="1363">
        <f>CO2データ!I277</f>
        <v>0.02</v>
      </c>
      <c r="E43" s="1363">
        <f>D43</f>
        <v>0.02</v>
      </c>
      <c r="F43" s="1364"/>
    </row>
    <row r="44" spans="2:6" ht="27.75" customHeight="1">
      <c r="B44" s="1365"/>
      <c r="C44" s="1305" t="s">
        <v>157</v>
      </c>
      <c r="D44" s="1311" t="s">
        <v>1846</v>
      </c>
      <c r="E44" s="1299" t="s">
        <v>158</v>
      </c>
      <c r="F44" s="1303"/>
    </row>
    <row r="45" spans="2:6" ht="15" customHeight="1">
      <c r="B45" s="1301"/>
      <c r="C45" s="1350" t="s">
        <v>117</v>
      </c>
      <c r="D45" s="1319"/>
      <c r="E45" s="1835"/>
      <c r="F45" s="1369"/>
    </row>
    <row r="46" spans="2:6" ht="24" customHeight="1">
      <c r="B46" s="1308"/>
      <c r="C46" s="1299" t="s">
        <v>1811</v>
      </c>
      <c r="D46" s="1309">
        <f>IF(F58=H58,CO2計算_対象外!O116,CO2計算_後!O116)</f>
        <v>0</v>
      </c>
      <c r="E46" s="1309">
        <f>IF(F58=H58,CO2計算_対象外!L116,CO2計算_後!L116)</f>
        <v>0</v>
      </c>
      <c r="F46" s="1310" t="s">
        <v>118</v>
      </c>
    </row>
    <row r="47" spans="2:6" ht="24" customHeight="1">
      <c r="B47" s="1308"/>
      <c r="C47" s="1322" t="s">
        <v>866</v>
      </c>
      <c r="D47" s="1836" t="s">
        <v>842</v>
      </c>
      <c r="E47" s="1837">
        <f>IF(F58=H58,CO2計算_対象外!L123,CO2計算_後!L123)</f>
        <v>0</v>
      </c>
      <c r="F47" s="1310" t="s">
        <v>118</v>
      </c>
    </row>
    <row r="48" spans="2:6" ht="24" hidden="1" customHeight="1">
      <c r="B48" s="3194" t="s">
        <v>159</v>
      </c>
      <c r="C48" s="1331" t="s">
        <v>845</v>
      </c>
      <c r="D48" s="1838"/>
      <c r="E48" s="1839"/>
      <c r="F48" s="1840" t="s">
        <v>118</v>
      </c>
    </row>
    <row r="49" spans="2:12" ht="24" hidden="1" customHeight="1">
      <c r="B49" s="3194"/>
      <c r="C49" s="2387"/>
      <c r="D49" s="1841"/>
      <c r="E49" s="1839"/>
      <c r="F49" s="1840"/>
    </row>
    <row r="50" spans="2:12" ht="24" hidden="1" customHeight="1">
      <c r="B50" s="3194"/>
      <c r="C50" s="2387"/>
      <c r="D50" s="1842"/>
      <c r="E50" s="2396"/>
      <c r="F50" s="1843"/>
    </row>
    <row r="51" spans="2:12" ht="24" hidden="1" customHeight="1">
      <c r="B51" s="3194"/>
      <c r="C51" s="1365"/>
      <c r="D51" s="1844" t="s">
        <v>849</v>
      </c>
      <c r="E51" s="1845" t="s">
        <v>842</v>
      </c>
      <c r="F51" s="1846"/>
    </row>
    <row r="52" spans="2:12" ht="24" customHeight="1">
      <c r="B52" s="3195"/>
      <c r="C52" s="1352" t="s">
        <v>1756</v>
      </c>
      <c r="D52" s="2395" t="s">
        <v>842</v>
      </c>
      <c r="E52" s="2397">
        <f>E47</f>
        <v>0</v>
      </c>
      <c r="F52" s="1325" t="s">
        <v>118</v>
      </c>
    </row>
    <row r="53" spans="2:12" ht="24" customHeight="1">
      <c r="B53" s="3194"/>
      <c r="C53" s="1331" t="s">
        <v>845</v>
      </c>
      <c r="D53" s="1848" t="s">
        <v>852</v>
      </c>
      <c r="E53" s="1849" t="s">
        <v>853</v>
      </c>
      <c r="F53" s="1329"/>
    </row>
    <row r="54" spans="2:12" ht="24" customHeight="1">
      <c r="B54" s="3194"/>
      <c r="C54" s="1308"/>
      <c r="D54" s="1848" t="s">
        <v>854</v>
      </c>
      <c r="E54" s="1849" t="s">
        <v>853</v>
      </c>
      <c r="F54" s="1330"/>
    </row>
    <row r="55" spans="2:12" ht="24" customHeight="1">
      <c r="B55" s="3194"/>
      <c r="C55" s="1308"/>
      <c r="D55" s="1848" t="s">
        <v>855</v>
      </c>
      <c r="E55" s="1849" t="s">
        <v>853</v>
      </c>
      <c r="F55" s="1330"/>
    </row>
    <row r="56" spans="2:12" ht="24">
      <c r="B56" s="1308"/>
      <c r="C56" s="1308"/>
      <c r="D56" s="1848" t="s">
        <v>856</v>
      </c>
      <c r="E56" s="1849" t="s">
        <v>853</v>
      </c>
      <c r="F56" s="1346"/>
      <c r="I56" s="2393" t="s">
        <v>1750</v>
      </c>
      <c r="J56" s="2394"/>
      <c r="K56" s="2393" t="s">
        <v>1751</v>
      </c>
      <c r="L56" s="2394"/>
    </row>
    <row r="57" spans="2:12" hidden="1">
      <c r="B57" s="1308"/>
      <c r="C57" s="1305"/>
      <c r="D57" s="1309"/>
      <c r="E57" s="1309"/>
      <c r="F57" s="1310"/>
    </row>
    <row r="58" spans="2:12" ht="29.25" customHeight="1">
      <c r="B58" s="3194" t="s">
        <v>159</v>
      </c>
      <c r="C58" s="1305" t="s">
        <v>160</v>
      </c>
      <c r="D58" s="1311" t="str">
        <f>IF(F58=H58,K58,I58)</f>
        <v>統計値より，一次エネルギー消費量の平均値を引用</v>
      </c>
      <c r="E58" s="1311" t="str">
        <f>IF(F58=H58,L58,J58)</f>
        <v>LR1の取組による省エネルギー量を推定</v>
      </c>
      <c r="F58" s="2392">
        <f>スコア入力!L124</f>
        <v>0</v>
      </c>
      <c r="H58" t="s">
        <v>1749</v>
      </c>
      <c r="I58" s="1311" t="s">
        <v>1847</v>
      </c>
      <c r="J58" s="1311" t="s">
        <v>1806</v>
      </c>
      <c r="K58" s="1311" t="s">
        <v>1807</v>
      </c>
      <c r="L58" s="1311" t="s">
        <v>1748</v>
      </c>
    </row>
    <row r="59" spans="2:12" ht="25.5" customHeight="1">
      <c r="B59" s="3194"/>
      <c r="C59" s="1347" t="s">
        <v>161</v>
      </c>
      <c r="D59" s="1366">
        <f>IF(F58=H58,SUM(CO2計算_対象外!H118:H121),SUM(CO2計算_後!H118:H121))</f>
        <v>0</v>
      </c>
      <c r="E59" s="1366" t="e">
        <f>IF(F58=H58,SUM(CO2計算_対象外!I125:I127),SUM(CO2計算_後!I125:I127))</f>
        <v>#VALUE!</v>
      </c>
      <c r="F59" s="1367" t="s">
        <v>1334</v>
      </c>
    </row>
    <row r="60" spans="2:12">
      <c r="B60" s="3195"/>
      <c r="C60" s="1368" t="s">
        <v>1752</v>
      </c>
      <c r="D60" s="1351"/>
      <c r="E60" s="1351"/>
      <c r="F60" s="1369"/>
    </row>
    <row r="61" spans="2:12">
      <c r="B61" s="3194"/>
      <c r="C61" s="1370" t="s">
        <v>1753</v>
      </c>
      <c r="D61" s="1371" t="e">
        <f>IF(F58=H58,CO2計算_対象外!J118,CO2計算_後!J118)</f>
        <v>#VALUE!</v>
      </c>
      <c r="E61" s="1372" t="s">
        <v>158</v>
      </c>
      <c r="F61" s="1843" t="s">
        <v>1399</v>
      </c>
    </row>
    <row r="62" spans="2:12">
      <c r="B62" s="3194"/>
      <c r="C62" s="1370" t="s">
        <v>1754</v>
      </c>
      <c r="D62" s="1371" t="e">
        <f>IF(F58=H58,CO2計算_対象外!J120,CO2計算_後!J120)</f>
        <v>#VALUE!</v>
      </c>
      <c r="E62" s="1374" t="s">
        <v>158</v>
      </c>
      <c r="F62" s="1843" t="s">
        <v>1399</v>
      </c>
    </row>
    <row r="63" spans="2:12">
      <c r="B63" s="3194"/>
      <c r="C63" s="1373" t="s">
        <v>162</v>
      </c>
      <c r="D63" s="1374" t="e">
        <f>CO2データ!I95</f>
        <v>#VALUE!</v>
      </c>
      <c r="E63" s="1374" t="s">
        <v>158</v>
      </c>
      <c r="F63" s="1840" t="s">
        <v>1755</v>
      </c>
    </row>
    <row r="64" spans="2:12">
      <c r="B64" s="3194"/>
      <c r="C64" s="1373" t="s">
        <v>163</v>
      </c>
      <c r="D64" s="1374">
        <f>CO2データ!I97</f>
        <v>4.9799999999999997E-2</v>
      </c>
      <c r="E64" s="1374" t="s">
        <v>158</v>
      </c>
      <c r="F64" s="1843" t="s">
        <v>1399</v>
      </c>
    </row>
    <row r="65" spans="2:6" ht="24">
      <c r="B65" s="3194"/>
      <c r="C65" s="1375" t="s">
        <v>164</v>
      </c>
      <c r="D65" s="1376">
        <f>CO2データ!I101</f>
        <v>6.855E-2</v>
      </c>
      <c r="E65" s="1376" t="s">
        <v>158</v>
      </c>
      <c r="F65" s="1865" t="s">
        <v>1399</v>
      </c>
    </row>
    <row r="66" spans="2:6">
      <c r="B66" s="1308"/>
      <c r="C66" s="1377" t="s">
        <v>165</v>
      </c>
      <c r="D66" s="1378"/>
      <c r="E66" s="1378"/>
      <c r="F66" s="1379"/>
    </row>
    <row r="67" spans="2:6">
      <c r="B67" s="1308"/>
      <c r="C67" s="1362"/>
      <c r="D67" s="1304"/>
      <c r="E67" s="1304"/>
      <c r="F67" s="1364"/>
    </row>
    <row r="68" spans="2:6">
      <c r="B68" s="3196" t="s">
        <v>843</v>
      </c>
      <c r="C68" s="3191"/>
      <c r="D68" s="3191"/>
      <c r="E68" s="3191"/>
      <c r="F68" s="3191"/>
    </row>
    <row r="69" spans="2:6">
      <c r="B69" s="3196"/>
      <c r="C69" s="3192"/>
      <c r="D69" s="3192"/>
      <c r="E69" s="3192"/>
      <c r="F69" s="3192"/>
    </row>
    <row r="70" spans="2:6">
      <c r="B70" s="3196"/>
      <c r="C70" s="3192"/>
      <c r="D70" s="3192"/>
      <c r="E70" s="3192"/>
      <c r="F70" s="3192"/>
    </row>
    <row r="71" spans="2:6">
      <c r="B71" s="3196"/>
      <c r="C71" s="3193"/>
      <c r="D71" s="3193"/>
      <c r="E71" s="3193"/>
      <c r="F71" s="3193"/>
    </row>
    <row r="72" spans="2:6"/>
  </sheetData>
  <sheetProtection password="CC47"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3" orientation="portrait" verticalDpi="0" r:id="rId1"/>
  <headerFooter alignWithMargins="0">
    <oddHeader>&amp;L&amp;F&amp;R&amp;A</oddHeader>
    <oddFooter>&amp;C&amp;P/&amp;N</oddFooter>
  </headerFooter>
</worksheet>
</file>

<file path=xl/worksheets/sheet23.xml><?xml version="1.0" encoding="utf-8"?>
<worksheet xmlns="http://schemas.openxmlformats.org/spreadsheetml/2006/main" xmlns:r="http://schemas.openxmlformats.org/officeDocument/2006/relationships">
  <sheetPr codeName="Sheet12">
    <pageSetUpPr fitToPage="1"/>
  </sheetPr>
  <dimension ref="A1:H72"/>
  <sheetViews>
    <sheetView showGridLines="0" topLeftCell="A4" zoomScaleNormal="100" workbookViewId="0">
      <selection activeCell="F2" sqref="F2"/>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384" width="9" hidden="1"/>
  </cols>
  <sheetData>
    <row r="1" spans="2:6" ht="6" customHeight="1"/>
    <row r="2" spans="2:6" ht="18.75">
      <c r="B2" s="1297" t="s">
        <v>108</v>
      </c>
      <c r="C2" s="776"/>
      <c r="D2" s="776"/>
      <c r="E2" s="511" t="s">
        <v>798</v>
      </c>
      <c r="F2" s="2691">
        <f>メイン!C11</f>
        <v>0</v>
      </c>
    </row>
    <row r="3" spans="2:6" ht="16.5" customHeight="1">
      <c r="F3" s="1298" t="str">
        <f>メイン!C5</f>
        <v>CASBEE京都-改修2015（v.1.0）</v>
      </c>
    </row>
    <row r="4" spans="2:6">
      <c r="B4" s="3197" t="s">
        <v>109</v>
      </c>
      <c r="C4" s="3198"/>
      <c r="D4" s="1299" t="s">
        <v>110</v>
      </c>
      <c r="E4" s="1300" t="s">
        <v>111</v>
      </c>
      <c r="F4" s="1300" t="s">
        <v>840</v>
      </c>
    </row>
    <row r="5" spans="2:6" ht="35.25" customHeight="1">
      <c r="B5" s="3199" t="s">
        <v>112</v>
      </c>
      <c r="C5" s="1300" t="s">
        <v>841</v>
      </c>
      <c r="D5" s="1299" t="str">
        <f>メイン!C21</f>
        <v/>
      </c>
      <c r="E5" s="1299" t="str">
        <f>D5</f>
        <v/>
      </c>
      <c r="F5" s="1300"/>
    </row>
    <row r="6" spans="2:6">
      <c r="B6" s="3200"/>
      <c r="C6" s="1300" t="s">
        <v>113</v>
      </c>
      <c r="D6" s="1302">
        <f>メイン!C19</f>
        <v>0</v>
      </c>
      <c r="E6" s="1302">
        <f>D6</f>
        <v>0</v>
      </c>
      <c r="F6" s="1303"/>
    </row>
    <row r="7" spans="2:6">
      <c r="B7" s="3201"/>
      <c r="C7" s="1300" t="s">
        <v>114</v>
      </c>
      <c r="D7" s="1300" t="str">
        <f>メイン!C23</f>
        <v>S造</v>
      </c>
      <c r="E7" s="1300" t="str">
        <f>D7</f>
        <v>S造</v>
      </c>
      <c r="F7" s="1303"/>
    </row>
    <row r="8" spans="2:6" ht="31.5" customHeight="1">
      <c r="B8" s="1299" t="s">
        <v>115</v>
      </c>
      <c r="C8" s="1305" t="s">
        <v>116</v>
      </c>
      <c r="D8" s="1306" t="str">
        <f>CO2計算_前!O35</f>
        <v/>
      </c>
      <c r="E8" s="1306" t="str">
        <f>CO2計算_前!L35</f>
        <v/>
      </c>
      <c r="F8" s="1307"/>
    </row>
    <row r="9" spans="2:6" ht="19.5" customHeight="1">
      <c r="B9" s="1308"/>
      <c r="C9" s="1305" t="s">
        <v>117</v>
      </c>
      <c r="D9" s="1309" t="e">
        <f>CO2計算_前!O133</f>
        <v>#DIV/0!</v>
      </c>
      <c r="E9" s="1309" t="e">
        <f>CO2計算_前!L133</f>
        <v>#DIV/0!</v>
      </c>
      <c r="F9" s="1310" t="s">
        <v>118</v>
      </c>
    </row>
    <row r="10" spans="2:6" ht="29.25" customHeight="1">
      <c r="B10" s="3194" t="s">
        <v>120</v>
      </c>
      <c r="C10" s="1299" t="s">
        <v>121</v>
      </c>
      <c r="D10" s="1311" t="s">
        <v>1743</v>
      </c>
      <c r="E10" s="1312" t="s">
        <v>1845</v>
      </c>
      <c r="F10" s="1303"/>
    </row>
    <row r="11" spans="2:6" ht="25.5">
      <c r="B11" s="3194"/>
      <c r="C11" s="1299" t="s">
        <v>122</v>
      </c>
      <c r="D11" s="1311" t="s">
        <v>1744</v>
      </c>
      <c r="E11" s="1313" t="s">
        <v>123</v>
      </c>
      <c r="F11" s="1303"/>
    </row>
    <row r="12" spans="2:6">
      <c r="B12" s="3194"/>
      <c r="C12" s="1301" t="s">
        <v>167</v>
      </c>
      <c r="D12" s="1314" t="s">
        <v>124</v>
      </c>
      <c r="E12" s="1315" t="s">
        <v>123</v>
      </c>
      <c r="F12" s="1316"/>
    </row>
    <row r="13" spans="2:6">
      <c r="B13" s="3195"/>
      <c r="C13" s="1318" t="s">
        <v>125</v>
      </c>
      <c r="D13" s="1319"/>
      <c r="E13" s="1320"/>
      <c r="F13" s="1321"/>
    </row>
    <row r="14" spans="2:6" ht="19.5" customHeight="1">
      <c r="B14" s="3194"/>
      <c r="C14" s="1322" t="s">
        <v>126</v>
      </c>
      <c r="D14" s="1323" t="e">
        <f>CO2計算_前!O93</f>
        <v>#DIV/0!</v>
      </c>
      <c r="E14" s="1324" t="e">
        <f>CO2計算_前!L93</f>
        <v>#DIV/0!</v>
      </c>
      <c r="F14" s="1325" t="s">
        <v>127</v>
      </c>
    </row>
    <row r="15" spans="2:6" ht="14.25">
      <c r="B15" s="3194"/>
      <c r="C15" s="1391" t="s">
        <v>128</v>
      </c>
      <c r="D15" s="1327" t="e">
        <f>CO2計算_前!O94</f>
        <v>#DIV/0!</v>
      </c>
      <c r="E15" s="1328" t="e">
        <f>CO2計算_前!L94</f>
        <v>#DIV/0!</v>
      </c>
      <c r="F15" s="1329" t="s">
        <v>127</v>
      </c>
    </row>
    <row r="16" spans="2:6">
      <c r="B16" s="3194"/>
      <c r="C16" s="1326" t="s">
        <v>129</v>
      </c>
      <c r="D16" s="1327" t="e">
        <f>CO2計算_前!O95</f>
        <v>#DIV/0!</v>
      </c>
      <c r="E16" s="1328" t="e">
        <f>CO2計算_前!L95</f>
        <v>#DIV/0!</v>
      </c>
      <c r="F16" s="1330" t="s">
        <v>130</v>
      </c>
    </row>
    <row r="17" spans="2:6" hidden="1">
      <c r="B17" s="3194"/>
      <c r="C17" s="1326" t="s">
        <v>131</v>
      </c>
      <c r="D17" s="1327" t="e">
        <f>CO2計算_前!O96</f>
        <v>#DIV/0!</v>
      </c>
      <c r="E17" s="1328" t="e">
        <f>CO2計算_前!L96</f>
        <v>#DIV/0!</v>
      </c>
      <c r="F17" s="1330" t="s">
        <v>130</v>
      </c>
    </row>
    <row r="18" spans="2:6">
      <c r="B18" s="3194"/>
      <c r="C18" s="1326" t="s">
        <v>132</v>
      </c>
      <c r="D18" s="1327" t="e">
        <f>CO2計算_前!O97</f>
        <v>#DIV/0!</v>
      </c>
      <c r="E18" s="1328" t="e">
        <f>CO2計算_前!L97</f>
        <v>#DIV/0!</v>
      </c>
      <c r="F18" s="1330" t="s">
        <v>130</v>
      </c>
    </row>
    <row r="19" spans="2:6">
      <c r="B19" s="3194"/>
      <c r="C19" s="1326" t="s">
        <v>133</v>
      </c>
      <c r="D19" s="1327" t="e">
        <f>CO2計算_前!O98</f>
        <v>#DIV/0!</v>
      </c>
      <c r="E19" s="1328" t="e">
        <f>CO2計算_前!L98</f>
        <v>#DIV/0!</v>
      </c>
      <c r="F19" s="1330" t="s">
        <v>130</v>
      </c>
    </row>
    <row r="20" spans="2:6">
      <c r="B20" s="3194"/>
      <c r="C20" s="1331" t="s">
        <v>134</v>
      </c>
      <c r="D20" s="1331" t="s">
        <v>135</v>
      </c>
      <c r="E20" s="1332" t="s">
        <v>138</v>
      </c>
      <c r="F20" s="1333" t="s">
        <v>139</v>
      </c>
    </row>
    <row r="21" spans="2:6">
      <c r="B21" s="3195"/>
      <c r="C21" s="1318" t="s">
        <v>140</v>
      </c>
      <c r="D21" s="1319"/>
      <c r="E21" s="1320"/>
      <c r="F21" s="1334"/>
    </row>
    <row r="22" spans="2:6" ht="15">
      <c r="B22" s="3194"/>
      <c r="C22" s="1322" t="s">
        <v>126</v>
      </c>
      <c r="D22" s="1323">
        <v>266.70999999999998</v>
      </c>
      <c r="E22" s="1324" t="s">
        <v>138</v>
      </c>
      <c r="F22" s="1329" t="s">
        <v>141</v>
      </c>
    </row>
    <row r="23" spans="2:6" ht="15">
      <c r="B23" s="3194"/>
      <c r="C23" s="1326" t="s">
        <v>128</v>
      </c>
      <c r="D23" s="1327">
        <v>216.57</v>
      </c>
      <c r="E23" s="1328" t="s">
        <v>138</v>
      </c>
      <c r="F23" s="1330" t="s">
        <v>141</v>
      </c>
    </row>
    <row r="24" spans="2:6">
      <c r="B24" s="3194"/>
      <c r="C24" s="1326" t="s">
        <v>129</v>
      </c>
      <c r="D24" s="1327">
        <v>1.28</v>
      </c>
      <c r="E24" s="1328" t="s">
        <v>138</v>
      </c>
      <c r="F24" s="1330" t="s">
        <v>146</v>
      </c>
    </row>
    <row r="25" spans="2:6" hidden="1">
      <c r="B25" s="3194"/>
      <c r="C25" s="1326" t="s">
        <v>131</v>
      </c>
      <c r="D25" s="1327"/>
      <c r="E25" s="1328" t="s">
        <v>138</v>
      </c>
      <c r="F25" s="1330" t="s">
        <v>142</v>
      </c>
    </row>
    <row r="26" spans="2:6">
      <c r="B26" s="3194"/>
      <c r="C26" s="1326" t="s">
        <v>132</v>
      </c>
      <c r="D26" s="1327">
        <v>0.51</v>
      </c>
      <c r="E26" s="1328" t="s">
        <v>138</v>
      </c>
      <c r="F26" s="1330" t="s">
        <v>146</v>
      </c>
    </row>
    <row r="27" spans="2:6">
      <c r="B27" s="3194"/>
      <c r="C27" s="1326" t="s">
        <v>144</v>
      </c>
      <c r="D27" s="1327">
        <v>4.75</v>
      </c>
      <c r="E27" s="1328" t="s">
        <v>138</v>
      </c>
      <c r="F27" s="1330" t="s">
        <v>1800</v>
      </c>
    </row>
    <row r="28" spans="2:6">
      <c r="B28" s="3194"/>
      <c r="C28" s="1331" t="s">
        <v>134</v>
      </c>
      <c r="D28" s="1331" t="s">
        <v>135</v>
      </c>
      <c r="E28" s="1332" t="s">
        <v>145</v>
      </c>
      <c r="F28" s="1330" t="s">
        <v>146</v>
      </c>
    </row>
    <row r="29" spans="2:6">
      <c r="B29" s="3195"/>
      <c r="C29" s="1318" t="s">
        <v>147</v>
      </c>
      <c r="D29" s="1319"/>
      <c r="E29" s="1335"/>
      <c r="F29" s="1336"/>
    </row>
    <row r="30" spans="2:6" ht="24" customHeight="1">
      <c r="B30" s="3194"/>
      <c r="C30" s="1322" t="s">
        <v>148</v>
      </c>
      <c r="D30" s="1337">
        <v>0</v>
      </c>
      <c r="E30" s="2391">
        <f>'条件(標準)_後'!E30</f>
        <v>0</v>
      </c>
      <c r="F30" s="1325">
        <f>'条件(標準)_後'!F30</f>
        <v>0</v>
      </c>
    </row>
    <row r="31" spans="2:6" ht="24" customHeight="1">
      <c r="B31" s="3194"/>
      <c r="C31" s="1322" t="s">
        <v>149</v>
      </c>
      <c r="D31" s="1337">
        <v>0</v>
      </c>
      <c r="E31" s="1342">
        <f>'条件(標準)_後'!E31</f>
        <v>0.3</v>
      </c>
      <c r="F31" s="1329">
        <f>'条件(標準)_後'!F31</f>
        <v>0</v>
      </c>
    </row>
    <row r="32" spans="2:6" ht="24" customHeight="1">
      <c r="B32" s="3194"/>
      <c r="C32" s="1326" t="s">
        <v>150</v>
      </c>
      <c r="D32" s="1337">
        <v>0</v>
      </c>
      <c r="E32" s="1342">
        <v>0</v>
      </c>
      <c r="F32" s="1329"/>
    </row>
    <row r="33" spans="2:6" ht="24" customHeight="1">
      <c r="B33" s="3194"/>
      <c r="C33" s="1343" t="s">
        <v>151</v>
      </c>
      <c r="D33" s="1344">
        <v>0</v>
      </c>
      <c r="E33" s="1345">
        <v>0</v>
      </c>
      <c r="F33" s="1846"/>
    </row>
    <row r="34" spans="2:6" ht="19.5" customHeight="1">
      <c r="B34" s="1301"/>
      <c r="C34" s="1347" t="s">
        <v>117</v>
      </c>
      <c r="D34" s="1348" t="e">
        <f>CO2計算_前!O134</f>
        <v>#DIV/0!</v>
      </c>
      <c r="E34" s="1349" t="e">
        <f>CO2計算_前!L134</f>
        <v>#DIV/0!</v>
      </c>
      <c r="F34" s="1310" t="s">
        <v>118</v>
      </c>
    </row>
    <row r="35" spans="2:6">
      <c r="B35" s="1317" t="s">
        <v>446</v>
      </c>
      <c r="C35" s="1350" t="s">
        <v>152</v>
      </c>
      <c r="D35" s="1351"/>
      <c r="E35" s="1351"/>
      <c r="F35" s="1321"/>
    </row>
    <row r="36" spans="2:6">
      <c r="B36" s="1308" t="s">
        <v>153</v>
      </c>
      <c r="C36" s="1352" t="s">
        <v>582</v>
      </c>
      <c r="D36" s="1353">
        <f>CO2データ!I269</f>
        <v>25</v>
      </c>
      <c r="E36" s="1353">
        <f>D36</f>
        <v>25</v>
      </c>
      <c r="F36" s="1354"/>
    </row>
    <row r="37" spans="2:6" ht="13.5" hidden="1" customHeight="1">
      <c r="B37" s="1308"/>
      <c r="C37" s="1355" t="s">
        <v>154</v>
      </c>
      <c r="D37" s="1356">
        <f>CO2データ!I270</f>
        <v>0</v>
      </c>
      <c r="E37" s="1356"/>
      <c r="F37" s="1357"/>
    </row>
    <row r="38" spans="2:6">
      <c r="B38" s="1308"/>
      <c r="C38" s="1326" t="s">
        <v>581</v>
      </c>
      <c r="D38" s="1356">
        <f>CO2データ!I271</f>
        <v>18</v>
      </c>
      <c r="E38" s="1356">
        <f>D38</f>
        <v>18</v>
      </c>
      <c r="F38" s="1357"/>
    </row>
    <row r="39" spans="2:6">
      <c r="B39" s="1308"/>
      <c r="C39" s="1355" t="s">
        <v>155</v>
      </c>
      <c r="D39" s="1353">
        <f>CO2データ!I272</f>
        <v>15</v>
      </c>
      <c r="E39" s="1353">
        <f>D39</f>
        <v>15</v>
      </c>
      <c r="F39" s="1354"/>
    </row>
    <row r="40" spans="2:6">
      <c r="B40" s="1317"/>
      <c r="C40" s="1350" t="s">
        <v>156</v>
      </c>
      <c r="D40" s="1351"/>
      <c r="E40" s="1351"/>
      <c r="F40" s="1321"/>
    </row>
    <row r="41" spans="2:6">
      <c r="B41" s="1308"/>
      <c r="C41" s="1355" t="s">
        <v>582</v>
      </c>
      <c r="D41" s="1358">
        <f>CO2データ!I275</f>
        <v>0.01</v>
      </c>
      <c r="E41" s="1358">
        <f>D41</f>
        <v>0.01</v>
      </c>
      <c r="F41" s="1359"/>
    </row>
    <row r="42" spans="2:6">
      <c r="B42" s="1308"/>
      <c r="C42" s="1326" t="s">
        <v>581</v>
      </c>
      <c r="D42" s="1360">
        <f>CO2データ!I276</f>
        <v>0.01</v>
      </c>
      <c r="E42" s="1360">
        <f>D42</f>
        <v>0.01</v>
      </c>
      <c r="F42" s="1361"/>
    </row>
    <row r="43" spans="2:6">
      <c r="B43" s="1308"/>
      <c r="C43" s="1362" t="s">
        <v>155</v>
      </c>
      <c r="D43" s="1363">
        <f>CO2データ!I277</f>
        <v>0.02</v>
      </c>
      <c r="E43" s="1363">
        <f>D43</f>
        <v>0.02</v>
      </c>
      <c r="F43" s="1364"/>
    </row>
    <row r="44" spans="2:6" ht="27.75" customHeight="1">
      <c r="B44" s="1365"/>
      <c r="C44" s="1305" t="s">
        <v>157</v>
      </c>
      <c r="D44" s="1311" t="s">
        <v>1846</v>
      </c>
      <c r="E44" s="1299" t="s">
        <v>158</v>
      </c>
      <c r="F44" s="1303"/>
    </row>
    <row r="45" spans="2:6">
      <c r="B45" s="1301"/>
      <c r="C45" s="1350" t="s">
        <v>117</v>
      </c>
      <c r="D45" s="1319"/>
      <c r="E45" s="1835"/>
      <c r="F45" s="1369"/>
    </row>
    <row r="46" spans="2:6" ht="24" customHeight="1">
      <c r="B46" s="1308"/>
      <c r="C46" s="1299" t="s">
        <v>1811</v>
      </c>
      <c r="D46" s="1309">
        <f>IF(F58=H58,CO2計算_対象外!O116,CO2計算_前!O116)</f>
        <v>0</v>
      </c>
      <c r="E46" s="1309">
        <f>IF(F58=H58,CO2計算_対象外!L116,CO2計算_前!L116)</f>
        <v>0</v>
      </c>
      <c r="F46" s="1310" t="s">
        <v>118</v>
      </c>
    </row>
    <row r="47" spans="2:6" ht="24" customHeight="1">
      <c r="B47" s="1308"/>
      <c r="C47" s="1322" t="s">
        <v>866</v>
      </c>
      <c r="D47" s="1836" t="s">
        <v>842</v>
      </c>
      <c r="E47" s="1837">
        <f>IF(F58=H58,CO2計算_対象外!L123,CO2計算_前!L123)</f>
        <v>0</v>
      </c>
      <c r="F47" s="1310" t="s">
        <v>118</v>
      </c>
    </row>
    <row r="48" spans="2:6" ht="24" hidden="1" customHeight="1">
      <c r="B48" s="3194" t="s">
        <v>159</v>
      </c>
      <c r="C48" s="1331" t="s">
        <v>845</v>
      </c>
      <c r="D48" s="1838"/>
      <c r="E48" s="1839"/>
      <c r="F48" s="1840" t="s">
        <v>118</v>
      </c>
    </row>
    <row r="49" spans="2:8" ht="24" hidden="1" customHeight="1">
      <c r="B49" s="3194"/>
      <c r="C49" s="2387"/>
      <c r="D49" s="1841"/>
      <c r="E49" s="1839"/>
      <c r="F49" s="1840"/>
    </row>
    <row r="50" spans="2:8" ht="24" hidden="1" customHeight="1">
      <c r="B50" s="3194"/>
      <c r="C50" s="2387"/>
      <c r="D50" s="1842"/>
      <c r="E50" s="2396"/>
      <c r="F50" s="1843"/>
    </row>
    <row r="51" spans="2:8" ht="24" hidden="1" customHeight="1">
      <c r="B51" s="3194"/>
      <c r="C51" s="1365"/>
      <c r="D51" s="1844" t="s">
        <v>849</v>
      </c>
      <c r="E51" s="1845" t="s">
        <v>842</v>
      </c>
      <c r="F51" s="1846"/>
    </row>
    <row r="52" spans="2:8" ht="24" customHeight="1">
      <c r="B52" s="3195"/>
      <c r="C52" s="1352" t="s">
        <v>1756</v>
      </c>
      <c r="D52" s="2395" t="s">
        <v>842</v>
      </c>
      <c r="E52" s="2397">
        <f>E47</f>
        <v>0</v>
      </c>
      <c r="F52" s="1325" t="s">
        <v>118</v>
      </c>
    </row>
    <row r="53" spans="2:8" ht="24" customHeight="1">
      <c r="B53" s="3194"/>
      <c r="C53" s="1331" t="s">
        <v>845</v>
      </c>
      <c r="D53" s="1848" t="s">
        <v>852</v>
      </c>
      <c r="E53" s="1849" t="s">
        <v>853</v>
      </c>
      <c r="F53" s="1329"/>
    </row>
    <row r="54" spans="2:8" ht="24" customHeight="1">
      <c r="B54" s="3194"/>
      <c r="C54" s="1308"/>
      <c r="D54" s="1848" t="s">
        <v>854</v>
      </c>
      <c r="E54" s="1849" t="s">
        <v>853</v>
      </c>
      <c r="F54" s="1330"/>
    </row>
    <row r="55" spans="2:8" ht="24" customHeight="1">
      <c r="B55" s="3194"/>
      <c r="C55" s="1308"/>
      <c r="D55" s="1848" t="s">
        <v>855</v>
      </c>
      <c r="E55" s="1849" t="s">
        <v>853</v>
      </c>
      <c r="F55" s="1330"/>
    </row>
    <row r="56" spans="2:8" ht="24" customHeight="1">
      <c r="B56" s="1308"/>
      <c r="C56" s="1308"/>
      <c r="D56" s="1848" t="s">
        <v>856</v>
      </c>
      <c r="E56" s="1849" t="s">
        <v>853</v>
      </c>
      <c r="F56" s="1346"/>
    </row>
    <row r="57" spans="2:8" ht="13.5" hidden="1" customHeight="1">
      <c r="B57" s="1308"/>
      <c r="C57" s="1365"/>
      <c r="D57" s="1850"/>
      <c r="E57" s="1845" t="s">
        <v>857</v>
      </c>
      <c r="F57" s="1846"/>
    </row>
    <row r="58" spans="2:8" ht="24">
      <c r="B58" s="3194" t="s">
        <v>159</v>
      </c>
      <c r="C58" s="1305" t="s">
        <v>160</v>
      </c>
      <c r="D58" s="1311" t="str">
        <f>'条件(標準)_後'!D58</f>
        <v>統計値より，一次エネルギー消費量の平均値を引用</v>
      </c>
      <c r="E58" s="1311" t="str">
        <f>'条件(標準)_後'!E58</f>
        <v>LR1の取組による省エネルギー量を推定</v>
      </c>
      <c r="F58" s="1311">
        <f>'条件(標準)_後'!F58</f>
        <v>0</v>
      </c>
      <c r="H58" t="s">
        <v>1749</v>
      </c>
    </row>
    <row r="59" spans="2:8" ht="25.5" customHeight="1">
      <c r="B59" s="3194"/>
      <c r="C59" s="1347" t="s">
        <v>161</v>
      </c>
      <c r="D59" s="1366">
        <f>IF(F58=H58,SUM(CO2計算_対象外!H118:H121),SUM(CO2計算_前!H118:H121))</f>
        <v>0</v>
      </c>
      <c r="E59" s="1366" t="e">
        <f>IF(F58=H58,SUM(CO2計算_対象外!I125:I127),SUM(CO2計算_前!I125:I127))</f>
        <v>#VALUE!</v>
      </c>
      <c r="F59" s="1367" t="s">
        <v>1334</v>
      </c>
    </row>
    <row r="60" spans="2:8">
      <c r="B60" s="3195"/>
      <c r="C60" s="1368" t="s">
        <v>1752</v>
      </c>
      <c r="D60" s="1351"/>
      <c r="E60" s="1351"/>
      <c r="F60" s="1369"/>
    </row>
    <row r="61" spans="2:8">
      <c r="B61" s="3194"/>
      <c r="C61" s="1370" t="s">
        <v>1753</v>
      </c>
      <c r="D61" s="1371" t="e">
        <f>IF(F58=H58,CO2計算_対象外!J118,CO2計算_前!J118)</f>
        <v>#VALUE!</v>
      </c>
      <c r="E61" s="1372" t="s">
        <v>158</v>
      </c>
      <c r="F61" s="1843" t="s">
        <v>1399</v>
      </c>
    </row>
    <row r="62" spans="2:8">
      <c r="B62" s="3194"/>
      <c r="C62" s="1370" t="s">
        <v>1754</v>
      </c>
      <c r="D62" s="1371" t="e">
        <f>IF(F58=H58,CO2計算_対象外!J120,CO2計算_前!J120)</f>
        <v>#VALUE!</v>
      </c>
      <c r="E62" s="1374" t="s">
        <v>158</v>
      </c>
      <c r="F62" s="1843" t="s">
        <v>1399</v>
      </c>
    </row>
    <row r="63" spans="2:8">
      <c r="B63" s="3194"/>
      <c r="C63" s="1373" t="s">
        <v>162</v>
      </c>
      <c r="D63" s="1374" t="e">
        <f>CO2データ!I95</f>
        <v>#VALUE!</v>
      </c>
      <c r="E63" s="1374" t="s">
        <v>158</v>
      </c>
      <c r="F63" s="1840" t="s">
        <v>1755</v>
      </c>
    </row>
    <row r="64" spans="2:8">
      <c r="B64" s="3194"/>
      <c r="C64" s="1373" t="s">
        <v>163</v>
      </c>
      <c r="D64" s="1374">
        <f>CO2データ!I97</f>
        <v>4.9799999999999997E-2</v>
      </c>
      <c r="E64" s="1374" t="s">
        <v>158</v>
      </c>
      <c r="F64" s="1843" t="s">
        <v>1399</v>
      </c>
    </row>
    <row r="65" spans="2:6" ht="24">
      <c r="B65" s="3194"/>
      <c r="C65" s="1375" t="s">
        <v>164</v>
      </c>
      <c r="D65" s="1376">
        <f>CO2データ!I101</f>
        <v>6.855E-2</v>
      </c>
      <c r="E65" s="1376" t="s">
        <v>158</v>
      </c>
      <c r="F65" s="1865" t="s">
        <v>1399</v>
      </c>
    </row>
    <row r="66" spans="2:6">
      <c r="B66" s="1308"/>
      <c r="C66" s="1377" t="s">
        <v>165</v>
      </c>
      <c r="D66" s="1378"/>
      <c r="E66" s="1378"/>
      <c r="F66" s="1379"/>
    </row>
    <row r="67" spans="2:6">
      <c r="B67" s="1308"/>
      <c r="C67" s="1362"/>
      <c r="D67" s="1304"/>
      <c r="E67" s="1304"/>
      <c r="F67" s="1364"/>
    </row>
    <row r="68" spans="2:6">
      <c r="B68" s="3196" t="s">
        <v>843</v>
      </c>
      <c r="C68" s="3191"/>
      <c r="D68" s="3191"/>
      <c r="E68" s="3191"/>
      <c r="F68" s="3191"/>
    </row>
    <row r="69" spans="2:6">
      <c r="B69" s="3196"/>
      <c r="C69" s="3192"/>
      <c r="D69" s="3192"/>
      <c r="E69" s="3192"/>
      <c r="F69" s="3192"/>
    </row>
    <row r="70" spans="2:6">
      <c r="B70" s="3196"/>
      <c r="C70" s="3192"/>
      <c r="D70" s="3192"/>
      <c r="E70" s="3192"/>
      <c r="F70" s="3192"/>
    </row>
    <row r="71" spans="2:6">
      <c r="B71" s="3196"/>
      <c r="C71" s="3193"/>
      <c r="D71" s="3193"/>
      <c r="E71" s="3193"/>
      <c r="F71" s="3193"/>
    </row>
    <row r="72" spans="2:6"/>
  </sheetData>
  <sheetProtection password="CC47" sheet="1" objects="1" scenarios="1"/>
  <mergeCells count="10">
    <mergeCell ref="F68:F71"/>
    <mergeCell ref="B58:B65"/>
    <mergeCell ref="B68:B71"/>
    <mergeCell ref="B4:C4"/>
    <mergeCell ref="B5:B7"/>
    <mergeCell ref="B10:B33"/>
    <mergeCell ref="C68:C71"/>
    <mergeCell ref="D68:D71"/>
    <mergeCell ref="E68:E71"/>
    <mergeCell ref="B48:B55"/>
  </mergeCells>
  <phoneticPr fontId="20"/>
  <printOptions horizontalCentered="1"/>
  <pageMargins left="0.59055118110236227" right="0.59055118110236227" top="0.78740157480314965" bottom="0.59055118110236227" header="0.51181102362204722" footer="0.51181102362204722"/>
  <pageSetup paperSize="9" scale="74" orientation="portrait" r:id="rId1"/>
  <headerFooter alignWithMargins="0">
    <oddHeader>&amp;L&amp;F&amp;R&amp;A</oddHeader>
    <oddFooter>&amp;C&amp;P/&amp;N</oddFooter>
  </headerFooter>
</worksheet>
</file>

<file path=xl/worksheets/sheet24.xml><?xml version="1.0" encoding="utf-8"?>
<worksheet xmlns="http://schemas.openxmlformats.org/spreadsheetml/2006/main" xmlns:r="http://schemas.openxmlformats.org/officeDocument/2006/relationships">
  <sheetPr codeName="Sheet10"/>
  <dimension ref="B1:H90"/>
  <sheetViews>
    <sheetView showGridLines="0" zoomScaleNormal="100" workbookViewId="0">
      <selection activeCell="F2" sqref="F2"/>
    </sheetView>
  </sheetViews>
  <sheetFormatPr defaultColWidth="0" defaultRowHeight="13.5" zeroHeight="1"/>
  <cols>
    <col min="1" max="1" width="2" customWidth="1"/>
    <col min="2" max="2" width="10.625" customWidth="1"/>
    <col min="3" max="3" width="17.875" customWidth="1"/>
    <col min="4" max="4" width="30.25" customWidth="1"/>
    <col min="5" max="5" width="29.125" customWidth="1"/>
    <col min="6" max="6" width="16.125" customWidth="1"/>
    <col min="7" max="7" width="1.875" customWidth="1"/>
    <col min="8" max="8" width="10.125" hidden="1" customWidth="1"/>
  </cols>
  <sheetData>
    <row r="1" spans="2:6" ht="6" customHeight="1"/>
    <row r="2" spans="2:6" ht="18.75">
      <c r="B2" s="1297" t="s">
        <v>166</v>
      </c>
      <c r="C2" s="776"/>
      <c r="D2" s="776"/>
      <c r="E2" s="511" t="s">
        <v>798</v>
      </c>
      <c r="F2" s="2691">
        <f>メイン!H11</f>
        <v>0</v>
      </c>
    </row>
    <row r="3" spans="2:6" ht="15.75" customHeight="1">
      <c r="F3" s="1298" t="str">
        <f>メイン!C5</f>
        <v>CASBEE京都-改修2015（v.1.0）</v>
      </c>
    </row>
    <row r="4" spans="2:6">
      <c r="B4" s="3197" t="s">
        <v>109</v>
      </c>
      <c r="C4" s="3198"/>
      <c r="D4" s="1299" t="s">
        <v>110</v>
      </c>
      <c r="E4" s="1300" t="s">
        <v>111</v>
      </c>
      <c r="F4" s="1300" t="s">
        <v>840</v>
      </c>
    </row>
    <row r="5" spans="2:6" ht="27" customHeight="1">
      <c r="B5" s="3199" t="s">
        <v>112</v>
      </c>
      <c r="C5" s="1300" t="s">
        <v>841</v>
      </c>
      <c r="D5" s="1299" t="str">
        <f>メイン!H21</f>
        <v/>
      </c>
      <c r="E5" s="1299" t="str">
        <f>D5</f>
        <v/>
      </c>
      <c r="F5" s="1380"/>
    </row>
    <row r="6" spans="2:6">
      <c r="B6" s="3200"/>
      <c r="C6" s="1300" t="s">
        <v>113</v>
      </c>
      <c r="D6" s="1302">
        <f>メイン!H19</f>
        <v>0</v>
      </c>
      <c r="E6" s="1302">
        <f>D6</f>
        <v>0</v>
      </c>
      <c r="F6" s="1381"/>
    </row>
    <row r="7" spans="2:6">
      <c r="B7" s="3201"/>
      <c r="C7" s="1300" t="s">
        <v>114</v>
      </c>
      <c r="D7" s="1300" t="str">
        <f>メイン!H23</f>
        <v>S造</v>
      </c>
      <c r="E7" s="1300" t="str">
        <f>D7</f>
        <v>S造</v>
      </c>
      <c r="F7" s="1381"/>
    </row>
    <row r="8" spans="2:6" ht="31.5" customHeight="1">
      <c r="B8" s="1299" t="s">
        <v>115</v>
      </c>
      <c r="C8" s="1305" t="s">
        <v>116</v>
      </c>
      <c r="D8" s="1382"/>
      <c r="E8" s="1382"/>
      <c r="F8" s="1383"/>
    </row>
    <row r="9" spans="2:6" ht="19.5" customHeight="1">
      <c r="B9" s="1308"/>
      <c r="C9" s="1305" t="s">
        <v>117</v>
      </c>
      <c r="D9" s="1384">
        <v>6</v>
      </c>
      <c r="E9" s="1384">
        <v>5</v>
      </c>
      <c r="F9" s="1383" t="s">
        <v>118</v>
      </c>
    </row>
    <row r="10" spans="2:6" ht="29.25" customHeight="1">
      <c r="B10" s="3194" t="s">
        <v>120</v>
      </c>
      <c r="C10" s="1299" t="s">
        <v>121</v>
      </c>
      <c r="D10" s="1385"/>
      <c r="E10" s="1386"/>
      <c r="F10" s="1381"/>
    </row>
    <row r="11" spans="2:6" ht="27" customHeight="1">
      <c r="B11" s="3194"/>
      <c r="C11" s="1299" t="s">
        <v>122</v>
      </c>
      <c r="D11" s="1385"/>
      <c r="E11" s="1387"/>
      <c r="F11" s="1381"/>
    </row>
    <row r="12" spans="2:6" ht="30.75" customHeight="1">
      <c r="B12" s="3194"/>
      <c r="C12" s="1299" t="s">
        <v>167</v>
      </c>
      <c r="D12" s="1385"/>
      <c r="E12" s="1387"/>
      <c r="F12" s="1383"/>
    </row>
    <row r="13" spans="2:6">
      <c r="B13" s="3194"/>
      <c r="C13" s="1318" t="s">
        <v>125</v>
      </c>
      <c r="D13" s="1319"/>
      <c r="E13" s="1320"/>
      <c r="F13" s="1321"/>
    </row>
    <row r="14" spans="2:6" ht="14.25">
      <c r="B14" s="3194"/>
      <c r="C14" s="1352" t="s">
        <v>126</v>
      </c>
      <c r="D14" s="1388" t="s">
        <v>168</v>
      </c>
      <c r="E14" s="1389" t="s">
        <v>169</v>
      </c>
      <c r="F14" s="1390" t="s">
        <v>127</v>
      </c>
    </row>
    <row r="15" spans="2:6" ht="14.25">
      <c r="B15" s="3194"/>
      <c r="C15" s="1391" t="s">
        <v>128</v>
      </c>
      <c r="D15" s="1392" t="s">
        <v>170</v>
      </c>
      <c r="E15" s="1393" t="s">
        <v>138</v>
      </c>
      <c r="F15" s="1394" t="s">
        <v>127</v>
      </c>
    </row>
    <row r="16" spans="2:6">
      <c r="B16" s="3194"/>
      <c r="C16" s="1326" t="s">
        <v>129</v>
      </c>
      <c r="D16" s="1392" t="s">
        <v>135</v>
      </c>
      <c r="E16" s="1393" t="s">
        <v>138</v>
      </c>
      <c r="F16" s="1395" t="s">
        <v>130</v>
      </c>
    </row>
    <row r="17" spans="2:6">
      <c r="B17" s="3194"/>
      <c r="C17" s="1326" t="s">
        <v>131</v>
      </c>
      <c r="D17" s="1392" t="s">
        <v>171</v>
      </c>
      <c r="E17" s="1393" t="s">
        <v>138</v>
      </c>
      <c r="F17" s="1395" t="s">
        <v>130</v>
      </c>
    </row>
    <row r="18" spans="2:6">
      <c r="B18" s="3194"/>
      <c r="C18" s="1326" t="s">
        <v>132</v>
      </c>
      <c r="D18" s="1392" t="s">
        <v>135</v>
      </c>
      <c r="E18" s="1393" t="s">
        <v>138</v>
      </c>
      <c r="F18" s="1395" t="s">
        <v>130</v>
      </c>
    </row>
    <row r="19" spans="2:6">
      <c r="B19" s="3194"/>
      <c r="C19" s="1392" t="s">
        <v>134</v>
      </c>
      <c r="D19" s="1392" t="s">
        <v>135</v>
      </c>
      <c r="E19" s="1393" t="s">
        <v>145</v>
      </c>
      <c r="F19" s="1395" t="s">
        <v>130</v>
      </c>
    </row>
    <row r="20" spans="2:6">
      <c r="B20" s="3194"/>
      <c r="C20" s="1396" t="s">
        <v>134</v>
      </c>
      <c r="D20" s="1396" t="s">
        <v>135</v>
      </c>
      <c r="E20" s="1397" t="s">
        <v>138</v>
      </c>
      <c r="F20" s="1398" t="s">
        <v>172</v>
      </c>
    </row>
    <row r="21" spans="2:6">
      <c r="B21" s="3195"/>
      <c r="C21" s="1318" t="s">
        <v>140</v>
      </c>
      <c r="D21" s="1319"/>
      <c r="E21" s="1320"/>
      <c r="F21" s="1321"/>
    </row>
    <row r="22" spans="2:6" ht="15">
      <c r="B22" s="3194"/>
      <c r="C22" s="1322" t="s">
        <v>126</v>
      </c>
      <c r="D22" s="1399" t="s">
        <v>1801</v>
      </c>
      <c r="E22" s="1400" t="s">
        <v>138</v>
      </c>
      <c r="F22" s="1394" t="s">
        <v>141</v>
      </c>
    </row>
    <row r="23" spans="2:6" ht="15">
      <c r="B23" s="3194"/>
      <c r="C23" s="1391" t="s">
        <v>128</v>
      </c>
      <c r="D23" s="1392" t="s">
        <v>1801</v>
      </c>
      <c r="E23" s="1393" t="s">
        <v>138</v>
      </c>
      <c r="F23" s="1395" t="s">
        <v>141</v>
      </c>
    </row>
    <row r="24" spans="2:6">
      <c r="B24" s="3194"/>
      <c r="C24" s="1326" t="s">
        <v>129</v>
      </c>
      <c r="D24" s="1392" t="s">
        <v>1801</v>
      </c>
      <c r="E24" s="1393" t="s">
        <v>138</v>
      </c>
      <c r="F24" s="1395" t="s">
        <v>146</v>
      </c>
    </row>
    <row r="25" spans="2:6">
      <c r="B25" s="3194"/>
      <c r="C25" s="1326" t="s">
        <v>131</v>
      </c>
      <c r="D25" s="1392" t="s">
        <v>1801</v>
      </c>
      <c r="E25" s="1393" t="s">
        <v>138</v>
      </c>
      <c r="F25" s="1395" t="s">
        <v>146</v>
      </c>
    </row>
    <row r="26" spans="2:6">
      <c r="B26" s="3194"/>
      <c r="C26" s="1326" t="s">
        <v>132</v>
      </c>
      <c r="D26" s="1392" t="s">
        <v>1801</v>
      </c>
      <c r="E26" s="1393" t="s">
        <v>138</v>
      </c>
      <c r="F26" s="1395" t="s">
        <v>146</v>
      </c>
    </row>
    <row r="27" spans="2:6">
      <c r="B27" s="3194"/>
      <c r="C27" s="1401" t="s">
        <v>173</v>
      </c>
      <c r="D27" s="1392" t="s">
        <v>1801</v>
      </c>
      <c r="E27" s="1393" t="s">
        <v>138</v>
      </c>
      <c r="F27" s="1395" t="s">
        <v>146</v>
      </c>
    </row>
    <row r="28" spans="2:6">
      <c r="B28" s="3194"/>
      <c r="C28" s="1396" t="s">
        <v>134</v>
      </c>
      <c r="D28" s="1396" t="s">
        <v>1801</v>
      </c>
      <c r="E28" s="1397" t="s">
        <v>138</v>
      </c>
      <c r="F28" s="1395" t="s">
        <v>146</v>
      </c>
    </row>
    <row r="29" spans="2:6">
      <c r="B29" s="3195"/>
      <c r="C29" s="1318" t="s">
        <v>147</v>
      </c>
      <c r="D29" s="1319"/>
      <c r="E29" s="1320"/>
      <c r="F29" s="1369"/>
    </row>
    <row r="30" spans="2:6" ht="24" customHeight="1">
      <c r="B30" s="3194"/>
      <c r="C30" s="1322" t="s">
        <v>148</v>
      </c>
      <c r="D30" s="1402" t="s">
        <v>174</v>
      </c>
      <c r="E30" s="1402" t="s">
        <v>174</v>
      </c>
      <c r="F30" s="1403"/>
    </row>
    <row r="31" spans="2:6" ht="24" customHeight="1">
      <c r="B31" s="3194"/>
      <c r="C31" s="1322" t="s">
        <v>149</v>
      </c>
      <c r="D31" s="1402" t="s">
        <v>174</v>
      </c>
      <c r="E31" s="1402" t="s">
        <v>174</v>
      </c>
      <c r="F31" s="1403"/>
    </row>
    <row r="32" spans="2:6" ht="24" customHeight="1">
      <c r="B32" s="3194"/>
      <c r="C32" s="1326" t="s">
        <v>150</v>
      </c>
      <c r="D32" s="1402" t="s">
        <v>175</v>
      </c>
      <c r="E32" s="1402" t="s">
        <v>175</v>
      </c>
      <c r="F32" s="1404"/>
    </row>
    <row r="33" spans="2:6" ht="24" customHeight="1">
      <c r="B33" s="3194"/>
      <c r="C33" s="1343" t="s">
        <v>151</v>
      </c>
      <c r="D33" s="1405" t="s">
        <v>175</v>
      </c>
      <c r="E33" s="1405" t="s">
        <v>175</v>
      </c>
      <c r="F33" s="1406"/>
    </row>
    <row r="34" spans="2:6" ht="19.5" customHeight="1">
      <c r="B34" s="1301"/>
      <c r="C34" s="1347" t="s">
        <v>117</v>
      </c>
      <c r="D34" s="1407">
        <v>5</v>
      </c>
      <c r="E34" s="1407">
        <v>3</v>
      </c>
      <c r="F34" s="1383" t="s">
        <v>118</v>
      </c>
    </row>
    <row r="35" spans="2:6">
      <c r="B35" s="1317" t="s">
        <v>446</v>
      </c>
      <c r="C35" s="1350" t="s">
        <v>152</v>
      </c>
      <c r="D35" s="1351"/>
      <c r="E35" s="1351"/>
      <c r="F35" s="1321"/>
    </row>
    <row r="36" spans="2:6">
      <c r="B36" s="1308" t="s">
        <v>153</v>
      </c>
      <c r="C36" s="1362" t="s">
        <v>582</v>
      </c>
      <c r="D36" s="1408"/>
      <c r="E36" s="1408"/>
      <c r="F36" s="1409"/>
    </row>
    <row r="37" spans="2:6" hidden="1">
      <c r="B37" s="1308"/>
      <c r="C37" s="1362" t="s">
        <v>154</v>
      </c>
      <c r="D37" s="1408"/>
      <c r="E37" s="1408"/>
      <c r="F37" s="1383"/>
    </row>
    <row r="38" spans="2:6">
      <c r="B38" s="1308"/>
      <c r="C38" s="1305" t="s">
        <v>581</v>
      </c>
      <c r="D38" s="1382"/>
      <c r="E38" s="1382"/>
      <c r="F38" s="1383"/>
    </row>
    <row r="39" spans="2:6">
      <c r="B39" s="1308"/>
      <c r="C39" s="1347" t="s">
        <v>155</v>
      </c>
      <c r="D39" s="1410"/>
      <c r="E39" s="1410"/>
      <c r="F39" s="1411"/>
    </row>
    <row r="40" spans="2:6">
      <c r="B40" s="1317"/>
      <c r="C40" s="1350" t="s">
        <v>156</v>
      </c>
      <c r="D40" s="1351"/>
      <c r="E40" s="1351"/>
      <c r="F40" s="1321"/>
    </row>
    <row r="41" spans="2:6">
      <c r="B41" s="1308"/>
      <c r="C41" s="1362" t="s">
        <v>582</v>
      </c>
      <c r="D41" s="1412"/>
      <c r="E41" s="1412"/>
      <c r="F41" s="1379"/>
    </row>
    <row r="42" spans="2:6">
      <c r="B42" s="1308"/>
      <c r="C42" s="1305" t="s">
        <v>581</v>
      </c>
      <c r="D42" s="1413"/>
      <c r="E42" s="1413"/>
      <c r="F42" s="1381"/>
    </row>
    <row r="43" spans="2:6">
      <c r="B43" s="1308"/>
      <c r="C43" s="1305" t="s">
        <v>155</v>
      </c>
      <c r="D43" s="1413"/>
      <c r="E43" s="1413"/>
      <c r="F43" s="1381"/>
    </row>
    <row r="44" spans="2:6" ht="27.75" customHeight="1">
      <c r="B44" s="1365"/>
      <c r="C44" s="1305" t="s">
        <v>157</v>
      </c>
      <c r="D44" s="1385"/>
      <c r="E44" s="1414"/>
      <c r="F44" s="1381"/>
    </row>
    <row r="45" spans="2:6">
      <c r="B45" s="1301"/>
      <c r="C45" s="1350" t="s">
        <v>117</v>
      </c>
      <c r="D45" s="1319"/>
      <c r="E45" s="1835"/>
      <c r="F45" s="1369"/>
    </row>
    <row r="46" spans="2:6" ht="24" customHeight="1">
      <c r="B46" s="1308"/>
      <c r="C46" s="1322" t="s">
        <v>1811</v>
      </c>
      <c r="D46" s="1384">
        <v>3</v>
      </c>
      <c r="E46" s="1384">
        <v>2</v>
      </c>
      <c r="F46" s="1333" t="s">
        <v>118</v>
      </c>
    </row>
    <row r="47" spans="2:6" ht="24">
      <c r="B47" s="1308"/>
      <c r="C47" s="1322" t="s">
        <v>858</v>
      </c>
      <c r="D47" s="1836" t="s">
        <v>859</v>
      </c>
      <c r="E47" s="1851">
        <v>1</v>
      </c>
      <c r="F47" s="1333" t="s">
        <v>118</v>
      </c>
    </row>
    <row r="48" spans="2:6" ht="26.25" customHeight="1">
      <c r="B48" s="1308" t="s">
        <v>159</v>
      </c>
      <c r="C48" s="1355" t="s">
        <v>845</v>
      </c>
      <c r="D48" s="1838" t="s">
        <v>846</v>
      </c>
      <c r="E48" s="1852"/>
      <c r="F48" s="1395"/>
    </row>
    <row r="49" spans="2:8" ht="26.25" customHeight="1">
      <c r="B49" s="1308"/>
      <c r="C49" s="1355"/>
      <c r="D49" s="1841" t="s">
        <v>847</v>
      </c>
      <c r="E49" s="1853"/>
      <c r="F49" s="1395"/>
    </row>
    <row r="50" spans="2:8" ht="26.25" customHeight="1">
      <c r="B50" s="1308"/>
      <c r="C50" s="1355"/>
      <c r="D50" s="1842" t="s">
        <v>848</v>
      </c>
      <c r="E50" s="1852"/>
      <c r="F50" s="1395"/>
    </row>
    <row r="51" spans="2:8" ht="26.25" customHeight="1">
      <c r="B51" s="1308"/>
      <c r="C51" s="1365"/>
      <c r="D51" s="1844" t="s">
        <v>849</v>
      </c>
      <c r="E51" s="1854"/>
      <c r="F51" s="1855"/>
    </row>
    <row r="52" spans="2:8" ht="24">
      <c r="B52" s="1308"/>
      <c r="C52" s="1355" t="s">
        <v>851</v>
      </c>
      <c r="D52" s="1847" t="s">
        <v>850</v>
      </c>
      <c r="E52" s="1853">
        <v>-5</v>
      </c>
      <c r="F52" s="1346" t="s">
        <v>118</v>
      </c>
    </row>
    <row r="53" spans="2:8" ht="24" customHeight="1">
      <c r="B53" s="1308"/>
      <c r="C53" s="1331" t="s">
        <v>845</v>
      </c>
      <c r="D53" s="1848" t="s">
        <v>860</v>
      </c>
      <c r="E53" s="1852"/>
      <c r="F53" s="1395"/>
    </row>
    <row r="54" spans="2:8" ht="24" customHeight="1">
      <c r="B54" s="1308"/>
      <c r="C54" s="1308"/>
      <c r="D54" s="1848" t="s">
        <v>861</v>
      </c>
      <c r="E54" s="1852"/>
      <c r="F54" s="1395"/>
    </row>
    <row r="55" spans="2:8" ht="24" customHeight="1">
      <c r="B55" s="1308"/>
      <c r="C55" s="1308"/>
      <c r="D55" s="1848" t="s">
        <v>862</v>
      </c>
      <c r="E55" s="1852"/>
      <c r="F55" s="1395"/>
    </row>
    <row r="56" spans="2:8" ht="24" customHeight="1">
      <c r="B56" s="1308"/>
      <c r="C56" s="1308"/>
      <c r="D56" s="1848" t="s">
        <v>863</v>
      </c>
      <c r="E56" s="1852"/>
      <c r="F56" s="1395"/>
    </row>
    <row r="57" spans="2:8" ht="24" hidden="1" customHeight="1">
      <c r="B57" s="1308"/>
      <c r="C57" s="1305"/>
      <c r="D57" s="1384"/>
      <c r="E57" s="1384"/>
      <c r="F57" s="1383"/>
    </row>
    <row r="58" spans="2:8" ht="38.25" customHeight="1">
      <c r="B58" s="3194" t="s">
        <v>159</v>
      </c>
      <c r="C58" s="1305" t="s">
        <v>160</v>
      </c>
      <c r="D58" s="1385" t="s">
        <v>865</v>
      </c>
      <c r="E58" s="1385" t="s">
        <v>865</v>
      </c>
      <c r="F58" s="1395">
        <f>'条件(標準)_後'!F58</f>
        <v>0</v>
      </c>
      <c r="H58" t="s">
        <v>570</v>
      </c>
    </row>
    <row r="59" spans="2:8" ht="28.5" customHeight="1">
      <c r="B59" s="3194"/>
      <c r="C59" s="1347" t="s">
        <v>161</v>
      </c>
      <c r="D59" s="1415" t="s">
        <v>176</v>
      </c>
      <c r="E59" s="1415" t="s">
        <v>176</v>
      </c>
      <c r="F59" s="1416" t="s">
        <v>839</v>
      </c>
    </row>
    <row r="60" spans="2:8">
      <c r="B60" s="3195"/>
      <c r="C60" s="1368" t="s">
        <v>1752</v>
      </c>
      <c r="D60" s="1351"/>
      <c r="E60" s="1351"/>
      <c r="F60" s="1369"/>
    </row>
    <row r="61" spans="2:8">
      <c r="B61" s="3194"/>
      <c r="C61" s="1370" t="s">
        <v>1753</v>
      </c>
      <c r="D61" s="1417" t="s">
        <v>447</v>
      </c>
      <c r="E61" s="1417" t="s">
        <v>158</v>
      </c>
      <c r="F61" s="2416" t="s">
        <v>1131</v>
      </c>
    </row>
    <row r="62" spans="2:8">
      <c r="B62" s="3194"/>
      <c r="C62" s="1370" t="s">
        <v>1754</v>
      </c>
      <c r="D62" s="1417"/>
      <c r="E62" s="1417"/>
      <c r="F62" s="2416" t="s">
        <v>1131</v>
      </c>
    </row>
    <row r="63" spans="2:8">
      <c r="B63" s="3194"/>
      <c r="C63" s="1373" t="s">
        <v>162</v>
      </c>
      <c r="D63" s="1418" t="s">
        <v>447</v>
      </c>
      <c r="E63" s="1418" t="s">
        <v>158</v>
      </c>
      <c r="F63" s="2417" t="s">
        <v>1755</v>
      </c>
    </row>
    <row r="64" spans="2:8">
      <c r="B64" s="3194"/>
      <c r="C64" s="1373" t="s">
        <v>163</v>
      </c>
      <c r="D64" s="1418" t="s">
        <v>177</v>
      </c>
      <c r="E64" s="1418" t="s">
        <v>158</v>
      </c>
      <c r="F64" s="2416" t="s">
        <v>1131</v>
      </c>
    </row>
    <row r="65" spans="2:8" ht="24">
      <c r="B65" s="3194"/>
      <c r="C65" s="2419" t="s">
        <v>164</v>
      </c>
      <c r="D65" s="1419" t="s">
        <v>178</v>
      </c>
      <c r="E65" s="1419" t="s">
        <v>158</v>
      </c>
      <c r="F65" s="2418" t="s">
        <v>1131</v>
      </c>
    </row>
    <row r="66" spans="2:8">
      <c r="B66" s="1308"/>
      <c r="C66" s="1377" t="s">
        <v>165</v>
      </c>
      <c r="D66" s="1378"/>
      <c r="E66" s="1378"/>
      <c r="F66" s="1379"/>
    </row>
    <row r="67" spans="2:8">
      <c r="B67" s="1308"/>
      <c r="C67" s="1362"/>
      <c r="D67" s="1378"/>
      <c r="E67" s="1378"/>
      <c r="F67" s="1379"/>
    </row>
    <row r="68" spans="2:8">
      <c r="B68" s="3196" t="s">
        <v>843</v>
      </c>
      <c r="C68" s="3191"/>
      <c r="D68" s="3191"/>
      <c r="E68" s="3191"/>
      <c r="F68" s="3191"/>
    </row>
    <row r="69" spans="2:8">
      <c r="B69" s="3196"/>
      <c r="C69" s="3192"/>
      <c r="D69" s="3192"/>
      <c r="E69" s="3192"/>
      <c r="F69" s="3192"/>
    </row>
    <row r="70" spans="2:8">
      <c r="B70" s="3196"/>
      <c r="C70" s="3192"/>
      <c r="D70" s="3192"/>
      <c r="E70" s="3192"/>
      <c r="F70" s="3192"/>
    </row>
    <row r="71" spans="2:8">
      <c r="B71" s="3196"/>
      <c r="C71" s="3193"/>
      <c r="D71" s="3193"/>
      <c r="E71" s="3193"/>
      <c r="F71" s="3193"/>
    </row>
    <row r="72" spans="2:8"/>
    <row r="73" spans="2:8">
      <c r="B73" t="s">
        <v>1854</v>
      </c>
    </row>
    <row r="74" spans="2:8">
      <c r="B74" s="1301"/>
      <c r="C74" s="1318" t="s">
        <v>872</v>
      </c>
      <c r="D74" s="1319"/>
      <c r="E74" s="1320"/>
      <c r="F74" s="1334"/>
      <c r="H74" s="2449">
        <f>'条件(標準)_後'!F58</f>
        <v>0</v>
      </c>
    </row>
    <row r="75" spans="2:8">
      <c r="B75" s="1308"/>
      <c r="C75" s="1331" t="s">
        <v>873</v>
      </c>
      <c r="D75" s="1327" t="s">
        <v>874</v>
      </c>
      <c r="E75" s="1856">
        <f>IF(H74=H58,H75,(計画書_後!I43+計画書_後!M43+計画書_後!N43)/CO2データ!J96*1000)</f>
        <v>0</v>
      </c>
      <c r="F75" s="1330" t="s">
        <v>875</v>
      </c>
      <c r="H75">
        <f>(計画書_対象外!I43+計画書_対象外!M43+計画書_対象外!N43)/CO2データ!J96*1000</f>
        <v>0</v>
      </c>
    </row>
    <row r="76" spans="2:8">
      <c r="B76" s="1308" t="s">
        <v>1012</v>
      </c>
      <c r="C76" s="1308"/>
      <c r="D76" s="1327" t="s">
        <v>876</v>
      </c>
      <c r="E76" s="1856">
        <f>IF(H74=H58,H76,-((計画書_後!I41-計画書_後!I42)+(計画書_後!M41-計画書_後!M42)+(計画書_後!N41-計画書_後!N42))/CO2データ!J96*1000)</f>
        <v>0</v>
      </c>
      <c r="F76" s="1330" t="s">
        <v>877</v>
      </c>
      <c r="H76">
        <f>-((計画書_対象外!I41-計画書_対象外!I42)+(計画書_対象外!M41-計画書_対象外!M42)+(計画書_対象外!N41-計画書_対象外!N42))/CO2データ!J96*1000</f>
        <v>30737.704918032785</v>
      </c>
    </row>
    <row r="77" spans="2:8">
      <c r="B77" s="1308" t="s">
        <v>878</v>
      </c>
      <c r="C77" s="1322"/>
      <c r="D77" s="1327" t="s">
        <v>879</v>
      </c>
      <c r="E77" s="1856">
        <f>E75-E76</f>
        <v>0</v>
      </c>
      <c r="F77" s="1330" t="s">
        <v>877</v>
      </c>
    </row>
    <row r="78" spans="2:8">
      <c r="B78" s="1308"/>
      <c r="C78" s="1331" t="s">
        <v>880</v>
      </c>
      <c r="D78" s="1327" t="s">
        <v>881</v>
      </c>
      <c r="E78" s="1328" t="e">
        <f>E75*E81/E$6</f>
        <v>#VALUE!</v>
      </c>
      <c r="F78" s="1857" t="s">
        <v>118</v>
      </c>
    </row>
    <row r="79" spans="2:8">
      <c r="B79" s="1308"/>
      <c r="C79" s="1308"/>
      <c r="D79" s="1327" t="s">
        <v>882</v>
      </c>
      <c r="E79" s="1328" t="e">
        <f>E78-E80</f>
        <v>#VALUE!</v>
      </c>
      <c r="F79" s="1857" t="s">
        <v>118</v>
      </c>
    </row>
    <row r="80" spans="2:8">
      <c r="B80" s="1308"/>
      <c r="C80" s="1322"/>
      <c r="D80" s="1327" t="s">
        <v>883</v>
      </c>
      <c r="E80" s="1328" t="e">
        <f>E77*E82/E$6</f>
        <v>#VALUE!</v>
      </c>
      <c r="F80" s="1857" t="s">
        <v>118</v>
      </c>
    </row>
    <row r="81" spans="2:8" hidden="1">
      <c r="B81" s="1308"/>
      <c r="C81" s="1331" t="s">
        <v>884</v>
      </c>
      <c r="D81" s="1327" t="s">
        <v>885</v>
      </c>
      <c r="E81" s="1858" t="e">
        <f>CO2データ!I95</f>
        <v>#VALUE!</v>
      </c>
      <c r="F81" s="1857" t="s">
        <v>886</v>
      </c>
    </row>
    <row r="82" spans="2:8" hidden="1">
      <c r="B82" s="1308"/>
      <c r="C82" s="1308"/>
      <c r="D82" s="1327" t="s">
        <v>883</v>
      </c>
      <c r="E82" s="1858" t="e">
        <f>CO2データ!I95</f>
        <v>#VALUE!</v>
      </c>
      <c r="F82" s="1857" t="s">
        <v>887</v>
      </c>
    </row>
    <row r="83" spans="2:8" hidden="1">
      <c r="B83" s="1308"/>
      <c r="C83" s="1322"/>
      <c r="D83" s="1327" t="s">
        <v>840</v>
      </c>
      <c r="E83" s="1328" t="s">
        <v>888</v>
      </c>
      <c r="F83" s="1330"/>
    </row>
    <row r="84" spans="2:8">
      <c r="B84" s="1308"/>
      <c r="C84" s="1318" t="s">
        <v>889</v>
      </c>
      <c r="D84" s="1319"/>
      <c r="E84" s="1320"/>
      <c r="F84" s="1334"/>
    </row>
    <row r="85" spans="2:8">
      <c r="B85" s="1308"/>
      <c r="C85" s="1859" t="s">
        <v>890</v>
      </c>
      <c r="D85" s="1323"/>
      <c r="E85" s="1860" t="e">
        <f>IF(H74=H58,H85,(CO2計算_後!I125*計画書_後!T74+CO2計算_後!I127*CO2データ!N169+CO2計算_後!I126*CO2データ!N168)/CO2データ!J96*1000)</f>
        <v>#VALUE!</v>
      </c>
      <c r="F85" s="1329" t="s">
        <v>875</v>
      </c>
      <c r="H85">
        <f>(CO2計算_対象外!I125*計画書_対象外!T75+CO2計算_対象外!I127*CO2データ!N169+CO2計算_対象外!I126*CO2データ!N168)/CO2データ!J96*1000</f>
        <v>0</v>
      </c>
    </row>
    <row r="86" spans="2:8">
      <c r="B86" s="1308"/>
      <c r="C86" s="1331" t="s">
        <v>228</v>
      </c>
      <c r="D86" s="1327" t="s">
        <v>891</v>
      </c>
      <c r="E86" s="1858" t="e">
        <f>係数!D5*1000</f>
        <v>#VALUE!</v>
      </c>
      <c r="F86" s="1857" t="s">
        <v>892</v>
      </c>
    </row>
    <row r="87" spans="2:8">
      <c r="B87" s="1308"/>
      <c r="C87" s="1322"/>
      <c r="D87" s="1327" t="s">
        <v>893</v>
      </c>
      <c r="E87" s="1858" t="e">
        <f>係数!J50*1000</f>
        <v>#VALUE!</v>
      </c>
      <c r="F87" s="1857" t="s">
        <v>886</v>
      </c>
    </row>
    <row r="88" spans="2:8">
      <c r="B88" s="1308"/>
      <c r="C88" s="1331" t="s">
        <v>894</v>
      </c>
      <c r="D88" s="1861" t="s">
        <v>818</v>
      </c>
      <c r="E88" s="1862" t="e">
        <f>E85*(E86-E87)</f>
        <v>#VALUE!</v>
      </c>
      <c r="F88" s="1857" t="s">
        <v>826</v>
      </c>
    </row>
    <row r="89" spans="2:8">
      <c r="B89" s="1365"/>
      <c r="C89" s="1365"/>
      <c r="D89" s="1863" t="s">
        <v>895</v>
      </c>
      <c r="E89" s="1864" t="e">
        <f>E88/E6</f>
        <v>#VALUE!</v>
      </c>
      <c r="F89" s="1865" t="s">
        <v>118</v>
      </c>
    </row>
    <row r="90" spans="2:8"/>
  </sheetData>
  <sheetProtection password="CC47" sheet="1" objects="1" scenarios="1"/>
  <mergeCells count="9">
    <mergeCell ref="E68:E71"/>
    <mergeCell ref="F68:F71"/>
    <mergeCell ref="B58:B65"/>
    <mergeCell ref="B68:B71"/>
    <mergeCell ref="B4:C4"/>
    <mergeCell ref="B5:B7"/>
    <mergeCell ref="B10:B33"/>
    <mergeCell ref="C68:C71"/>
    <mergeCell ref="D68:D71"/>
  </mergeCells>
  <phoneticPr fontId="20"/>
  <printOptions horizontalCentered="1"/>
  <pageMargins left="0.59055118110236227" right="0.59055118110236227" top="0.78740157480314965" bottom="0.59055118110236227" header="0.51181102362204722" footer="0.51181102362204722"/>
  <pageSetup paperSize="9" scale="64"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25.xml><?xml version="1.0" encoding="utf-8"?>
<worksheet xmlns="http://schemas.openxmlformats.org/spreadsheetml/2006/main" xmlns:r="http://schemas.openxmlformats.org/officeDocument/2006/relationships">
  <sheetPr codeName="Sheet13"/>
  <dimension ref="A1:H90"/>
  <sheetViews>
    <sheetView showGridLines="0" zoomScaleNormal="100" workbookViewId="0">
      <selection activeCell="E14" sqref="E14"/>
    </sheetView>
  </sheetViews>
  <sheetFormatPr defaultColWidth="0" defaultRowHeight="13.5" zeroHeight="1"/>
  <cols>
    <col min="1" max="1" width="2" customWidth="1"/>
    <col min="2" max="2" width="10.625" customWidth="1"/>
    <col min="3" max="3" width="17.875" customWidth="1"/>
    <col min="4" max="4" width="30.25" customWidth="1"/>
    <col min="5" max="5" width="29.125" customWidth="1"/>
    <col min="6" max="6" width="16.125" customWidth="1"/>
    <col min="7" max="7" width="1.875" customWidth="1"/>
    <col min="8" max="8" width="0" hidden="1" customWidth="1"/>
    <col min="9" max="16384" width="9" hidden="1"/>
  </cols>
  <sheetData>
    <row r="1" spans="2:6" ht="6" customHeight="1"/>
    <row r="2" spans="2:6" ht="18.75">
      <c r="B2" s="1297" t="s">
        <v>166</v>
      </c>
      <c r="C2" s="776"/>
      <c r="D2" s="776"/>
      <c r="E2" s="511" t="s">
        <v>798</v>
      </c>
      <c r="F2" s="2691">
        <f>メイン!C11</f>
        <v>0</v>
      </c>
    </row>
    <row r="3" spans="2:6" ht="15.75" customHeight="1">
      <c r="F3" s="1298" t="str">
        <f>メイン!C5</f>
        <v>CASBEE京都-改修2015（v.1.0）</v>
      </c>
    </row>
    <row r="4" spans="2:6">
      <c r="B4" s="3197" t="s">
        <v>109</v>
      </c>
      <c r="C4" s="3198"/>
      <c r="D4" s="1299" t="s">
        <v>110</v>
      </c>
      <c r="E4" s="1300" t="s">
        <v>111</v>
      </c>
      <c r="F4" s="1300" t="s">
        <v>840</v>
      </c>
    </row>
    <row r="5" spans="2:6" ht="27" customHeight="1">
      <c r="B5" s="3199" t="s">
        <v>112</v>
      </c>
      <c r="C5" s="1300" t="s">
        <v>841</v>
      </c>
      <c r="D5" s="1299" t="str">
        <f>メイン!C21</f>
        <v/>
      </c>
      <c r="E5" s="1299" t="str">
        <f>D5</f>
        <v/>
      </c>
      <c r="F5" s="1380"/>
    </row>
    <row r="6" spans="2:6">
      <c r="B6" s="3200"/>
      <c r="C6" s="1300" t="s">
        <v>113</v>
      </c>
      <c r="D6" s="1302">
        <f>メイン!C19</f>
        <v>0</v>
      </c>
      <c r="E6" s="1302">
        <f>D6</f>
        <v>0</v>
      </c>
      <c r="F6" s="1381"/>
    </row>
    <row r="7" spans="2:6">
      <c r="B7" s="3201"/>
      <c r="C7" s="1300" t="s">
        <v>114</v>
      </c>
      <c r="D7" s="1300" t="str">
        <f>メイン!C23</f>
        <v>S造</v>
      </c>
      <c r="E7" s="1300" t="str">
        <f>D7</f>
        <v>S造</v>
      </c>
      <c r="F7" s="1381"/>
    </row>
    <row r="8" spans="2:6" ht="31.5" customHeight="1">
      <c r="B8" s="1299" t="s">
        <v>115</v>
      </c>
      <c r="C8" s="1305" t="s">
        <v>116</v>
      </c>
      <c r="D8" s="1382"/>
      <c r="E8" s="1382"/>
      <c r="F8" s="1383"/>
    </row>
    <row r="9" spans="2:6" ht="19.5" customHeight="1">
      <c r="B9" s="1308"/>
      <c r="C9" s="1305" t="s">
        <v>117</v>
      </c>
      <c r="D9" s="1384">
        <v>6</v>
      </c>
      <c r="E9" s="1384">
        <v>5</v>
      </c>
      <c r="F9" s="1383" t="s">
        <v>118</v>
      </c>
    </row>
    <row r="10" spans="2:6" ht="29.25" customHeight="1">
      <c r="B10" s="3194" t="s">
        <v>120</v>
      </c>
      <c r="C10" s="1299" t="s">
        <v>121</v>
      </c>
      <c r="D10" s="1385"/>
      <c r="E10" s="1386"/>
      <c r="F10" s="1381"/>
    </row>
    <row r="11" spans="2:6" ht="27" customHeight="1">
      <c r="B11" s="3194"/>
      <c r="C11" s="1299" t="s">
        <v>122</v>
      </c>
      <c r="D11" s="1385"/>
      <c r="E11" s="1387"/>
      <c r="F11" s="1381"/>
    </row>
    <row r="12" spans="2:6" ht="30.75" customHeight="1">
      <c r="B12" s="3194"/>
      <c r="C12" s="1299" t="s">
        <v>167</v>
      </c>
      <c r="D12" s="1385"/>
      <c r="E12" s="1387"/>
      <c r="F12" s="1383"/>
    </row>
    <row r="13" spans="2:6">
      <c r="B13" s="3194"/>
      <c r="C13" s="1318" t="s">
        <v>125</v>
      </c>
      <c r="D13" s="1319"/>
      <c r="E13" s="1320"/>
      <c r="F13" s="1321"/>
    </row>
    <row r="14" spans="2:6" ht="14.25">
      <c r="B14" s="3194"/>
      <c r="C14" s="1352" t="s">
        <v>126</v>
      </c>
      <c r="D14" s="1388" t="s">
        <v>168</v>
      </c>
      <c r="E14" s="1389" t="s">
        <v>169</v>
      </c>
      <c r="F14" s="1390" t="s">
        <v>127</v>
      </c>
    </row>
    <row r="15" spans="2:6" ht="14.25">
      <c r="B15" s="3194"/>
      <c r="C15" s="1391" t="s">
        <v>128</v>
      </c>
      <c r="D15" s="1392" t="s">
        <v>170</v>
      </c>
      <c r="E15" s="1393" t="s">
        <v>138</v>
      </c>
      <c r="F15" s="1394" t="s">
        <v>127</v>
      </c>
    </row>
    <row r="16" spans="2:6">
      <c r="B16" s="3194"/>
      <c r="C16" s="1326" t="s">
        <v>129</v>
      </c>
      <c r="D16" s="1392" t="s">
        <v>135</v>
      </c>
      <c r="E16" s="1393" t="s">
        <v>138</v>
      </c>
      <c r="F16" s="1395" t="s">
        <v>130</v>
      </c>
    </row>
    <row r="17" spans="2:6">
      <c r="B17" s="3194"/>
      <c r="C17" s="1326" t="s">
        <v>131</v>
      </c>
      <c r="D17" s="1392" t="s">
        <v>171</v>
      </c>
      <c r="E17" s="1393" t="s">
        <v>138</v>
      </c>
      <c r="F17" s="1395" t="s">
        <v>130</v>
      </c>
    </row>
    <row r="18" spans="2:6">
      <c r="B18" s="3194"/>
      <c r="C18" s="1326" t="s">
        <v>132</v>
      </c>
      <c r="D18" s="1392" t="s">
        <v>135</v>
      </c>
      <c r="E18" s="1393" t="s">
        <v>138</v>
      </c>
      <c r="F18" s="1395" t="s">
        <v>130</v>
      </c>
    </row>
    <row r="19" spans="2:6">
      <c r="B19" s="3194"/>
      <c r="C19" s="1392" t="s">
        <v>134</v>
      </c>
      <c r="D19" s="1392" t="s">
        <v>135</v>
      </c>
      <c r="E19" s="1393" t="s">
        <v>145</v>
      </c>
      <c r="F19" s="1395" t="s">
        <v>130</v>
      </c>
    </row>
    <row r="20" spans="2:6">
      <c r="B20" s="3194"/>
      <c r="C20" s="1396" t="s">
        <v>134</v>
      </c>
      <c r="D20" s="1396" t="s">
        <v>135</v>
      </c>
      <c r="E20" s="1397" t="s">
        <v>138</v>
      </c>
      <c r="F20" s="1398" t="s">
        <v>172</v>
      </c>
    </row>
    <row r="21" spans="2:6">
      <c r="B21" s="3195"/>
      <c r="C21" s="1318" t="s">
        <v>140</v>
      </c>
      <c r="D21" s="1319"/>
      <c r="E21" s="1320"/>
      <c r="F21" s="1321"/>
    </row>
    <row r="22" spans="2:6" ht="15">
      <c r="B22" s="3194"/>
      <c r="C22" s="1322" t="s">
        <v>126</v>
      </c>
      <c r="D22" s="1399" t="s">
        <v>168</v>
      </c>
      <c r="E22" s="1400" t="s">
        <v>169</v>
      </c>
      <c r="F22" s="1394" t="s">
        <v>141</v>
      </c>
    </row>
    <row r="23" spans="2:6" ht="15">
      <c r="B23" s="3194"/>
      <c r="C23" s="1391" t="s">
        <v>128</v>
      </c>
      <c r="D23" s="1392" t="s">
        <v>170</v>
      </c>
      <c r="E23" s="1393" t="s">
        <v>138</v>
      </c>
      <c r="F23" s="1395" t="s">
        <v>141</v>
      </c>
    </row>
    <row r="24" spans="2:6">
      <c r="B24" s="3194"/>
      <c r="C24" s="1326" t="s">
        <v>129</v>
      </c>
      <c r="D24" s="1392" t="s">
        <v>135</v>
      </c>
      <c r="E24" s="1393" t="s">
        <v>138</v>
      </c>
      <c r="F24" s="1395" t="s">
        <v>146</v>
      </c>
    </row>
    <row r="25" spans="2:6">
      <c r="B25" s="3194"/>
      <c r="C25" s="1326" t="s">
        <v>131</v>
      </c>
      <c r="D25" s="1392" t="s">
        <v>171</v>
      </c>
      <c r="E25" s="1393" t="s">
        <v>138</v>
      </c>
      <c r="F25" s="1395" t="s">
        <v>146</v>
      </c>
    </row>
    <row r="26" spans="2:6">
      <c r="B26" s="3194"/>
      <c r="C26" s="1326" t="s">
        <v>132</v>
      </c>
      <c r="D26" s="1392" t="s">
        <v>135</v>
      </c>
      <c r="E26" s="1393" t="s">
        <v>138</v>
      </c>
      <c r="F26" s="1395" t="s">
        <v>146</v>
      </c>
    </row>
    <row r="27" spans="2:6">
      <c r="B27" s="3194"/>
      <c r="C27" s="1401" t="s">
        <v>173</v>
      </c>
      <c r="D27" s="1392" t="s">
        <v>135</v>
      </c>
      <c r="E27" s="1393" t="s">
        <v>145</v>
      </c>
      <c r="F27" s="1395" t="s">
        <v>146</v>
      </c>
    </row>
    <row r="28" spans="2:6">
      <c r="B28" s="3194"/>
      <c r="C28" s="1396" t="s">
        <v>134</v>
      </c>
      <c r="D28" s="1396" t="s">
        <v>135</v>
      </c>
      <c r="E28" s="1397" t="s">
        <v>138</v>
      </c>
      <c r="F28" s="1395" t="s">
        <v>146</v>
      </c>
    </row>
    <row r="29" spans="2:6">
      <c r="B29" s="3195"/>
      <c r="C29" s="1318" t="s">
        <v>147</v>
      </c>
      <c r="D29" s="1319"/>
      <c r="E29" s="1320"/>
      <c r="F29" s="1369"/>
    </row>
    <row r="30" spans="2:6" ht="24" customHeight="1">
      <c r="B30" s="3194"/>
      <c r="C30" s="1322" t="s">
        <v>148</v>
      </c>
      <c r="D30" s="1402" t="s">
        <v>174</v>
      </c>
      <c r="E30" s="1402" t="s">
        <v>174</v>
      </c>
      <c r="F30" s="1403"/>
    </row>
    <row r="31" spans="2:6" ht="24" customHeight="1">
      <c r="B31" s="3194"/>
      <c r="C31" s="1322" t="s">
        <v>149</v>
      </c>
      <c r="D31" s="1402" t="s">
        <v>174</v>
      </c>
      <c r="E31" s="1402" t="s">
        <v>174</v>
      </c>
      <c r="F31" s="1403"/>
    </row>
    <row r="32" spans="2:6" ht="24" customHeight="1">
      <c r="B32" s="3194"/>
      <c r="C32" s="1326" t="s">
        <v>150</v>
      </c>
      <c r="D32" s="1402" t="s">
        <v>175</v>
      </c>
      <c r="E32" s="1402" t="s">
        <v>175</v>
      </c>
      <c r="F32" s="1404"/>
    </row>
    <row r="33" spans="2:6" ht="24" customHeight="1">
      <c r="B33" s="3194"/>
      <c r="C33" s="1343" t="s">
        <v>151</v>
      </c>
      <c r="D33" s="1405" t="s">
        <v>175</v>
      </c>
      <c r="E33" s="1405" t="s">
        <v>175</v>
      </c>
      <c r="F33" s="1406"/>
    </row>
    <row r="34" spans="2:6" ht="19.5" customHeight="1">
      <c r="B34" s="1301"/>
      <c r="C34" s="1347" t="s">
        <v>117</v>
      </c>
      <c r="D34" s="1407">
        <v>5</v>
      </c>
      <c r="E34" s="1407">
        <v>3</v>
      </c>
      <c r="F34" s="1383" t="s">
        <v>118</v>
      </c>
    </row>
    <row r="35" spans="2:6">
      <c r="B35" s="1317" t="s">
        <v>446</v>
      </c>
      <c r="C35" s="1350" t="s">
        <v>152</v>
      </c>
      <c r="D35" s="1351"/>
      <c r="E35" s="1351"/>
      <c r="F35" s="1321"/>
    </row>
    <row r="36" spans="2:6">
      <c r="B36" s="1308" t="s">
        <v>153</v>
      </c>
      <c r="C36" s="1362" t="s">
        <v>582</v>
      </c>
      <c r="D36" s="1408"/>
      <c r="E36" s="1408"/>
      <c r="F36" s="1409"/>
    </row>
    <row r="37" spans="2:6" hidden="1">
      <c r="B37" s="1308"/>
      <c r="C37" s="1362" t="s">
        <v>154</v>
      </c>
      <c r="D37" s="1408"/>
      <c r="E37" s="1408"/>
      <c r="F37" s="1383"/>
    </row>
    <row r="38" spans="2:6">
      <c r="B38" s="1308"/>
      <c r="C38" s="1305" t="s">
        <v>581</v>
      </c>
      <c r="D38" s="1382"/>
      <c r="E38" s="1382"/>
      <c r="F38" s="1383"/>
    </row>
    <row r="39" spans="2:6">
      <c r="B39" s="1308"/>
      <c r="C39" s="1347" t="s">
        <v>155</v>
      </c>
      <c r="D39" s="1410"/>
      <c r="E39" s="1410"/>
      <c r="F39" s="1411"/>
    </row>
    <row r="40" spans="2:6">
      <c r="B40" s="1317"/>
      <c r="C40" s="1350" t="s">
        <v>156</v>
      </c>
      <c r="D40" s="1351"/>
      <c r="E40" s="1351"/>
      <c r="F40" s="1321"/>
    </row>
    <row r="41" spans="2:6">
      <c r="B41" s="1308"/>
      <c r="C41" s="1362" t="s">
        <v>582</v>
      </c>
      <c r="D41" s="1412"/>
      <c r="E41" s="1412"/>
      <c r="F41" s="1379"/>
    </row>
    <row r="42" spans="2:6">
      <c r="B42" s="1308"/>
      <c r="C42" s="1305" t="s">
        <v>581</v>
      </c>
      <c r="D42" s="1413"/>
      <c r="E42" s="1413"/>
      <c r="F42" s="1381"/>
    </row>
    <row r="43" spans="2:6">
      <c r="B43" s="1308"/>
      <c r="C43" s="1305" t="s">
        <v>155</v>
      </c>
      <c r="D43" s="1413"/>
      <c r="E43" s="1413"/>
      <c r="F43" s="1381"/>
    </row>
    <row r="44" spans="2:6" ht="27.75" customHeight="1">
      <c r="B44" s="1365"/>
      <c r="C44" s="1305" t="s">
        <v>157</v>
      </c>
      <c r="D44" s="1385"/>
      <c r="E44" s="1414"/>
      <c r="F44" s="1381"/>
    </row>
    <row r="45" spans="2:6">
      <c r="B45" s="1301"/>
      <c r="C45" s="1350" t="s">
        <v>117</v>
      </c>
      <c r="D45" s="1319"/>
      <c r="E45" s="1835"/>
      <c r="F45" s="1369"/>
    </row>
    <row r="46" spans="2:6" ht="24" customHeight="1">
      <c r="B46" s="1308"/>
      <c r="C46" s="1322" t="s">
        <v>1811</v>
      </c>
      <c r="D46" s="1384">
        <v>3</v>
      </c>
      <c r="E46" s="1384">
        <v>2</v>
      </c>
      <c r="F46" s="1333" t="s">
        <v>118</v>
      </c>
    </row>
    <row r="47" spans="2:6" ht="24" customHeight="1">
      <c r="B47" s="1308"/>
      <c r="C47" s="1322" t="s">
        <v>866</v>
      </c>
      <c r="D47" s="1836" t="s">
        <v>867</v>
      </c>
      <c r="E47" s="1851">
        <v>1</v>
      </c>
      <c r="F47" s="1333" t="s">
        <v>118</v>
      </c>
    </row>
    <row r="48" spans="2:6" ht="24" customHeight="1">
      <c r="B48" s="1308" t="s">
        <v>159</v>
      </c>
      <c r="C48" s="1355" t="s">
        <v>845</v>
      </c>
      <c r="D48" s="1838" t="s">
        <v>846</v>
      </c>
      <c r="E48" s="1852"/>
      <c r="F48" s="1395"/>
    </row>
    <row r="49" spans="2:8" ht="24" customHeight="1">
      <c r="B49" s="1308"/>
      <c r="C49" s="1355"/>
      <c r="D49" s="1841" t="s">
        <v>847</v>
      </c>
      <c r="E49" s="1853"/>
      <c r="F49" s="1395"/>
    </row>
    <row r="50" spans="2:8" ht="24" customHeight="1">
      <c r="B50" s="1308"/>
      <c r="C50" s="1355"/>
      <c r="D50" s="1842" t="s">
        <v>848</v>
      </c>
      <c r="E50" s="1852"/>
      <c r="F50" s="1395"/>
    </row>
    <row r="51" spans="2:8" ht="24" customHeight="1">
      <c r="B51" s="1308"/>
      <c r="C51" s="1365"/>
      <c r="D51" s="1844" t="s">
        <v>849</v>
      </c>
      <c r="E51" s="1854"/>
      <c r="F51" s="1855"/>
    </row>
    <row r="52" spans="2:8" ht="24" customHeight="1">
      <c r="B52" s="1308"/>
      <c r="C52" s="1355" t="s">
        <v>851</v>
      </c>
      <c r="D52" s="1847" t="s">
        <v>850</v>
      </c>
      <c r="E52" s="1853">
        <v>-5</v>
      </c>
      <c r="F52" s="1346" t="s">
        <v>118</v>
      </c>
    </row>
    <row r="53" spans="2:8" ht="24" customHeight="1">
      <c r="B53" s="1308"/>
      <c r="C53" s="1331" t="s">
        <v>845</v>
      </c>
      <c r="D53" s="1848" t="s">
        <v>868</v>
      </c>
      <c r="E53" s="1852"/>
      <c r="F53" s="1395"/>
    </row>
    <row r="54" spans="2:8" ht="24" customHeight="1">
      <c r="B54" s="1308"/>
      <c r="C54" s="1308"/>
      <c r="D54" s="1848" t="s">
        <v>869</v>
      </c>
      <c r="E54" s="1852"/>
      <c r="F54" s="1395"/>
    </row>
    <row r="55" spans="2:8" ht="24" customHeight="1">
      <c r="B55" s="1308"/>
      <c r="C55" s="1308"/>
      <c r="D55" s="1848" t="s">
        <v>870</v>
      </c>
      <c r="E55" s="1852"/>
      <c r="F55" s="1395"/>
    </row>
    <row r="56" spans="2:8" ht="24" customHeight="1">
      <c r="B56" s="1308"/>
      <c r="C56" s="1308"/>
      <c r="D56" s="1848" t="s">
        <v>871</v>
      </c>
      <c r="E56" s="1852"/>
      <c r="F56" s="1395"/>
    </row>
    <row r="57" spans="2:8" ht="30" hidden="1" customHeight="1">
      <c r="B57" s="1308"/>
      <c r="C57" s="1365"/>
      <c r="D57" s="1850"/>
      <c r="E57" s="1852" t="e">
        <f>E80</f>
        <v>#VALUE!</v>
      </c>
      <c r="F57" s="1395" t="s">
        <v>118</v>
      </c>
    </row>
    <row r="58" spans="2:8" ht="42.75" customHeight="1">
      <c r="B58" s="3194" t="s">
        <v>159</v>
      </c>
      <c r="C58" s="1305" t="s">
        <v>160</v>
      </c>
      <c r="D58" s="1385" t="s">
        <v>864</v>
      </c>
      <c r="E58" s="1385" t="s">
        <v>864</v>
      </c>
      <c r="F58" s="2448">
        <f>'条件(標準)_後'!F58</f>
        <v>0</v>
      </c>
      <c r="H58" t="s">
        <v>570</v>
      </c>
    </row>
    <row r="59" spans="2:8" ht="33" customHeight="1">
      <c r="B59" s="3194"/>
      <c r="C59" s="1347" t="s">
        <v>161</v>
      </c>
      <c r="D59" s="1415" t="s">
        <v>176</v>
      </c>
      <c r="E59" s="1415" t="s">
        <v>176</v>
      </c>
      <c r="F59" s="1416" t="s">
        <v>839</v>
      </c>
    </row>
    <row r="60" spans="2:8">
      <c r="B60" s="3195"/>
      <c r="C60" s="1368" t="s">
        <v>1752</v>
      </c>
      <c r="D60" s="1351"/>
      <c r="E60" s="1351"/>
      <c r="F60" s="1369"/>
    </row>
    <row r="61" spans="2:8">
      <c r="B61" s="3194"/>
      <c r="C61" s="1370" t="s">
        <v>1753</v>
      </c>
      <c r="D61" s="1417" t="s">
        <v>447</v>
      </c>
      <c r="E61" s="1417" t="s">
        <v>158</v>
      </c>
      <c r="F61" s="2416" t="s">
        <v>1131</v>
      </c>
    </row>
    <row r="62" spans="2:8">
      <c r="B62" s="3194"/>
      <c r="C62" s="1370" t="s">
        <v>1754</v>
      </c>
      <c r="D62" s="1417"/>
      <c r="E62" s="1417"/>
      <c r="F62" s="2416" t="s">
        <v>1131</v>
      </c>
    </row>
    <row r="63" spans="2:8">
      <c r="B63" s="3194"/>
      <c r="C63" s="1373" t="s">
        <v>162</v>
      </c>
      <c r="D63" s="1418" t="s">
        <v>447</v>
      </c>
      <c r="E63" s="1418" t="s">
        <v>158</v>
      </c>
      <c r="F63" s="2417" t="s">
        <v>1755</v>
      </c>
    </row>
    <row r="64" spans="2:8">
      <c r="B64" s="3194"/>
      <c r="C64" s="1373" t="s">
        <v>163</v>
      </c>
      <c r="D64" s="1418" t="s">
        <v>177</v>
      </c>
      <c r="E64" s="1418" t="s">
        <v>158</v>
      </c>
      <c r="F64" s="2416" t="s">
        <v>1131</v>
      </c>
    </row>
    <row r="65" spans="2:8" ht="24">
      <c r="B65" s="3194"/>
      <c r="C65" s="2419" t="s">
        <v>164</v>
      </c>
      <c r="D65" s="1419" t="s">
        <v>178</v>
      </c>
      <c r="E65" s="1419" t="s">
        <v>158</v>
      </c>
      <c r="F65" s="2418" t="s">
        <v>1131</v>
      </c>
    </row>
    <row r="66" spans="2:8">
      <c r="B66" s="1308"/>
      <c r="C66" s="1377" t="s">
        <v>165</v>
      </c>
      <c r="D66" s="1378"/>
      <c r="E66" s="1378"/>
      <c r="F66" s="1379"/>
    </row>
    <row r="67" spans="2:8">
      <c r="B67" s="1308"/>
      <c r="C67" s="1362"/>
      <c r="D67" s="1378"/>
      <c r="E67" s="1378"/>
      <c r="F67" s="1379"/>
    </row>
    <row r="68" spans="2:8">
      <c r="B68" s="3196" t="s">
        <v>843</v>
      </c>
      <c r="C68" s="3191"/>
      <c r="D68" s="3191"/>
      <c r="E68" s="3191"/>
      <c r="F68" s="3191"/>
    </row>
    <row r="69" spans="2:8">
      <c r="B69" s="3196"/>
      <c r="C69" s="3192"/>
      <c r="D69" s="3192"/>
      <c r="E69" s="3192"/>
      <c r="F69" s="3192"/>
    </row>
    <row r="70" spans="2:8">
      <c r="B70" s="3196"/>
      <c r="C70" s="3192"/>
      <c r="D70" s="3192"/>
      <c r="E70" s="3192"/>
      <c r="F70" s="3192"/>
    </row>
    <row r="71" spans="2:8">
      <c r="B71" s="3196"/>
      <c r="C71" s="3193"/>
      <c r="D71" s="3193"/>
      <c r="E71" s="3193"/>
      <c r="F71" s="3193"/>
    </row>
    <row r="72" spans="2:8"/>
    <row r="73" spans="2:8">
      <c r="B73" t="s">
        <v>1854</v>
      </c>
    </row>
    <row r="74" spans="2:8">
      <c r="B74" s="1301"/>
      <c r="C74" s="1318" t="s">
        <v>872</v>
      </c>
      <c r="D74" s="1319"/>
      <c r="E74" s="1320"/>
      <c r="F74" s="1334"/>
      <c r="H74" s="2449">
        <f>'条件(標準)_後'!F58</f>
        <v>0</v>
      </c>
    </row>
    <row r="75" spans="2:8">
      <c r="B75" s="1308"/>
      <c r="C75" s="1331" t="s">
        <v>873</v>
      </c>
      <c r="D75" s="1327" t="s">
        <v>874</v>
      </c>
      <c r="E75" s="1856">
        <f>IF(H74=H58,H75,(計画書_前!I43+計画書_前!M43+計画書_前!N43)/CO2データ!J96*1000)</f>
        <v>0</v>
      </c>
      <c r="F75" s="1330" t="s">
        <v>875</v>
      </c>
      <c r="H75">
        <f>(計画書_対象外!I43+計画書_対象外!M43+計画書_対象外!N43)/CO2データ!J96*1000</f>
        <v>0</v>
      </c>
    </row>
    <row r="76" spans="2:8">
      <c r="B76" s="1308" t="s">
        <v>1012</v>
      </c>
      <c r="C76" s="1308"/>
      <c r="D76" s="1327" t="s">
        <v>876</v>
      </c>
      <c r="E76" s="1856">
        <f>IF(H74=H58,H76,-((計画書_前!I41-計画書_前!I42)+(計画書_前!M41-計画書_前!M42)+(計画書_前!N41-計画書_前!N42))/CO2データ!J96*1000)</f>
        <v>0</v>
      </c>
      <c r="F76" s="1330" t="s">
        <v>877</v>
      </c>
      <c r="H76">
        <f>-((計画書_対象外!I41-計画書_対象外!I42)+(計画書_対象外!M41-計画書_対象外!M42)+(計画書_対象外!N41-計画書_対象外!N42))/CO2データ!J96*1000</f>
        <v>30737.704918032785</v>
      </c>
    </row>
    <row r="77" spans="2:8">
      <c r="B77" s="1308" t="s">
        <v>878</v>
      </c>
      <c r="C77" s="1322"/>
      <c r="D77" s="1327" t="s">
        <v>879</v>
      </c>
      <c r="E77" s="1856">
        <f>E75-E76</f>
        <v>0</v>
      </c>
      <c r="F77" s="1330" t="s">
        <v>877</v>
      </c>
    </row>
    <row r="78" spans="2:8">
      <c r="B78" s="1308"/>
      <c r="C78" s="1331" t="s">
        <v>880</v>
      </c>
      <c r="D78" s="1327" t="s">
        <v>881</v>
      </c>
      <c r="E78" s="1328" t="e">
        <f>E75*E81/E$6</f>
        <v>#VALUE!</v>
      </c>
      <c r="F78" s="1857" t="s">
        <v>118</v>
      </c>
    </row>
    <row r="79" spans="2:8">
      <c r="B79" s="1308"/>
      <c r="C79" s="1308"/>
      <c r="D79" s="1327" t="s">
        <v>882</v>
      </c>
      <c r="E79" s="1328" t="e">
        <f>E78-E80</f>
        <v>#VALUE!</v>
      </c>
      <c r="F79" s="1857" t="s">
        <v>118</v>
      </c>
    </row>
    <row r="80" spans="2:8">
      <c r="B80" s="1308"/>
      <c r="C80" s="1322"/>
      <c r="D80" s="1327" t="s">
        <v>883</v>
      </c>
      <c r="E80" s="1328" t="e">
        <f>E77*E82/E$6</f>
        <v>#VALUE!</v>
      </c>
      <c r="F80" s="1857" t="s">
        <v>118</v>
      </c>
    </row>
    <row r="81" spans="2:8" hidden="1">
      <c r="B81" s="1308"/>
      <c r="C81" s="1331" t="s">
        <v>884</v>
      </c>
      <c r="D81" s="1327" t="s">
        <v>885</v>
      </c>
      <c r="E81" s="1858" t="e">
        <f>CO2データ!I95</f>
        <v>#VALUE!</v>
      </c>
      <c r="F81" s="1857" t="s">
        <v>886</v>
      </c>
    </row>
    <row r="82" spans="2:8" hidden="1">
      <c r="B82" s="1308"/>
      <c r="C82" s="1308"/>
      <c r="D82" s="1327" t="s">
        <v>883</v>
      </c>
      <c r="E82" s="1858" t="e">
        <f>CO2データ!I95</f>
        <v>#VALUE!</v>
      </c>
      <c r="F82" s="1857" t="s">
        <v>887</v>
      </c>
    </row>
    <row r="83" spans="2:8" hidden="1">
      <c r="B83" s="1308"/>
      <c r="C83" s="1322"/>
      <c r="D83" s="1327" t="s">
        <v>840</v>
      </c>
      <c r="E83" s="1328" t="s">
        <v>888</v>
      </c>
      <c r="F83" s="1330"/>
    </row>
    <row r="84" spans="2:8">
      <c r="B84" s="1308"/>
      <c r="C84" s="1318" t="s">
        <v>889</v>
      </c>
      <c r="D84" s="1319"/>
      <c r="E84" s="1320"/>
      <c r="F84" s="1334"/>
    </row>
    <row r="85" spans="2:8">
      <c r="B85" s="1308"/>
      <c r="C85" s="1859" t="s">
        <v>890</v>
      </c>
      <c r="D85" s="1323"/>
      <c r="E85" s="1860" t="e">
        <f>IF(H74=H58,H85,CO2計算_前!I125*計画書_前!T74+CO2計算_前!I127*CO2データ!N169+CO2計算_前!I126*CO2データ!N168)</f>
        <v>#VALUE!</v>
      </c>
      <c r="F85" s="1329" t="s">
        <v>875</v>
      </c>
      <c r="H85">
        <f>CO2計算_対象外!I125*計画書_対象外!T75+CO2計算_対象外!I127*CO2データ!N169+CO2計算_対象外!I126*CO2データ!N168</f>
        <v>0</v>
      </c>
    </row>
    <row r="86" spans="2:8">
      <c r="B86" s="1308"/>
      <c r="C86" s="1331" t="s">
        <v>228</v>
      </c>
      <c r="D86" s="1327" t="s">
        <v>891</v>
      </c>
      <c r="E86" s="1858" t="e">
        <f>係数!D5*1000</f>
        <v>#VALUE!</v>
      </c>
      <c r="F86" s="1857" t="s">
        <v>892</v>
      </c>
    </row>
    <row r="87" spans="2:8">
      <c r="B87" s="1308"/>
      <c r="C87" s="1322"/>
      <c r="D87" s="1327" t="s">
        <v>893</v>
      </c>
      <c r="E87" s="1858" t="e">
        <f>係数!J50*1000</f>
        <v>#VALUE!</v>
      </c>
      <c r="F87" s="1857" t="s">
        <v>886</v>
      </c>
    </row>
    <row r="88" spans="2:8">
      <c r="B88" s="1308"/>
      <c r="C88" s="1331" t="s">
        <v>894</v>
      </c>
      <c r="D88" s="1861" t="s">
        <v>818</v>
      </c>
      <c r="E88" s="1862" t="e">
        <f>E85*(E86-E87)</f>
        <v>#VALUE!</v>
      </c>
      <c r="F88" s="1857" t="s">
        <v>826</v>
      </c>
    </row>
    <row r="89" spans="2:8">
      <c r="B89" s="1365"/>
      <c r="C89" s="1365"/>
      <c r="D89" s="1863" t="s">
        <v>895</v>
      </c>
      <c r="E89" s="1864" t="e">
        <f>E88/E6</f>
        <v>#VALUE!</v>
      </c>
      <c r="F89" s="1865" t="s">
        <v>118</v>
      </c>
    </row>
    <row r="90" spans="2:8"/>
  </sheetData>
  <sheetProtection password="CC47" sheet="1" objects="1" scenarios="1"/>
  <mergeCells count="9">
    <mergeCell ref="F68:F71"/>
    <mergeCell ref="B58:B65"/>
    <mergeCell ref="B68:B71"/>
    <mergeCell ref="B4:C4"/>
    <mergeCell ref="B5:B7"/>
    <mergeCell ref="B10:B33"/>
    <mergeCell ref="C68:C71"/>
    <mergeCell ref="D68:D71"/>
    <mergeCell ref="E68:E71"/>
  </mergeCells>
  <phoneticPr fontId="20"/>
  <printOptions horizontalCentered="1"/>
  <pageMargins left="0.59055118110236227" right="0.59055118110236227" top="0.78740157480314965" bottom="0.59055118110236227" header="0.51181102362204722" footer="0.51181102362204722"/>
  <pageSetup paperSize="9" scale="66" orientation="portrait" verticalDpi="0" r:id="rId1"/>
  <headerFooter alignWithMargins="0">
    <oddHeader>&amp;L&amp;F&amp;R&amp;A</oddHeader>
    <oddFooter>&amp;C&amp;P/&amp;N</oddFooter>
  </headerFooter>
  <rowBreaks count="1" manualBreakCount="1">
    <brk id="72" max="16383" man="1"/>
  </rowBreaks>
  <legacyDrawing r:id="rId2"/>
</worksheet>
</file>

<file path=xl/worksheets/sheet26.xml><?xml version="1.0" encoding="utf-8"?>
<worksheet xmlns="http://schemas.openxmlformats.org/spreadsheetml/2006/main" xmlns:r="http://schemas.openxmlformats.org/officeDocument/2006/relationships">
  <sheetPr codeName="Sheet20"/>
  <dimension ref="B1:AA302"/>
  <sheetViews>
    <sheetView showGridLines="0" zoomScaleNormal="100" workbookViewId="0">
      <selection activeCell="M109" sqref="M109"/>
    </sheetView>
  </sheetViews>
  <sheetFormatPr defaultColWidth="0" defaultRowHeight="13.5" zeroHeight="1"/>
  <cols>
    <col min="1" max="2" width="1.5" customWidth="1"/>
    <col min="3" max="3" width="3.875" customWidth="1"/>
    <col min="4" max="4" width="11" customWidth="1"/>
    <col min="5" max="5" width="12.875" customWidth="1"/>
    <col min="6" max="6" width="11.625" customWidth="1"/>
    <col min="7" max="7" width="24" hidden="1" customWidth="1"/>
    <col min="8" max="8" width="8" hidden="1" customWidth="1"/>
    <col min="9" max="18" width="10.875" customWidth="1"/>
    <col min="19" max="19" width="11" hidden="1" customWidth="1"/>
    <col min="20" max="20" width="3.375" hidden="1" customWidth="1"/>
    <col min="21" max="21" width="8.375" hidden="1" customWidth="1"/>
    <col min="22" max="26" width="12.75" hidden="1" customWidth="1"/>
  </cols>
  <sheetData>
    <row r="1" spans="2:17" ht="14.25">
      <c r="B1" s="1478" t="s">
        <v>1135</v>
      </c>
    </row>
    <row r="2" spans="2:17" ht="4.5" customHeight="1"/>
    <row r="3" spans="2:17">
      <c r="C3" s="1479" t="s">
        <v>218</v>
      </c>
      <c r="D3" s="1480"/>
      <c r="E3" s="1457"/>
      <c r="F3" s="1457"/>
      <c r="G3" s="1457"/>
      <c r="H3" s="1457"/>
      <c r="I3" s="1481" t="s">
        <v>189</v>
      </c>
      <c r="J3" s="1482"/>
      <c r="K3" s="1482"/>
      <c r="L3" s="1483"/>
      <c r="M3" s="1483"/>
      <c r="N3" s="1483"/>
      <c r="O3" s="1483"/>
      <c r="P3" s="1483"/>
      <c r="Q3" s="1484"/>
    </row>
    <row r="4" spans="2:17">
      <c r="C4" s="1485"/>
      <c r="D4" s="1486" t="s">
        <v>219</v>
      </c>
      <c r="E4" s="1485"/>
      <c r="F4" s="1485"/>
      <c r="G4" s="1485"/>
      <c r="H4" s="1485"/>
      <c r="I4" s="1487" t="s">
        <v>1848</v>
      </c>
      <c r="J4" s="1483" t="s">
        <v>305</v>
      </c>
      <c r="K4" s="1488"/>
      <c r="L4" s="1487" t="s">
        <v>485</v>
      </c>
      <c r="M4" s="1483"/>
      <c r="N4" s="1488"/>
      <c r="O4" s="1487" t="s">
        <v>486</v>
      </c>
      <c r="P4" s="1483"/>
      <c r="Q4" s="1488"/>
    </row>
    <row r="5" spans="2:17">
      <c r="C5" s="1489" t="s">
        <v>220</v>
      </c>
      <c r="D5" s="1490"/>
      <c r="E5" s="1491"/>
      <c r="F5" s="1492"/>
      <c r="G5" s="1493"/>
      <c r="H5" s="1493"/>
      <c r="I5" s="1494" t="s">
        <v>1172</v>
      </c>
      <c r="J5" s="1494" t="s">
        <v>1173</v>
      </c>
      <c r="K5" s="1494" t="s">
        <v>1174</v>
      </c>
      <c r="L5" s="1494" t="s">
        <v>1172</v>
      </c>
      <c r="M5" s="1494" t="s">
        <v>1173</v>
      </c>
      <c r="N5" s="1494" t="s">
        <v>1174</v>
      </c>
      <c r="O5" s="1494" t="s">
        <v>1172</v>
      </c>
      <c r="P5" s="1494" t="s">
        <v>1173</v>
      </c>
      <c r="Q5" s="1494" t="s">
        <v>1174</v>
      </c>
    </row>
    <row r="6" spans="2:17" hidden="1">
      <c r="C6" s="1495"/>
      <c r="D6" s="1496"/>
      <c r="E6" s="1495"/>
      <c r="F6" s="1495"/>
      <c r="G6" s="1497">
        <v>1</v>
      </c>
      <c r="H6" s="1497"/>
      <c r="I6" s="1493">
        <v>3</v>
      </c>
      <c r="J6" s="1493">
        <v>4</v>
      </c>
      <c r="K6" s="1493">
        <v>5</v>
      </c>
      <c r="L6" s="1493">
        <v>6</v>
      </c>
      <c r="M6" s="1493">
        <v>7</v>
      </c>
      <c r="N6" s="1493">
        <v>8</v>
      </c>
      <c r="O6" s="1493">
        <v>9</v>
      </c>
      <c r="P6" s="1493">
        <v>10</v>
      </c>
      <c r="Q6" s="1493">
        <v>11</v>
      </c>
    </row>
    <row r="7" spans="2:17">
      <c r="C7" s="1498" t="s">
        <v>519</v>
      </c>
      <c r="D7" s="1499"/>
      <c r="E7" s="1491"/>
      <c r="F7" s="1492"/>
      <c r="G7" s="1497">
        <v>10</v>
      </c>
      <c r="H7" s="1497"/>
      <c r="I7" s="1513">
        <v>14.004999999999999</v>
      </c>
      <c r="J7" s="1513">
        <v>14.004999999999999</v>
      </c>
      <c r="K7" s="1513">
        <v>14.004999999999999</v>
      </c>
      <c r="L7" s="1513">
        <v>13.23</v>
      </c>
      <c r="M7" s="1513">
        <v>13.23</v>
      </c>
      <c r="N7" s="1513">
        <v>13.23</v>
      </c>
      <c r="O7" s="1513">
        <v>13.998000000000001</v>
      </c>
      <c r="P7" s="1513">
        <v>13.998000000000001</v>
      </c>
      <c r="Q7" s="1513">
        <v>13.998000000000001</v>
      </c>
    </row>
    <row r="8" spans="2:17">
      <c r="C8" s="1500"/>
      <c r="D8" s="518" t="s">
        <v>197</v>
      </c>
      <c r="E8" s="518"/>
      <c r="F8" s="1501">
        <v>1</v>
      </c>
      <c r="G8" s="1497">
        <v>11</v>
      </c>
      <c r="H8" s="1497"/>
      <c r="I8" s="1514">
        <v>6.4519999999999991</v>
      </c>
      <c r="J8" s="1514">
        <v>6.4519999999999991</v>
      </c>
      <c r="K8" s="1514">
        <v>6.4519999999999991</v>
      </c>
      <c r="L8" s="1514">
        <v>6.6009999999999991</v>
      </c>
      <c r="M8" s="1514">
        <v>6.6009999999999991</v>
      </c>
      <c r="N8" s="1514">
        <v>6.6009999999999991</v>
      </c>
      <c r="O8" s="1514">
        <v>6.5150000000000006</v>
      </c>
      <c r="P8" s="1514">
        <v>6.5150000000000006</v>
      </c>
      <c r="Q8" s="1514">
        <v>6.5150000000000006</v>
      </c>
    </row>
    <row r="9" spans="2:17">
      <c r="C9" s="1500"/>
      <c r="D9" s="518" t="s">
        <v>198</v>
      </c>
      <c r="E9" s="518"/>
      <c r="F9" s="1501">
        <v>1</v>
      </c>
      <c r="G9" s="1502">
        <v>12</v>
      </c>
      <c r="H9" s="1502"/>
      <c r="I9" s="1514">
        <v>13.42</v>
      </c>
      <c r="J9" s="1514">
        <v>13.42</v>
      </c>
      <c r="K9" s="1514">
        <v>13.42</v>
      </c>
      <c r="L9" s="1514">
        <v>12.416</v>
      </c>
      <c r="M9" s="1514">
        <v>12.416</v>
      </c>
      <c r="N9" s="1514">
        <v>12.416</v>
      </c>
      <c r="O9" s="1514">
        <v>13.272</v>
      </c>
      <c r="P9" s="1514">
        <v>13.272</v>
      </c>
      <c r="Q9" s="1514">
        <v>13.272</v>
      </c>
    </row>
    <row r="10" spans="2:17" hidden="1">
      <c r="C10" s="1503"/>
      <c r="D10" s="1505" t="s">
        <v>222</v>
      </c>
      <c r="E10" s="1505"/>
      <c r="F10" s="1506"/>
      <c r="G10" s="1507">
        <v>13</v>
      </c>
      <c r="H10" s="2315">
        <f>CO2計算_後!F21</f>
        <v>0.3</v>
      </c>
      <c r="I10" s="1514">
        <f>(I7-I8)*$H10</f>
        <v>2.2658999999999998</v>
      </c>
      <c r="J10" s="1514">
        <f t="shared" ref="J10:Q10" si="0">(J7-J8)*$H10</f>
        <v>2.2658999999999998</v>
      </c>
      <c r="K10" s="1514">
        <f t="shared" si="0"/>
        <v>2.2658999999999998</v>
      </c>
      <c r="L10" s="1514">
        <f t="shared" si="0"/>
        <v>1.9887000000000004</v>
      </c>
      <c r="M10" s="1514">
        <f t="shared" si="0"/>
        <v>1.9887000000000004</v>
      </c>
      <c r="N10" s="1514">
        <f t="shared" si="0"/>
        <v>1.9887000000000004</v>
      </c>
      <c r="O10" s="1514">
        <f t="shared" si="0"/>
        <v>2.2448999999999999</v>
      </c>
      <c r="P10" s="1514">
        <f t="shared" si="0"/>
        <v>2.2448999999999999</v>
      </c>
      <c r="Q10" s="1514">
        <f t="shared" si="0"/>
        <v>2.2448999999999999</v>
      </c>
    </row>
    <row r="11" spans="2:17" hidden="1">
      <c r="C11" s="1503"/>
      <c r="D11" s="1505" t="s">
        <v>223</v>
      </c>
      <c r="E11" s="1505"/>
      <c r="F11" s="1506"/>
      <c r="G11" s="1509">
        <v>14</v>
      </c>
      <c r="H11" s="2315">
        <f>CO2計算_後!F22</f>
        <v>0</v>
      </c>
      <c r="I11" s="1514">
        <f t="shared" ref="I11:Q11" si="1">(I7-I9)*$H11</f>
        <v>0</v>
      </c>
      <c r="J11" s="1514">
        <f t="shared" si="1"/>
        <v>0</v>
      </c>
      <c r="K11" s="1514">
        <f t="shared" si="1"/>
        <v>0</v>
      </c>
      <c r="L11" s="1514">
        <f t="shared" si="1"/>
        <v>0</v>
      </c>
      <c r="M11" s="1514">
        <f t="shared" si="1"/>
        <v>0</v>
      </c>
      <c r="N11" s="1514">
        <f t="shared" si="1"/>
        <v>0</v>
      </c>
      <c r="O11" s="1514">
        <f t="shared" si="1"/>
        <v>0</v>
      </c>
      <c r="P11" s="1514">
        <f t="shared" si="1"/>
        <v>0</v>
      </c>
      <c r="Q11" s="1514">
        <f t="shared" si="1"/>
        <v>0</v>
      </c>
    </row>
    <row r="12" spans="2:17" hidden="1">
      <c r="C12" s="1510"/>
      <c r="D12" s="1505" t="s">
        <v>537</v>
      </c>
      <c r="E12" s="1505"/>
      <c r="F12" s="1506"/>
      <c r="G12" s="1512">
        <v>15</v>
      </c>
      <c r="H12" s="1512"/>
      <c r="I12" s="1514">
        <f t="shared" ref="I12:Q12" si="2">I7-I10-I11</f>
        <v>11.739099999999999</v>
      </c>
      <c r="J12" s="1514">
        <f t="shared" si="2"/>
        <v>11.739099999999999</v>
      </c>
      <c r="K12" s="1514">
        <f t="shared" si="2"/>
        <v>11.739099999999999</v>
      </c>
      <c r="L12" s="1514">
        <f t="shared" si="2"/>
        <v>11.241300000000001</v>
      </c>
      <c r="M12" s="1514">
        <f t="shared" si="2"/>
        <v>11.241300000000001</v>
      </c>
      <c r="N12" s="1514">
        <f t="shared" si="2"/>
        <v>11.241300000000001</v>
      </c>
      <c r="O12" s="1514">
        <f t="shared" si="2"/>
        <v>11.753100000000002</v>
      </c>
      <c r="P12" s="1514">
        <f t="shared" si="2"/>
        <v>11.753100000000002</v>
      </c>
      <c r="Q12" s="1514">
        <f t="shared" si="2"/>
        <v>11.753100000000002</v>
      </c>
    </row>
    <row r="13" spans="2:17">
      <c r="C13" s="1498" t="s">
        <v>201</v>
      </c>
      <c r="D13" s="1491"/>
      <c r="E13" s="1491"/>
      <c r="F13" s="1492"/>
      <c r="G13" s="1497">
        <f t="shared" ref="G13:G60" si="3">G7+10</f>
        <v>20</v>
      </c>
      <c r="H13" s="1497"/>
      <c r="I13" s="1513">
        <v>10.473000000000001</v>
      </c>
      <c r="J13" s="1513">
        <v>10.473000000000001</v>
      </c>
      <c r="K13" s="1513">
        <v>10.473000000000001</v>
      </c>
      <c r="L13" s="1513">
        <v>11.762999999999998</v>
      </c>
      <c r="M13" s="1513">
        <v>11.762999999999998</v>
      </c>
      <c r="N13" s="1513">
        <v>11.762999999999998</v>
      </c>
      <c r="O13" s="1513">
        <v>14.002000000000002</v>
      </c>
      <c r="P13" s="1513">
        <v>14.002000000000002</v>
      </c>
      <c r="Q13" s="1513">
        <v>14.002000000000002</v>
      </c>
    </row>
    <row r="14" spans="2:17">
      <c r="C14" s="1500"/>
      <c r="D14" s="518" t="s">
        <v>197</v>
      </c>
      <c r="E14" s="518"/>
      <c r="F14" s="1501">
        <v>1</v>
      </c>
      <c r="G14" s="1497">
        <f t="shared" si="3"/>
        <v>21</v>
      </c>
      <c r="H14" s="1497"/>
      <c r="I14" s="1514">
        <v>5.2279999999999998</v>
      </c>
      <c r="J14" s="1514">
        <v>5.2279999999999998</v>
      </c>
      <c r="K14" s="1514">
        <v>5.2279999999999998</v>
      </c>
      <c r="L14" s="1514">
        <v>5.3689999999999998</v>
      </c>
      <c r="M14" s="1514">
        <v>5.3689999999999998</v>
      </c>
      <c r="N14" s="1514">
        <v>5.3689999999999998</v>
      </c>
      <c r="O14" s="1514">
        <v>5.2780000000000005</v>
      </c>
      <c r="P14" s="1514">
        <v>5.2780000000000005</v>
      </c>
      <c r="Q14" s="1514">
        <v>5.2780000000000005</v>
      </c>
    </row>
    <row r="15" spans="2:17">
      <c r="C15" s="1500"/>
      <c r="D15" s="518" t="s">
        <v>198</v>
      </c>
      <c r="E15" s="518"/>
      <c r="F15" s="1501">
        <v>1</v>
      </c>
      <c r="G15" s="1497">
        <f t="shared" si="3"/>
        <v>22</v>
      </c>
      <c r="H15" s="1502"/>
      <c r="I15" s="1514">
        <v>10.11</v>
      </c>
      <c r="J15" s="1514">
        <v>10.11</v>
      </c>
      <c r="K15" s="1514">
        <v>10.11</v>
      </c>
      <c r="L15" s="1514">
        <v>10.846</v>
      </c>
      <c r="M15" s="1514">
        <v>10.846</v>
      </c>
      <c r="N15" s="1514">
        <v>10.846</v>
      </c>
      <c r="O15" s="1514">
        <v>13.005000000000001</v>
      </c>
      <c r="P15" s="1514">
        <v>13.005000000000001</v>
      </c>
      <c r="Q15" s="1514">
        <v>13.005000000000001</v>
      </c>
    </row>
    <row r="16" spans="2:17" hidden="1">
      <c r="C16" s="1503"/>
      <c r="D16" s="1505" t="s">
        <v>222</v>
      </c>
      <c r="E16" s="1505"/>
      <c r="F16" s="1506"/>
      <c r="G16" s="1497">
        <f t="shared" si="3"/>
        <v>23</v>
      </c>
      <c r="H16" s="1508">
        <f>H$10</f>
        <v>0.3</v>
      </c>
      <c r="I16" s="1514">
        <f>(I13-I14)*$H16</f>
        <v>1.5735000000000003</v>
      </c>
      <c r="J16" s="1514">
        <f t="shared" ref="J16:Q16" si="4">(J13-J14)*$H16</f>
        <v>1.5735000000000003</v>
      </c>
      <c r="K16" s="1514">
        <f t="shared" si="4"/>
        <v>1.5735000000000003</v>
      </c>
      <c r="L16" s="1514">
        <f t="shared" si="4"/>
        <v>1.9181999999999995</v>
      </c>
      <c r="M16" s="1514">
        <f t="shared" si="4"/>
        <v>1.9181999999999995</v>
      </c>
      <c r="N16" s="1514">
        <f t="shared" si="4"/>
        <v>1.9181999999999995</v>
      </c>
      <c r="O16" s="1514">
        <f t="shared" si="4"/>
        <v>2.6172000000000004</v>
      </c>
      <c r="P16" s="1514">
        <f t="shared" si="4"/>
        <v>2.6172000000000004</v>
      </c>
      <c r="Q16" s="1514">
        <f t="shared" si="4"/>
        <v>2.6172000000000004</v>
      </c>
    </row>
    <row r="17" spans="3:17" hidden="1">
      <c r="C17" s="1503"/>
      <c r="D17" s="1505" t="s">
        <v>223</v>
      </c>
      <c r="E17" s="1505"/>
      <c r="F17" s="1506"/>
      <c r="G17" s="1497">
        <f t="shared" si="3"/>
        <v>24</v>
      </c>
      <c r="H17" s="1508">
        <f>H$11</f>
        <v>0</v>
      </c>
      <c r="I17" s="1514">
        <f t="shared" ref="I17:Q17" si="5">(I13-I15)*$H17</f>
        <v>0</v>
      </c>
      <c r="J17" s="1514">
        <f t="shared" si="5"/>
        <v>0</v>
      </c>
      <c r="K17" s="1514">
        <f t="shared" si="5"/>
        <v>0</v>
      </c>
      <c r="L17" s="1514">
        <f t="shared" si="5"/>
        <v>0</v>
      </c>
      <c r="M17" s="1514">
        <f t="shared" si="5"/>
        <v>0</v>
      </c>
      <c r="N17" s="1514">
        <f t="shared" si="5"/>
        <v>0</v>
      </c>
      <c r="O17" s="1514">
        <f t="shared" si="5"/>
        <v>0</v>
      </c>
      <c r="P17" s="1514">
        <f t="shared" si="5"/>
        <v>0</v>
      </c>
      <c r="Q17" s="1514">
        <f t="shared" si="5"/>
        <v>0</v>
      </c>
    </row>
    <row r="18" spans="3:17" hidden="1">
      <c r="C18" s="1510"/>
      <c r="D18" s="1505" t="s">
        <v>537</v>
      </c>
      <c r="E18" s="1505"/>
      <c r="F18" s="1506"/>
      <c r="G18" s="1497">
        <f t="shared" si="3"/>
        <v>25</v>
      </c>
      <c r="H18" s="1512"/>
      <c r="I18" s="1514">
        <f t="shared" ref="I18:Q18" si="6">I13-I16-I17</f>
        <v>8.8994999999999997</v>
      </c>
      <c r="J18" s="1514">
        <f t="shared" si="6"/>
        <v>8.8994999999999997</v>
      </c>
      <c r="K18" s="1514">
        <f t="shared" si="6"/>
        <v>8.8994999999999997</v>
      </c>
      <c r="L18" s="1514">
        <f t="shared" si="6"/>
        <v>9.8447999999999993</v>
      </c>
      <c r="M18" s="1514">
        <f t="shared" si="6"/>
        <v>9.8447999999999993</v>
      </c>
      <c r="N18" s="1514">
        <f t="shared" si="6"/>
        <v>9.8447999999999993</v>
      </c>
      <c r="O18" s="1514">
        <f t="shared" si="6"/>
        <v>11.384800000000002</v>
      </c>
      <c r="P18" s="1514">
        <f t="shared" si="6"/>
        <v>11.384800000000002</v>
      </c>
      <c r="Q18" s="1514">
        <f t="shared" si="6"/>
        <v>11.384800000000002</v>
      </c>
    </row>
    <row r="19" spans="3:17">
      <c r="C19" s="1498" t="s">
        <v>202</v>
      </c>
      <c r="D19" s="1491"/>
      <c r="E19" s="1491"/>
      <c r="F19" s="1492"/>
      <c r="G19" s="1497">
        <f t="shared" si="3"/>
        <v>30</v>
      </c>
      <c r="H19" s="1497"/>
      <c r="I19" s="1513">
        <v>16.572000000000003</v>
      </c>
      <c r="J19" s="1513">
        <v>16.572000000000003</v>
      </c>
      <c r="K19" s="1513">
        <v>16.572000000000003</v>
      </c>
      <c r="L19" s="1513">
        <v>22.385999999999999</v>
      </c>
      <c r="M19" s="1513">
        <v>22.385999999999999</v>
      </c>
      <c r="N19" s="1513">
        <v>22.385999999999999</v>
      </c>
      <c r="O19" s="1513">
        <v>16.960999999999999</v>
      </c>
      <c r="P19" s="1513">
        <v>16.960999999999999</v>
      </c>
      <c r="Q19" s="1513">
        <v>16.960999999999999</v>
      </c>
    </row>
    <row r="20" spans="3:17">
      <c r="C20" s="1500"/>
      <c r="D20" s="518" t="s">
        <v>197</v>
      </c>
      <c r="E20" s="518"/>
      <c r="F20" s="1501">
        <v>1</v>
      </c>
      <c r="G20" s="1497">
        <f t="shared" si="3"/>
        <v>31</v>
      </c>
      <c r="H20" s="1497"/>
      <c r="I20" s="1514">
        <v>8.4039999999999999</v>
      </c>
      <c r="J20" s="1514">
        <v>8.4039999999999999</v>
      </c>
      <c r="K20" s="1514">
        <v>8.4039999999999999</v>
      </c>
      <c r="L20" s="1514">
        <v>8.5990000000000002</v>
      </c>
      <c r="M20" s="1514">
        <v>8.5990000000000002</v>
      </c>
      <c r="N20" s="1514">
        <v>8.5990000000000002</v>
      </c>
      <c r="O20" s="1514">
        <v>8.4849999999999994</v>
      </c>
      <c r="P20" s="1514">
        <v>8.4849999999999994</v>
      </c>
      <c r="Q20" s="1514">
        <v>8.4849999999999994</v>
      </c>
    </row>
    <row r="21" spans="3:17">
      <c r="C21" s="1500"/>
      <c r="D21" s="518" t="s">
        <v>198</v>
      </c>
      <c r="E21" s="518"/>
      <c r="F21" s="1501">
        <v>1</v>
      </c>
      <c r="G21" s="1497">
        <f t="shared" si="3"/>
        <v>32</v>
      </c>
      <c r="H21" s="1502"/>
      <c r="I21" s="1514">
        <v>15.867000000000001</v>
      </c>
      <c r="J21" s="1514">
        <v>15.867000000000001</v>
      </c>
      <c r="K21" s="1514">
        <v>15.867000000000001</v>
      </c>
      <c r="L21" s="1514">
        <v>20.512</v>
      </c>
      <c r="M21" s="1514">
        <v>20.512</v>
      </c>
      <c r="N21" s="1514">
        <v>20.512</v>
      </c>
      <c r="O21" s="1514">
        <v>16.321999999999999</v>
      </c>
      <c r="P21" s="1514">
        <v>16.321999999999999</v>
      </c>
      <c r="Q21" s="1514">
        <v>16.321999999999999</v>
      </c>
    </row>
    <row r="22" spans="3:17" hidden="1">
      <c r="C22" s="1503"/>
      <c r="D22" s="1505" t="s">
        <v>222</v>
      </c>
      <c r="E22" s="1505"/>
      <c r="F22" s="1506"/>
      <c r="G22" s="1497">
        <f t="shared" si="3"/>
        <v>33</v>
      </c>
      <c r="H22" s="1508">
        <f>H$10</f>
        <v>0.3</v>
      </c>
      <c r="I22" s="1514">
        <f>(I19-I20)*$H22</f>
        <v>2.4504000000000006</v>
      </c>
      <c r="J22" s="1514">
        <f t="shared" ref="J22:Q22" si="7">(J19-J20)*$H22</f>
        <v>2.4504000000000006</v>
      </c>
      <c r="K22" s="1514">
        <f t="shared" si="7"/>
        <v>2.4504000000000006</v>
      </c>
      <c r="L22" s="1514">
        <f t="shared" si="7"/>
        <v>4.1360999999999999</v>
      </c>
      <c r="M22" s="1514">
        <f t="shared" si="7"/>
        <v>4.1360999999999999</v>
      </c>
      <c r="N22" s="1514">
        <f t="shared" si="7"/>
        <v>4.1360999999999999</v>
      </c>
      <c r="O22" s="1514">
        <f t="shared" si="7"/>
        <v>2.5427999999999997</v>
      </c>
      <c r="P22" s="1514">
        <f t="shared" si="7"/>
        <v>2.5427999999999997</v>
      </c>
      <c r="Q22" s="1514">
        <f t="shared" si="7"/>
        <v>2.5427999999999997</v>
      </c>
    </row>
    <row r="23" spans="3:17" hidden="1">
      <c r="C23" s="1503"/>
      <c r="D23" s="1505" t="s">
        <v>223</v>
      </c>
      <c r="E23" s="1505"/>
      <c r="F23" s="1506"/>
      <c r="G23" s="1497">
        <f t="shared" si="3"/>
        <v>34</v>
      </c>
      <c r="H23" s="1508">
        <f>H$11</f>
        <v>0</v>
      </c>
      <c r="I23" s="1514">
        <f t="shared" ref="I23:Q23" si="8">(I19-I21)*$H23</f>
        <v>0</v>
      </c>
      <c r="J23" s="1514">
        <f t="shared" si="8"/>
        <v>0</v>
      </c>
      <c r="K23" s="1514">
        <f t="shared" si="8"/>
        <v>0</v>
      </c>
      <c r="L23" s="1514">
        <f t="shared" si="8"/>
        <v>0</v>
      </c>
      <c r="M23" s="1514">
        <f t="shared" si="8"/>
        <v>0</v>
      </c>
      <c r="N23" s="1514">
        <f t="shared" si="8"/>
        <v>0</v>
      </c>
      <c r="O23" s="1514">
        <f t="shared" si="8"/>
        <v>0</v>
      </c>
      <c r="P23" s="1514">
        <f t="shared" si="8"/>
        <v>0</v>
      </c>
      <c r="Q23" s="1514">
        <f t="shared" si="8"/>
        <v>0</v>
      </c>
    </row>
    <row r="24" spans="3:17" hidden="1">
      <c r="C24" s="1510"/>
      <c r="D24" s="1505" t="s">
        <v>537</v>
      </c>
      <c r="E24" s="1505"/>
      <c r="F24" s="1506"/>
      <c r="G24" s="1497">
        <f t="shared" si="3"/>
        <v>35</v>
      </c>
      <c r="H24" s="1512"/>
      <c r="I24" s="1514">
        <f t="shared" ref="I24:Q24" si="9">I19-I22-I23</f>
        <v>14.121600000000003</v>
      </c>
      <c r="J24" s="1514">
        <f t="shared" si="9"/>
        <v>14.121600000000003</v>
      </c>
      <c r="K24" s="1514">
        <f t="shared" si="9"/>
        <v>14.121600000000003</v>
      </c>
      <c r="L24" s="1514">
        <f t="shared" si="9"/>
        <v>18.2499</v>
      </c>
      <c r="M24" s="1514">
        <f t="shared" si="9"/>
        <v>18.2499</v>
      </c>
      <c r="N24" s="1514">
        <f t="shared" si="9"/>
        <v>18.2499</v>
      </c>
      <c r="O24" s="1514">
        <f t="shared" si="9"/>
        <v>14.418199999999999</v>
      </c>
      <c r="P24" s="1514">
        <f t="shared" si="9"/>
        <v>14.418199999999999</v>
      </c>
      <c r="Q24" s="1514">
        <f t="shared" si="9"/>
        <v>14.418199999999999</v>
      </c>
    </row>
    <row r="25" spans="3:17">
      <c r="C25" s="1498" t="s">
        <v>204</v>
      </c>
      <c r="D25" s="1491"/>
      <c r="E25" s="1491"/>
      <c r="F25" s="1492"/>
      <c r="G25" s="1497">
        <f t="shared" si="3"/>
        <v>40</v>
      </c>
      <c r="H25" s="1497"/>
      <c r="I25" s="1513">
        <v>16.571999999999999</v>
      </c>
      <c r="J25" s="1513">
        <v>16.572000000000003</v>
      </c>
      <c r="K25" s="1513">
        <v>16.572000000000003</v>
      </c>
      <c r="L25" s="1513">
        <v>22.385999999999999</v>
      </c>
      <c r="M25" s="1513">
        <v>22.385999999999999</v>
      </c>
      <c r="N25" s="1513">
        <v>22.385999999999999</v>
      </c>
      <c r="O25" s="1513">
        <v>16.960999999999999</v>
      </c>
      <c r="P25" s="1513">
        <v>16.960999999999999</v>
      </c>
      <c r="Q25" s="1513">
        <v>16.960999999999999</v>
      </c>
    </row>
    <row r="26" spans="3:17">
      <c r="C26" s="1500"/>
      <c r="D26" s="518" t="s">
        <v>197</v>
      </c>
      <c r="E26" s="518"/>
      <c r="F26" s="1501">
        <v>1</v>
      </c>
      <c r="G26" s="1497">
        <f t="shared" si="3"/>
        <v>41</v>
      </c>
      <c r="H26" s="1497"/>
      <c r="I26" s="1514">
        <v>8.4039999999999999</v>
      </c>
      <c r="J26" s="1514">
        <v>8.4039999999999999</v>
      </c>
      <c r="K26" s="1514">
        <v>8.4039999999999999</v>
      </c>
      <c r="L26" s="1514">
        <v>8.5990000000000002</v>
      </c>
      <c r="M26" s="1514">
        <v>8.5990000000000002</v>
      </c>
      <c r="N26" s="1514">
        <v>8.5990000000000002</v>
      </c>
      <c r="O26" s="1514">
        <v>8.4849999999999994</v>
      </c>
      <c r="P26" s="1514">
        <v>8.4849999999999994</v>
      </c>
      <c r="Q26" s="1514">
        <v>8.4849999999999994</v>
      </c>
    </row>
    <row r="27" spans="3:17">
      <c r="C27" s="1500"/>
      <c r="D27" s="518" t="s">
        <v>198</v>
      </c>
      <c r="E27" s="518"/>
      <c r="F27" s="1501">
        <v>1</v>
      </c>
      <c r="G27" s="1497">
        <f t="shared" si="3"/>
        <v>42</v>
      </c>
      <c r="H27" s="1502"/>
      <c r="I27" s="1514">
        <v>15.867000000000001</v>
      </c>
      <c r="J27" s="1514">
        <v>15.867000000000001</v>
      </c>
      <c r="K27" s="1514">
        <v>15.867000000000001</v>
      </c>
      <c r="L27" s="1514">
        <v>20.512</v>
      </c>
      <c r="M27" s="1514">
        <v>20.512</v>
      </c>
      <c r="N27" s="1514">
        <v>20.512</v>
      </c>
      <c r="O27" s="1514">
        <v>16.321999999999999</v>
      </c>
      <c r="P27" s="1514">
        <v>16.321999999999999</v>
      </c>
      <c r="Q27" s="1514">
        <v>16.321999999999999</v>
      </c>
    </row>
    <row r="28" spans="3:17" hidden="1">
      <c r="C28" s="1503"/>
      <c r="D28" s="1505" t="s">
        <v>222</v>
      </c>
      <c r="E28" s="1505"/>
      <c r="F28" s="1506"/>
      <c r="G28" s="1497">
        <f t="shared" si="3"/>
        <v>43</v>
      </c>
      <c r="H28" s="1508">
        <f>H$10</f>
        <v>0.3</v>
      </c>
      <c r="I28" s="1514">
        <f>(I25-I26)*$H28</f>
        <v>2.4503999999999997</v>
      </c>
      <c r="J28" s="1514">
        <f t="shared" ref="J28:Q28" si="10">(J25-J26)*$H28</f>
        <v>2.4504000000000006</v>
      </c>
      <c r="K28" s="1514">
        <f t="shared" si="10"/>
        <v>2.4504000000000006</v>
      </c>
      <c r="L28" s="1514">
        <f t="shared" si="10"/>
        <v>4.1360999999999999</v>
      </c>
      <c r="M28" s="1514">
        <f t="shared" si="10"/>
        <v>4.1360999999999999</v>
      </c>
      <c r="N28" s="1514">
        <f t="shared" si="10"/>
        <v>4.1360999999999999</v>
      </c>
      <c r="O28" s="1514">
        <f t="shared" si="10"/>
        <v>2.5427999999999997</v>
      </c>
      <c r="P28" s="1514">
        <f t="shared" si="10"/>
        <v>2.5427999999999997</v>
      </c>
      <c r="Q28" s="1514">
        <f t="shared" si="10"/>
        <v>2.5427999999999997</v>
      </c>
    </row>
    <row r="29" spans="3:17" hidden="1">
      <c r="C29" s="1503"/>
      <c r="D29" s="1505" t="s">
        <v>223</v>
      </c>
      <c r="E29" s="1505"/>
      <c r="F29" s="1506"/>
      <c r="G29" s="1497">
        <f t="shared" si="3"/>
        <v>44</v>
      </c>
      <c r="H29" s="1508">
        <f>H$11</f>
        <v>0</v>
      </c>
      <c r="I29" s="1514">
        <f t="shared" ref="I29:Q29" si="11">(I25-I27)*$H29</f>
        <v>0</v>
      </c>
      <c r="J29" s="1514">
        <f t="shared" si="11"/>
        <v>0</v>
      </c>
      <c r="K29" s="1514">
        <f t="shared" si="11"/>
        <v>0</v>
      </c>
      <c r="L29" s="1514">
        <f t="shared" si="11"/>
        <v>0</v>
      </c>
      <c r="M29" s="1514">
        <f t="shared" si="11"/>
        <v>0</v>
      </c>
      <c r="N29" s="1514">
        <f t="shared" si="11"/>
        <v>0</v>
      </c>
      <c r="O29" s="1514">
        <f t="shared" si="11"/>
        <v>0</v>
      </c>
      <c r="P29" s="1514">
        <f t="shared" si="11"/>
        <v>0</v>
      </c>
      <c r="Q29" s="1514">
        <f t="shared" si="11"/>
        <v>0</v>
      </c>
    </row>
    <row r="30" spans="3:17" hidden="1">
      <c r="C30" s="1510"/>
      <c r="D30" s="1505" t="s">
        <v>537</v>
      </c>
      <c r="E30" s="1505"/>
      <c r="F30" s="1506"/>
      <c r="G30" s="1497">
        <f t="shared" si="3"/>
        <v>45</v>
      </c>
      <c r="H30" s="1512"/>
      <c r="I30" s="1514">
        <f t="shared" ref="I30:Q30" si="12">I25-I28-I29</f>
        <v>14.121599999999999</v>
      </c>
      <c r="J30" s="1514">
        <f t="shared" si="12"/>
        <v>14.121600000000003</v>
      </c>
      <c r="K30" s="1514">
        <f t="shared" si="12"/>
        <v>14.121600000000003</v>
      </c>
      <c r="L30" s="1514">
        <f t="shared" si="12"/>
        <v>18.2499</v>
      </c>
      <c r="M30" s="1514">
        <f t="shared" si="12"/>
        <v>18.2499</v>
      </c>
      <c r="N30" s="1514">
        <f t="shared" si="12"/>
        <v>18.2499</v>
      </c>
      <c r="O30" s="1514">
        <f t="shared" si="12"/>
        <v>14.418199999999999</v>
      </c>
      <c r="P30" s="1514">
        <f t="shared" si="12"/>
        <v>14.418199999999999</v>
      </c>
      <c r="Q30" s="1514">
        <f t="shared" si="12"/>
        <v>14.418199999999999</v>
      </c>
    </row>
    <row r="31" spans="3:17">
      <c r="C31" s="1498" t="s">
        <v>205</v>
      </c>
      <c r="D31" s="1491"/>
      <c r="E31" s="1491"/>
      <c r="F31" s="1492"/>
      <c r="G31" s="1497">
        <f t="shared" si="3"/>
        <v>50</v>
      </c>
      <c r="H31" s="1497"/>
      <c r="I31" s="1513">
        <v>11.535</v>
      </c>
      <c r="J31" s="1513">
        <v>11.535</v>
      </c>
      <c r="K31" s="1513">
        <v>11.535</v>
      </c>
      <c r="L31" s="1513">
        <v>12.471</v>
      </c>
      <c r="M31" s="1513">
        <v>12.471</v>
      </c>
      <c r="N31" s="1513">
        <v>12.471</v>
      </c>
      <c r="O31" s="1513">
        <v>13.079000000000001</v>
      </c>
      <c r="P31" s="1513">
        <v>13.079000000000001</v>
      </c>
      <c r="Q31" s="1513">
        <v>13.079000000000001</v>
      </c>
    </row>
    <row r="32" spans="3:17">
      <c r="C32" s="1500"/>
      <c r="D32" s="518" t="s">
        <v>197</v>
      </c>
      <c r="E32" s="518"/>
      <c r="F32" s="1501">
        <v>1</v>
      </c>
      <c r="G32" s="1497">
        <f t="shared" si="3"/>
        <v>51</v>
      </c>
      <c r="H32" s="1497"/>
      <c r="I32" s="1514">
        <v>5.452</v>
      </c>
      <c r="J32" s="1514">
        <v>5.452</v>
      </c>
      <c r="K32" s="1514">
        <v>5.452</v>
      </c>
      <c r="L32" s="1514">
        <v>5.5779999999999994</v>
      </c>
      <c r="M32" s="1514">
        <v>5.5779999999999994</v>
      </c>
      <c r="N32" s="1514">
        <v>5.5779999999999994</v>
      </c>
      <c r="O32" s="1514">
        <v>5.5039999999999996</v>
      </c>
      <c r="P32" s="1514">
        <v>5.5039999999999996</v>
      </c>
      <c r="Q32" s="1514">
        <v>5.5039999999999996</v>
      </c>
    </row>
    <row r="33" spans="3:17">
      <c r="C33" s="1500"/>
      <c r="D33" s="518" t="s">
        <v>198</v>
      </c>
      <c r="E33" s="518"/>
      <c r="F33" s="1501">
        <v>1</v>
      </c>
      <c r="G33" s="1497">
        <f t="shared" si="3"/>
        <v>52</v>
      </c>
      <c r="H33" s="1502"/>
      <c r="I33" s="1514">
        <v>11.178000000000001</v>
      </c>
      <c r="J33" s="1514">
        <v>11.178000000000001</v>
      </c>
      <c r="K33" s="1514">
        <v>11.178000000000001</v>
      </c>
      <c r="L33" s="1514">
        <v>11.533999999999999</v>
      </c>
      <c r="M33" s="1514">
        <v>11.533999999999999</v>
      </c>
      <c r="N33" s="1514">
        <v>11.533999999999999</v>
      </c>
      <c r="O33" s="1514">
        <v>12.182</v>
      </c>
      <c r="P33" s="1514">
        <v>12.182</v>
      </c>
      <c r="Q33" s="1514">
        <v>12.182</v>
      </c>
    </row>
    <row r="34" spans="3:17" hidden="1">
      <c r="C34" s="1503"/>
      <c r="D34" s="1505" t="s">
        <v>222</v>
      </c>
      <c r="E34" s="1505"/>
      <c r="F34" s="1506"/>
      <c r="G34" s="1497">
        <f t="shared" si="3"/>
        <v>53</v>
      </c>
      <c r="H34" s="1508">
        <f>H$10</f>
        <v>0.3</v>
      </c>
      <c r="I34" s="1514">
        <f>(I31-I32)*$H34</f>
        <v>1.8249</v>
      </c>
      <c r="J34" s="1514">
        <f t="shared" ref="J34:Q34" si="13">(J31-J32)*$H34</f>
        <v>1.8249</v>
      </c>
      <c r="K34" s="1514">
        <f t="shared" si="13"/>
        <v>1.8249</v>
      </c>
      <c r="L34" s="1514">
        <f t="shared" si="13"/>
        <v>2.0679000000000003</v>
      </c>
      <c r="M34" s="1514">
        <f t="shared" si="13"/>
        <v>2.0679000000000003</v>
      </c>
      <c r="N34" s="1514">
        <f t="shared" si="13"/>
        <v>2.0679000000000003</v>
      </c>
      <c r="O34" s="1514">
        <f t="shared" si="13"/>
        <v>2.2725000000000004</v>
      </c>
      <c r="P34" s="1514">
        <f t="shared" si="13"/>
        <v>2.2725000000000004</v>
      </c>
      <c r="Q34" s="1514">
        <f t="shared" si="13"/>
        <v>2.2725000000000004</v>
      </c>
    </row>
    <row r="35" spans="3:17" hidden="1">
      <c r="C35" s="1503"/>
      <c r="D35" s="1505" t="s">
        <v>223</v>
      </c>
      <c r="E35" s="1505"/>
      <c r="F35" s="1506"/>
      <c r="G35" s="1497">
        <f t="shared" si="3"/>
        <v>54</v>
      </c>
      <c r="H35" s="1508">
        <f>H$11</f>
        <v>0</v>
      </c>
      <c r="I35" s="1514">
        <f t="shared" ref="I35:Q35" si="14">(I31-I33)*$H35</f>
        <v>0</v>
      </c>
      <c r="J35" s="1514">
        <f t="shared" si="14"/>
        <v>0</v>
      </c>
      <c r="K35" s="1514">
        <f t="shared" si="14"/>
        <v>0</v>
      </c>
      <c r="L35" s="1514">
        <f t="shared" si="14"/>
        <v>0</v>
      </c>
      <c r="M35" s="1514">
        <f t="shared" si="14"/>
        <v>0</v>
      </c>
      <c r="N35" s="1514">
        <f t="shared" si="14"/>
        <v>0</v>
      </c>
      <c r="O35" s="1514">
        <f t="shared" si="14"/>
        <v>0</v>
      </c>
      <c r="P35" s="1514">
        <f t="shared" si="14"/>
        <v>0</v>
      </c>
      <c r="Q35" s="1514">
        <f t="shared" si="14"/>
        <v>0</v>
      </c>
    </row>
    <row r="36" spans="3:17" hidden="1">
      <c r="C36" s="1510"/>
      <c r="D36" s="1505" t="s">
        <v>537</v>
      </c>
      <c r="E36" s="1505"/>
      <c r="F36" s="1506"/>
      <c r="G36" s="1497">
        <f t="shared" si="3"/>
        <v>55</v>
      </c>
      <c r="H36" s="1512"/>
      <c r="I36" s="1514">
        <f t="shared" ref="I36:Q36" si="15">I31-I34-I35</f>
        <v>9.7101000000000006</v>
      </c>
      <c r="J36" s="1514">
        <f t="shared" si="15"/>
        <v>9.7101000000000006</v>
      </c>
      <c r="K36" s="1514">
        <f t="shared" si="15"/>
        <v>9.7101000000000006</v>
      </c>
      <c r="L36" s="1514">
        <f t="shared" si="15"/>
        <v>10.4031</v>
      </c>
      <c r="M36" s="1514">
        <f t="shared" si="15"/>
        <v>10.4031</v>
      </c>
      <c r="N36" s="1514">
        <f t="shared" si="15"/>
        <v>10.4031</v>
      </c>
      <c r="O36" s="1514">
        <f t="shared" si="15"/>
        <v>10.8065</v>
      </c>
      <c r="P36" s="1514">
        <f t="shared" si="15"/>
        <v>10.8065</v>
      </c>
      <c r="Q36" s="1514">
        <f t="shared" si="15"/>
        <v>10.8065</v>
      </c>
    </row>
    <row r="37" spans="3:17">
      <c r="C37" s="1498" t="s">
        <v>535</v>
      </c>
      <c r="D37" s="1491"/>
      <c r="E37" s="1491"/>
      <c r="F37" s="1492"/>
      <c r="G37" s="1497">
        <f t="shared" si="3"/>
        <v>60</v>
      </c>
      <c r="H37" s="1497"/>
      <c r="I37" s="1513">
        <v>19.561999999999998</v>
      </c>
      <c r="J37" s="1513">
        <v>19.561999999999998</v>
      </c>
      <c r="K37" s="1513">
        <v>19.561999999999998</v>
      </c>
      <c r="L37" s="1513">
        <v>22.5</v>
      </c>
      <c r="M37" s="1513">
        <v>22.5</v>
      </c>
      <c r="N37" s="1513">
        <v>22.5</v>
      </c>
      <c r="O37" s="1513">
        <v>23.650000000000002</v>
      </c>
      <c r="P37" s="1513">
        <v>23.650000000000002</v>
      </c>
      <c r="Q37" s="1513">
        <v>23.650000000000002</v>
      </c>
    </row>
    <row r="38" spans="3:17">
      <c r="C38" s="1500"/>
      <c r="D38" s="518" t="s">
        <v>197</v>
      </c>
      <c r="E38" s="518"/>
      <c r="F38" s="1501">
        <v>1</v>
      </c>
      <c r="G38" s="1497">
        <f t="shared" si="3"/>
        <v>61</v>
      </c>
      <c r="H38" s="1497"/>
      <c r="I38" s="1514">
        <v>9.9849999999999994</v>
      </c>
      <c r="J38" s="1514">
        <v>9.9849999999999994</v>
      </c>
      <c r="K38" s="1514">
        <v>9.9849999999999994</v>
      </c>
      <c r="L38" s="1514">
        <v>10.302</v>
      </c>
      <c r="M38" s="1514">
        <v>10.302</v>
      </c>
      <c r="N38" s="1514">
        <v>10.302</v>
      </c>
      <c r="O38" s="1514">
        <v>9.9700000000000006</v>
      </c>
      <c r="P38" s="1514">
        <v>9.9700000000000006</v>
      </c>
      <c r="Q38" s="1514">
        <v>9.9700000000000006</v>
      </c>
    </row>
    <row r="39" spans="3:17">
      <c r="C39" s="1500"/>
      <c r="D39" s="518" t="s">
        <v>198</v>
      </c>
      <c r="E39" s="518"/>
      <c r="F39" s="1501">
        <v>1</v>
      </c>
      <c r="G39" s="1497">
        <f t="shared" si="3"/>
        <v>62</v>
      </c>
      <c r="H39" s="1502"/>
      <c r="I39" s="1514">
        <v>18.811</v>
      </c>
      <c r="J39" s="1514">
        <v>18.811</v>
      </c>
      <c r="K39" s="1514">
        <v>18.811</v>
      </c>
      <c r="L39" s="1514">
        <v>20.811999999999998</v>
      </c>
      <c r="M39" s="1514">
        <v>20.811999999999998</v>
      </c>
      <c r="N39" s="1514">
        <v>20.811999999999998</v>
      </c>
      <c r="O39" s="1514">
        <v>22.231999999999999</v>
      </c>
      <c r="P39" s="1514">
        <v>22.231999999999999</v>
      </c>
      <c r="Q39" s="1514">
        <v>22.231999999999999</v>
      </c>
    </row>
    <row r="40" spans="3:17" hidden="1">
      <c r="C40" s="1503"/>
      <c r="D40" s="1505" t="s">
        <v>222</v>
      </c>
      <c r="E40" s="1505"/>
      <c r="F40" s="1506"/>
      <c r="G40" s="1497">
        <f t="shared" si="3"/>
        <v>63</v>
      </c>
      <c r="H40" s="1508">
        <f>H$10</f>
        <v>0.3</v>
      </c>
      <c r="I40" s="1514">
        <f>(I37-I38)*$H40</f>
        <v>2.8730999999999995</v>
      </c>
      <c r="J40" s="1514">
        <f t="shared" ref="J40:Q40" si="16">(J37-J38)*$H40</f>
        <v>2.8730999999999995</v>
      </c>
      <c r="K40" s="1514">
        <f t="shared" si="16"/>
        <v>2.8730999999999995</v>
      </c>
      <c r="L40" s="1514">
        <f t="shared" si="16"/>
        <v>3.6593999999999998</v>
      </c>
      <c r="M40" s="1514">
        <f t="shared" si="16"/>
        <v>3.6593999999999998</v>
      </c>
      <c r="N40" s="1514">
        <f t="shared" si="16"/>
        <v>3.6593999999999998</v>
      </c>
      <c r="O40" s="1514">
        <f t="shared" si="16"/>
        <v>4.1040000000000001</v>
      </c>
      <c r="P40" s="1514">
        <f t="shared" si="16"/>
        <v>4.1040000000000001</v>
      </c>
      <c r="Q40" s="1514">
        <f t="shared" si="16"/>
        <v>4.1040000000000001</v>
      </c>
    </row>
    <row r="41" spans="3:17" hidden="1">
      <c r="C41" s="1503"/>
      <c r="D41" s="1505" t="s">
        <v>223</v>
      </c>
      <c r="E41" s="1505"/>
      <c r="F41" s="1506"/>
      <c r="G41" s="1497">
        <f t="shared" si="3"/>
        <v>64</v>
      </c>
      <c r="H41" s="1508">
        <f>H$11</f>
        <v>0</v>
      </c>
      <c r="I41" s="1514">
        <f t="shared" ref="I41:Q41" si="17">(I37-I39)*$H41</f>
        <v>0</v>
      </c>
      <c r="J41" s="1514">
        <f t="shared" si="17"/>
        <v>0</v>
      </c>
      <c r="K41" s="1514">
        <f t="shared" si="17"/>
        <v>0</v>
      </c>
      <c r="L41" s="1514">
        <f t="shared" si="17"/>
        <v>0</v>
      </c>
      <c r="M41" s="1514">
        <f t="shared" si="17"/>
        <v>0</v>
      </c>
      <c r="N41" s="1514">
        <f t="shared" si="17"/>
        <v>0</v>
      </c>
      <c r="O41" s="1514">
        <f t="shared" si="17"/>
        <v>0</v>
      </c>
      <c r="P41" s="1514">
        <f t="shared" si="17"/>
        <v>0</v>
      </c>
      <c r="Q41" s="1514">
        <f t="shared" si="17"/>
        <v>0</v>
      </c>
    </row>
    <row r="42" spans="3:17" hidden="1">
      <c r="C42" s="1510"/>
      <c r="D42" s="1505" t="s">
        <v>537</v>
      </c>
      <c r="E42" s="1505"/>
      <c r="F42" s="1506"/>
      <c r="G42" s="1497">
        <f t="shared" si="3"/>
        <v>65</v>
      </c>
      <c r="H42" s="1512"/>
      <c r="I42" s="1514">
        <f t="shared" ref="I42:Q42" si="18">I37-I40-I41</f>
        <v>16.688899999999997</v>
      </c>
      <c r="J42" s="1514">
        <f t="shared" si="18"/>
        <v>16.688899999999997</v>
      </c>
      <c r="K42" s="1514">
        <f t="shared" si="18"/>
        <v>16.688899999999997</v>
      </c>
      <c r="L42" s="1514">
        <f t="shared" si="18"/>
        <v>18.840600000000002</v>
      </c>
      <c r="M42" s="1514">
        <f t="shared" si="18"/>
        <v>18.840600000000002</v>
      </c>
      <c r="N42" s="1514">
        <f t="shared" si="18"/>
        <v>18.840600000000002</v>
      </c>
      <c r="O42" s="1514">
        <f t="shared" si="18"/>
        <v>19.546000000000003</v>
      </c>
      <c r="P42" s="1514">
        <f t="shared" si="18"/>
        <v>19.546000000000003</v>
      </c>
      <c r="Q42" s="1514">
        <f t="shared" si="18"/>
        <v>19.546000000000003</v>
      </c>
    </row>
    <row r="43" spans="3:17">
      <c r="C43" s="1498" t="s">
        <v>206</v>
      </c>
      <c r="D43" s="1491"/>
      <c r="E43" s="1491"/>
      <c r="F43" s="1492"/>
      <c r="G43" s="1497">
        <f t="shared" si="3"/>
        <v>70</v>
      </c>
      <c r="H43" s="1497"/>
      <c r="I43" s="1513">
        <v>10.405000000000001</v>
      </c>
      <c r="J43" s="1513">
        <v>10.405000000000001</v>
      </c>
      <c r="K43" s="1513">
        <v>10.405000000000001</v>
      </c>
      <c r="L43" s="1513">
        <v>12.261000000000001</v>
      </c>
      <c r="M43" s="1513">
        <v>12.261000000000001</v>
      </c>
      <c r="N43" s="1513">
        <v>12.261000000000001</v>
      </c>
      <c r="O43" s="1513">
        <v>13.704000000000001</v>
      </c>
      <c r="P43" s="1513">
        <v>13.704000000000001</v>
      </c>
      <c r="Q43" s="1513">
        <v>13.704000000000001</v>
      </c>
    </row>
    <row r="44" spans="3:17">
      <c r="C44" s="1500"/>
      <c r="D44" s="518" t="s">
        <v>197</v>
      </c>
      <c r="E44" s="518"/>
      <c r="F44" s="1501">
        <v>1</v>
      </c>
      <c r="G44" s="1497">
        <f t="shared" si="3"/>
        <v>71</v>
      </c>
      <c r="H44" s="1497"/>
      <c r="I44" s="1514">
        <v>6.2990000000000004</v>
      </c>
      <c r="J44" s="1514">
        <v>6.2990000000000004</v>
      </c>
      <c r="K44" s="1514">
        <v>6.2990000000000004</v>
      </c>
      <c r="L44" s="1514">
        <v>6.4450000000000003</v>
      </c>
      <c r="M44" s="1514">
        <v>6.4450000000000003</v>
      </c>
      <c r="N44" s="1514">
        <v>6.4450000000000003</v>
      </c>
      <c r="O44" s="1514">
        <v>6.36</v>
      </c>
      <c r="P44" s="1514">
        <v>6.36</v>
      </c>
      <c r="Q44" s="1514">
        <v>6.36</v>
      </c>
    </row>
    <row r="45" spans="3:17">
      <c r="C45" s="1500"/>
      <c r="D45" s="518" t="s">
        <v>198</v>
      </c>
      <c r="E45" s="518"/>
      <c r="F45" s="1501">
        <v>1</v>
      </c>
      <c r="G45" s="1497">
        <f t="shared" si="3"/>
        <v>72</v>
      </c>
      <c r="H45" s="1502"/>
      <c r="I45" s="1514">
        <v>10.077999999999999</v>
      </c>
      <c r="J45" s="1514">
        <v>10.077999999999999</v>
      </c>
      <c r="K45" s="1514">
        <v>10.077999999999999</v>
      </c>
      <c r="L45" s="1514">
        <v>11.452000000000002</v>
      </c>
      <c r="M45" s="1514">
        <v>11.452000000000002</v>
      </c>
      <c r="N45" s="1514">
        <v>11.452000000000002</v>
      </c>
      <c r="O45" s="1514">
        <v>12.857999999999999</v>
      </c>
      <c r="P45" s="1514">
        <v>12.857999999999999</v>
      </c>
      <c r="Q45" s="1514">
        <v>12.857999999999999</v>
      </c>
    </row>
    <row r="46" spans="3:17" hidden="1">
      <c r="C46" s="1503"/>
      <c r="D46" s="1505" t="s">
        <v>222</v>
      </c>
      <c r="E46" s="1505"/>
      <c r="F46" s="1506"/>
      <c r="G46" s="1497">
        <f t="shared" si="3"/>
        <v>73</v>
      </c>
      <c r="H46" s="1508">
        <f>H$10</f>
        <v>0.3</v>
      </c>
      <c r="I46" s="1514">
        <f>(I43-I44)*$H46</f>
        <v>1.2318000000000002</v>
      </c>
      <c r="J46" s="1514">
        <f t="shared" ref="J46:Q46" si="19">(J43-J44)*$H46</f>
        <v>1.2318000000000002</v>
      </c>
      <c r="K46" s="1514">
        <f t="shared" si="19"/>
        <v>1.2318000000000002</v>
      </c>
      <c r="L46" s="1514">
        <f t="shared" si="19"/>
        <v>1.7448000000000001</v>
      </c>
      <c r="M46" s="1514">
        <f t="shared" si="19"/>
        <v>1.7448000000000001</v>
      </c>
      <c r="N46" s="1514">
        <f t="shared" si="19"/>
        <v>1.7448000000000001</v>
      </c>
      <c r="O46" s="1514">
        <f t="shared" si="19"/>
        <v>2.2031999999999998</v>
      </c>
      <c r="P46" s="1514">
        <f t="shared" si="19"/>
        <v>2.2031999999999998</v>
      </c>
      <c r="Q46" s="1514">
        <f t="shared" si="19"/>
        <v>2.2031999999999998</v>
      </c>
    </row>
    <row r="47" spans="3:17" hidden="1">
      <c r="C47" s="1503"/>
      <c r="D47" s="1505" t="s">
        <v>223</v>
      </c>
      <c r="E47" s="1505"/>
      <c r="F47" s="1506"/>
      <c r="G47" s="1497">
        <f t="shared" si="3"/>
        <v>74</v>
      </c>
      <c r="H47" s="1508">
        <f>H$11</f>
        <v>0</v>
      </c>
      <c r="I47" s="1514">
        <f t="shared" ref="I47:Q47" si="20">(I43-I45)*$H47</f>
        <v>0</v>
      </c>
      <c r="J47" s="1514">
        <f t="shared" si="20"/>
        <v>0</v>
      </c>
      <c r="K47" s="1514">
        <f t="shared" si="20"/>
        <v>0</v>
      </c>
      <c r="L47" s="1514">
        <f t="shared" si="20"/>
        <v>0</v>
      </c>
      <c r="M47" s="1514">
        <f t="shared" si="20"/>
        <v>0</v>
      </c>
      <c r="N47" s="1514">
        <f t="shared" si="20"/>
        <v>0</v>
      </c>
      <c r="O47" s="1514">
        <f t="shared" si="20"/>
        <v>0</v>
      </c>
      <c r="P47" s="1514">
        <f t="shared" si="20"/>
        <v>0</v>
      </c>
      <c r="Q47" s="1514">
        <f t="shared" si="20"/>
        <v>0</v>
      </c>
    </row>
    <row r="48" spans="3:17" hidden="1">
      <c r="C48" s="1510"/>
      <c r="D48" s="1505" t="s">
        <v>537</v>
      </c>
      <c r="E48" s="1505"/>
      <c r="F48" s="1506"/>
      <c r="G48" s="1497">
        <f t="shared" si="3"/>
        <v>75</v>
      </c>
      <c r="H48" s="1512"/>
      <c r="I48" s="1514">
        <f t="shared" ref="I48:Q48" si="21">I43-I46-I47</f>
        <v>9.1732000000000014</v>
      </c>
      <c r="J48" s="1514">
        <f t="shared" si="21"/>
        <v>9.1732000000000014</v>
      </c>
      <c r="K48" s="1514">
        <f t="shared" si="21"/>
        <v>9.1732000000000014</v>
      </c>
      <c r="L48" s="1514">
        <f t="shared" si="21"/>
        <v>10.516200000000001</v>
      </c>
      <c r="M48" s="1514">
        <f t="shared" si="21"/>
        <v>10.516200000000001</v>
      </c>
      <c r="N48" s="1514">
        <f t="shared" si="21"/>
        <v>10.516200000000001</v>
      </c>
      <c r="O48" s="1514">
        <f t="shared" si="21"/>
        <v>11.500800000000002</v>
      </c>
      <c r="P48" s="1514">
        <f t="shared" si="21"/>
        <v>11.500800000000002</v>
      </c>
      <c r="Q48" s="1514">
        <f t="shared" si="21"/>
        <v>11.500800000000002</v>
      </c>
    </row>
    <row r="49" spans="3:17">
      <c r="C49" s="1498" t="s">
        <v>1175</v>
      </c>
      <c r="D49" s="1491"/>
      <c r="E49" s="1491"/>
      <c r="F49" s="1492"/>
      <c r="G49" s="1497">
        <f t="shared" si="3"/>
        <v>80</v>
      </c>
      <c r="H49" s="1497"/>
      <c r="I49" s="1513">
        <v>11.119000000000002</v>
      </c>
      <c r="J49" s="1513">
        <v>11.119000000000002</v>
      </c>
      <c r="K49" s="1513">
        <v>11.119000000000002</v>
      </c>
      <c r="L49" s="1513">
        <v>12.770000000000001</v>
      </c>
      <c r="M49" s="1513">
        <v>12.770000000000001</v>
      </c>
      <c r="N49" s="1513">
        <v>12.770000000000001</v>
      </c>
      <c r="O49" s="1513">
        <v>13.53</v>
      </c>
      <c r="P49" s="1513">
        <v>13.53</v>
      </c>
      <c r="Q49" s="1513">
        <v>13.53</v>
      </c>
    </row>
    <row r="50" spans="3:17">
      <c r="C50" s="1500"/>
      <c r="D50" s="518" t="s">
        <v>197</v>
      </c>
      <c r="E50" s="518"/>
      <c r="F50" s="1501">
        <v>1</v>
      </c>
      <c r="G50" s="1497">
        <f t="shared" si="3"/>
        <v>81</v>
      </c>
      <c r="H50" s="1497"/>
      <c r="I50" s="1514">
        <v>5.5570000000000004</v>
      </c>
      <c r="J50" s="1514">
        <v>5.5570000000000004</v>
      </c>
      <c r="K50" s="1514">
        <v>5.5570000000000004</v>
      </c>
      <c r="L50" s="1514">
        <v>5.6859999999999999</v>
      </c>
      <c r="M50" s="1514">
        <v>5.6859999999999999</v>
      </c>
      <c r="N50" s="1514">
        <v>5.6859999999999999</v>
      </c>
      <c r="O50" s="1514">
        <v>5.61</v>
      </c>
      <c r="P50" s="1514">
        <v>5.61</v>
      </c>
      <c r="Q50" s="1514">
        <v>5.61</v>
      </c>
    </row>
    <row r="51" spans="3:17">
      <c r="C51" s="1500"/>
      <c r="D51" s="518" t="s">
        <v>198</v>
      </c>
      <c r="E51" s="518"/>
      <c r="F51" s="1501">
        <v>1</v>
      </c>
      <c r="G51" s="1497">
        <f t="shared" si="3"/>
        <v>82</v>
      </c>
      <c r="H51" s="1502"/>
      <c r="I51" s="1514">
        <v>10.67</v>
      </c>
      <c r="J51" s="1514">
        <v>10.67</v>
      </c>
      <c r="K51" s="1514">
        <v>10.67</v>
      </c>
      <c r="L51" s="1514">
        <v>11.715999999999999</v>
      </c>
      <c r="M51" s="1514">
        <v>11.715999999999999</v>
      </c>
      <c r="N51" s="1514">
        <v>11.715999999999999</v>
      </c>
      <c r="O51" s="1514">
        <v>12.681000000000001</v>
      </c>
      <c r="P51" s="1514">
        <v>12.681000000000001</v>
      </c>
      <c r="Q51" s="1514">
        <v>12.681000000000001</v>
      </c>
    </row>
    <row r="52" spans="3:17" hidden="1">
      <c r="C52" s="1503"/>
      <c r="D52" s="1505" t="s">
        <v>222</v>
      </c>
      <c r="E52" s="1505"/>
      <c r="F52" s="1506"/>
      <c r="G52" s="1497">
        <f t="shared" si="3"/>
        <v>83</v>
      </c>
      <c r="H52" s="1508">
        <f>H$10</f>
        <v>0.3</v>
      </c>
      <c r="I52" s="1514">
        <f>(I49-I50)*$H52</f>
        <v>1.6686000000000003</v>
      </c>
      <c r="J52" s="1514">
        <f t="shared" ref="J52:Q52" si="22">(J49-J50)*$H52</f>
        <v>1.6686000000000003</v>
      </c>
      <c r="K52" s="1514">
        <f t="shared" si="22"/>
        <v>1.6686000000000003</v>
      </c>
      <c r="L52" s="1514">
        <f t="shared" si="22"/>
        <v>2.1252000000000004</v>
      </c>
      <c r="M52" s="1514">
        <f t="shared" si="22"/>
        <v>2.1252000000000004</v>
      </c>
      <c r="N52" s="1514">
        <f t="shared" si="22"/>
        <v>2.1252000000000004</v>
      </c>
      <c r="O52" s="1514">
        <f t="shared" si="22"/>
        <v>2.3759999999999994</v>
      </c>
      <c r="P52" s="1514">
        <f t="shared" si="22"/>
        <v>2.3759999999999994</v>
      </c>
      <c r="Q52" s="1514">
        <f t="shared" si="22"/>
        <v>2.3759999999999994</v>
      </c>
    </row>
    <row r="53" spans="3:17" hidden="1">
      <c r="C53" s="1503"/>
      <c r="D53" s="1505" t="s">
        <v>223</v>
      </c>
      <c r="E53" s="1505"/>
      <c r="F53" s="1506"/>
      <c r="G53" s="1497">
        <f t="shared" si="3"/>
        <v>84</v>
      </c>
      <c r="H53" s="1508">
        <f>H$11</f>
        <v>0</v>
      </c>
      <c r="I53" s="1514">
        <f t="shared" ref="I53:Q53" si="23">(I49-I51)*$H53</f>
        <v>0</v>
      </c>
      <c r="J53" s="1514">
        <f t="shared" si="23"/>
        <v>0</v>
      </c>
      <c r="K53" s="1514">
        <f t="shared" si="23"/>
        <v>0</v>
      </c>
      <c r="L53" s="1514">
        <f t="shared" si="23"/>
        <v>0</v>
      </c>
      <c r="M53" s="1514">
        <f t="shared" si="23"/>
        <v>0</v>
      </c>
      <c r="N53" s="1514">
        <f t="shared" si="23"/>
        <v>0</v>
      </c>
      <c r="O53" s="1514">
        <f t="shared" si="23"/>
        <v>0</v>
      </c>
      <c r="P53" s="1514">
        <f t="shared" si="23"/>
        <v>0</v>
      </c>
      <c r="Q53" s="1514">
        <f t="shared" si="23"/>
        <v>0</v>
      </c>
    </row>
    <row r="54" spans="3:17" hidden="1">
      <c r="C54" s="1510"/>
      <c r="D54" s="1505" t="s">
        <v>537</v>
      </c>
      <c r="E54" s="1505"/>
      <c r="F54" s="1506"/>
      <c r="G54" s="1497">
        <f t="shared" si="3"/>
        <v>85</v>
      </c>
      <c r="H54" s="1512"/>
      <c r="I54" s="1514">
        <f t="shared" ref="I54:Q54" si="24">I49-I52-I53</f>
        <v>9.4504000000000019</v>
      </c>
      <c r="J54" s="1514">
        <f t="shared" si="24"/>
        <v>9.4504000000000019</v>
      </c>
      <c r="K54" s="1514">
        <f t="shared" si="24"/>
        <v>9.4504000000000019</v>
      </c>
      <c r="L54" s="1514">
        <f t="shared" si="24"/>
        <v>10.6448</v>
      </c>
      <c r="M54" s="1514">
        <f t="shared" si="24"/>
        <v>10.6448</v>
      </c>
      <c r="N54" s="1514">
        <f t="shared" si="24"/>
        <v>10.6448</v>
      </c>
      <c r="O54" s="1514">
        <f t="shared" si="24"/>
        <v>11.154</v>
      </c>
      <c r="P54" s="1514">
        <f t="shared" si="24"/>
        <v>11.154</v>
      </c>
      <c r="Q54" s="1514">
        <f t="shared" si="24"/>
        <v>11.154</v>
      </c>
    </row>
    <row r="55" spans="3:17">
      <c r="C55" s="1498" t="s">
        <v>816</v>
      </c>
      <c r="D55" s="1491"/>
      <c r="E55" s="1491"/>
      <c r="F55" s="1492"/>
      <c r="G55" s="1497">
        <f t="shared" si="3"/>
        <v>90</v>
      </c>
      <c r="H55" s="1497"/>
      <c r="I55" s="1513">
        <v>15.641</v>
      </c>
      <c r="J55" s="1513">
        <v>7.8210000000000006</v>
      </c>
      <c r="K55" s="1513">
        <v>5.2140000000000004</v>
      </c>
      <c r="L55" s="1513">
        <v>19.619999999999997</v>
      </c>
      <c r="M55" s="1513">
        <v>9.8079999999999998</v>
      </c>
      <c r="N55" s="1513">
        <v>6.5390000000000006</v>
      </c>
      <c r="O55" s="1513">
        <v>22.378</v>
      </c>
      <c r="P55" s="1513">
        <v>11.187999999999999</v>
      </c>
      <c r="Q55" s="1513">
        <v>7.4590000000000005</v>
      </c>
    </row>
    <row r="56" spans="3:17">
      <c r="C56" s="1500"/>
      <c r="D56" s="518" t="s">
        <v>197</v>
      </c>
      <c r="E56" s="518"/>
      <c r="F56" s="1501">
        <v>1</v>
      </c>
      <c r="G56" s="1497">
        <f t="shared" si="3"/>
        <v>91</v>
      </c>
      <c r="H56" s="1497"/>
      <c r="I56" s="1514">
        <v>9.0940000000000012</v>
      </c>
      <c r="J56" s="1514">
        <v>4.5460000000000003</v>
      </c>
      <c r="K56" s="1514">
        <v>3.0309999999999997</v>
      </c>
      <c r="L56" s="1514">
        <v>8.8330000000000002</v>
      </c>
      <c r="M56" s="1514">
        <v>4.4160000000000004</v>
      </c>
      <c r="N56" s="1514">
        <v>2.9430000000000001</v>
      </c>
      <c r="O56" s="1514">
        <v>8.7469999999999999</v>
      </c>
      <c r="P56" s="1514">
        <v>4.3730000000000002</v>
      </c>
      <c r="Q56" s="1514">
        <v>2.915</v>
      </c>
    </row>
    <row r="57" spans="3:17">
      <c r="C57" s="1500"/>
      <c r="D57" s="518" t="s">
        <v>198</v>
      </c>
      <c r="E57" s="518"/>
      <c r="F57" s="1501">
        <v>1</v>
      </c>
      <c r="G57" s="1497">
        <f t="shared" si="3"/>
        <v>92</v>
      </c>
      <c r="H57" s="1502"/>
      <c r="I57" s="1514">
        <v>14.974</v>
      </c>
      <c r="J57" s="1514">
        <v>7.4880000000000004</v>
      </c>
      <c r="K57" s="1514">
        <v>4.9910000000000005</v>
      </c>
      <c r="L57" s="1514">
        <v>18.148999999999997</v>
      </c>
      <c r="M57" s="1514">
        <v>9.0730000000000004</v>
      </c>
      <c r="N57" s="1514">
        <v>6.0490000000000004</v>
      </c>
      <c r="O57" s="1514">
        <v>20.89</v>
      </c>
      <c r="P57" s="1514">
        <v>10.443999999999999</v>
      </c>
      <c r="Q57" s="1514">
        <v>6.9620000000000006</v>
      </c>
    </row>
    <row r="58" spans="3:17" hidden="1">
      <c r="C58" s="1503"/>
      <c r="D58" s="1504"/>
      <c r="E58" s="1505" t="s">
        <v>222</v>
      </c>
      <c r="F58" s="1506"/>
      <c r="G58" s="1497">
        <f t="shared" si="3"/>
        <v>93</v>
      </c>
      <c r="H58" s="1508">
        <f>H$10</f>
        <v>0.3</v>
      </c>
      <c r="I58" s="1514">
        <f>(I55-I56)*$H58</f>
        <v>1.9640999999999995</v>
      </c>
      <c r="J58" s="1514">
        <f t="shared" ref="J58:Q58" si="25">(J55-J56)*$H58</f>
        <v>0.98250000000000004</v>
      </c>
      <c r="K58" s="1514">
        <f t="shared" si="25"/>
        <v>0.65490000000000015</v>
      </c>
      <c r="L58" s="1514">
        <f t="shared" si="25"/>
        <v>3.2360999999999991</v>
      </c>
      <c r="M58" s="1514">
        <f t="shared" si="25"/>
        <v>1.6175999999999997</v>
      </c>
      <c r="N58" s="1514">
        <f t="shared" si="25"/>
        <v>1.0788000000000002</v>
      </c>
      <c r="O58" s="1514">
        <f t="shared" si="25"/>
        <v>4.0892999999999997</v>
      </c>
      <c r="P58" s="1514">
        <f t="shared" si="25"/>
        <v>2.0444999999999993</v>
      </c>
      <c r="Q58" s="1514">
        <f t="shared" si="25"/>
        <v>1.3632000000000002</v>
      </c>
    </row>
    <row r="59" spans="3:17" hidden="1">
      <c r="C59" s="1503"/>
      <c r="D59" s="1495"/>
      <c r="E59" s="1505" t="s">
        <v>223</v>
      </c>
      <c r="F59" s="1506"/>
      <c r="G59" s="1497">
        <f t="shared" si="3"/>
        <v>94</v>
      </c>
      <c r="H59" s="1508">
        <f>H$11</f>
        <v>0</v>
      </c>
      <c r="I59" s="1514">
        <f>(I55-I57)*$H59</f>
        <v>0</v>
      </c>
      <c r="J59" s="1514">
        <f t="shared" ref="J59:Q59" si="26">(J55-J57)*$H59</f>
        <v>0</v>
      </c>
      <c r="K59" s="1514">
        <f t="shared" si="26"/>
        <v>0</v>
      </c>
      <c r="L59" s="1514">
        <f t="shared" si="26"/>
        <v>0</v>
      </c>
      <c r="M59" s="1514">
        <f t="shared" si="26"/>
        <v>0</v>
      </c>
      <c r="N59" s="1514">
        <f t="shared" si="26"/>
        <v>0</v>
      </c>
      <c r="O59" s="1514">
        <f t="shared" si="26"/>
        <v>0</v>
      </c>
      <c r="P59" s="1514">
        <f t="shared" si="26"/>
        <v>0</v>
      </c>
      <c r="Q59" s="1514">
        <f t="shared" si="26"/>
        <v>0</v>
      </c>
    </row>
    <row r="60" spans="3:17" hidden="1">
      <c r="C60" s="1510"/>
      <c r="D60" s="1511"/>
      <c r="E60" s="1505" t="s">
        <v>537</v>
      </c>
      <c r="F60" s="1506"/>
      <c r="G60" s="1497">
        <f t="shared" si="3"/>
        <v>95</v>
      </c>
      <c r="H60" s="1512"/>
      <c r="I60" s="1514">
        <f>I55-I58-I59</f>
        <v>13.6769</v>
      </c>
      <c r="J60" s="1514">
        <f t="shared" ref="J60:Q60" si="27">J55-J58-J59</f>
        <v>6.8385000000000007</v>
      </c>
      <c r="K60" s="1514">
        <f t="shared" si="27"/>
        <v>4.5590999999999999</v>
      </c>
      <c r="L60" s="1514">
        <f t="shared" si="27"/>
        <v>16.383899999999997</v>
      </c>
      <c r="M60" s="1514">
        <f t="shared" si="27"/>
        <v>8.1904000000000003</v>
      </c>
      <c r="N60" s="1514">
        <f t="shared" si="27"/>
        <v>5.4602000000000004</v>
      </c>
      <c r="O60" s="1514">
        <f t="shared" si="27"/>
        <v>18.288699999999999</v>
      </c>
      <c r="P60" s="1514">
        <f t="shared" si="27"/>
        <v>9.1434999999999995</v>
      </c>
      <c r="Q60" s="1514">
        <f t="shared" si="27"/>
        <v>6.0958000000000006</v>
      </c>
    </row>
    <row r="61" spans="3:17">
      <c r="C61" s="1515"/>
      <c r="D61" s="1515"/>
      <c r="E61" s="1457"/>
      <c r="F61" s="1457"/>
      <c r="G61" s="1457"/>
      <c r="H61" s="1457"/>
      <c r="I61" s="1457"/>
      <c r="J61" s="1457"/>
      <c r="K61" s="1457"/>
      <c r="L61" s="1457"/>
      <c r="M61" s="1457"/>
      <c r="N61" s="1457"/>
      <c r="O61" s="1457"/>
      <c r="P61" s="1457"/>
      <c r="Q61" s="1457"/>
    </row>
    <row r="62" spans="3:17">
      <c r="C62" s="1479" t="s">
        <v>224</v>
      </c>
      <c r="D62" s="1480"/>
      <c r="E62" s="1457"/>
      <c r="F62" s="1457"/>
      <c r="G62" s="1457"/>
      <c r="H62" s="1457"/>
      <c r="I62" s="1481" t="s">
        <v>189</v>
      </c>
      <c r="J62" s="1482"/>
      <c r="K62" s="1482"/>
      <c r="L62" s="1483"/>
      <c r="M62" s="1483"/>
      <c r="N62" s="1483"/>
      <c r="O62" s="1483"/>
      <c r="P62" s="1483"/>
      <c r="Q62" s="1484"/>
    </row>
    <row r="63" spans="3:17">
      <c r="C63" s="1485"/>
      <c r="D63" s="1486" t="s">
        <v>219</v>
      </c>
      <c r="E63" s="1485"/>
      <c r="F63" s="1485"/>
      <c r="G63" s="1485"/>
      <c r="H63" s="1485"/>
      <c r="I63" s="1487" t="s">
        <v>484</v>
      </c>
      <c r="J63" s="1483" t="s">
        <v>305</v>
      </c>
      <c r="K63" s="1488"/>
      <c r="L63" s="1487" t="s">
        <v>485</v>
      </c>
      <c r="M63" s="1483"/>
      <c r="N63" s="1488"/>
      <c r="O63" s="1487" t="s">
        <v>486</v>
      </c>
      <c r="P63" s="1483"/>
      <c r="Q63" s="1488"/>
    </row>
    <row r="64" spans="3:17">
      <c r="C64" s="1489" t="s">
        <v>220</v>
      </c>
      <c r="D64" s="1490"/>
      <c r="E64" s="1491"/>
      <c r="F64" s="1492"/>
      <c r="G64" s="1516"/>
      <c r="H64" s="1516"/>
      <c r="I64" s="1494" t="s">
        <v>1176</v>
      </c>
      <c r="J64" s="1494" t="s">
        <v>1177</v>
      </c>
      <c r="K64" s="1494" t="s">
        <v>1178</v>
      </c>
      <c r="L64" s="1494" t="s">
        <v>1176</v>
      </c>
      <c r="M64" s="1494" t="s">
        <v>1177</v>
      </c>
      <c r="N64" s="1494" t="s">
        <v>1178</v>
      </c>
      <c r="O64" s="1494" t="s">
        <v>1176</v>
      </c>
      <c r="P64" s="1494" t="s">
        <v>1177</v>
      </c>
      <c r="Q64" s="1494" t="s">
        <v>1178</v>
      </c>
    </row>
    <row r="65" spans="3:17">
      <c r="C65" s="1498" t="s">
        <v>519</v>
      </c>
      <c r="D65" s="1499"/>
      <c r="E65" s="1517"/>
      <c r="F65" s="1518"/>
      <c r="G65" s="1519">
        <v>1</v>
      </c>
      <c r="H65" s="1519"/>
      <c r="I65" s="1521">
        <v>15.990999999999998</v>
      </c>
      <c r="J65" s="1521">
        <v>15.990999999999998</v>
      </c>
      <c r="K65" s="1521">
        <v>15.990999999999998</v>
      </c>
      <c r="L65" s="1521">
        <v>16.456</v>
      </c>
      <c r="M65" s="1521">
        <v>16.456</v>
      </c>
      <c r="N65" s="1521">
        <v>16.456</v>
      </c>
      <c r="O65" s="1521">
        <v>16.21</v>
      </c>
      <c r="P65" s="1521">
        <v>16.21</v>
      </c>
      <c r="Q65" s="1521">
        <v>16.21</v>
      </c>
    </row>
    <row r="66" spans="3:17" ht="16.5" hidden="1" customHeight="1">
      <c r="C66" s="1500"/>
      <c r="D66" s="518" t="s">
        <v>197</v>
      </c>
      <c r="E66" s="518"/>
      <c r="F66" s="1501">
        <v>1</v>
      </c>
      <c r="G66" s="1519"/>
      <c r="H66" s="1519"/>
      <c r="I66" s="1521"/>
      <c r="J66" s="1521"/>
      <c r="K66" s="1521"/>
      <c r="L66" s="1521"/>
      <c r="M66" s="1521"/>
      <c r="N66" s="1521"/>
      <c r="O66" s="1521"/>
      <c r="P66" s="1521"/>
      <c r="Q66" s="1521"/>
    </row>
    <row r="67" spans="3:17" hidden="1">
      <c r="C67" s="1500"/>
      <c r="D67" s="1505" t="s">
        <v>225</v>
      </c>
      <c r="E67" s="1505"/>
      <c r="F67" s="1520"/>
      <c r="G67" s="1512"/>
      <c r="H67" s="1508">
        <v>0</v>
      </c>
      <c r="I67" s="1521">
        <f>I65-(I65-I66)*$H67</f>
        <v>15.990999999999998</v>
      </c>
      <c r="J67" s="1521">
        <f t="shared" ref="J67:Q67" si="28">J65-(J65-J66)*$H67</f>
        <v>15.990999999999998</v>
      </c>
      <c r="K67" s="1521">
        <f t="shared" si="28"/>
        <v>15.990999999999998</v>
      </c>
      <c r="L67" s="1521">
        <f t="shared" si="28"/>
        <v>16.456</v>
      </c>
      <c r="M67" s="1521">
        <f t="shared" si="28"/>
        <v>16.456</v>
      </c>
      <c r="N67" s="1521">
        <f t="shared" si="28"/>
        <v>16.456</v>
      </c>
      <c r="O67" s="1521">
        <f t="shared" si="28"/>
        <v>16.21</v>
      </c>
      <c r="P67" s="1521">
        <f t="shared" si="28"/>
        <v>16.21</v>
      </c>
      <c r="Q67" s="1521">
        <f t="shared" si="28"/>
        <v>16.21</v>
      </c>
    </row>
    <row r="68" spans="3:17">
      <c r="C68" s="1498" t="s">
        <v>201</v>
      </c>
      <c r="D68" s="1517"/>
      <c r="E68" s="1517"/>
      <c r="F68" s="1518"/>
      <c r="G68" s="1519">
        <v>2</v>
      </c>
      <c r="H68" s="1519"/>
      <c r="I68" s="1521">
        <v>11.802</v>
      </c>
      <c r="J68" s="1521">
        <v>11.802</v>
      </c>
      <c r="K68" s="1521">
        <v>11.802</v>
      </c>
      <c r="L68" s="1521">
        <v>12.423999999999999</v>
      </c>
      <c r="M68" s="1521">
        <v>12.423999999999999</v>
      </c>
      <c r="N68" s="1521">
        <v>12.423999999999999</v>
      </c>
      <c r="O68" s="1521">
        <v>12.306000000000001</v>
      </c>
      <c r="P68" s="1521">
        <v>12.306000000000001</v>
      </c>
      <c r="Q68" s="1521">
        <v>12.306000000000001</v>
      </c>
    </row>
    <row r="69" spans="3:17" hidden="1">
      <c r="C69" s="1500"/>
      <c r="D69" s="518" t="s">
        <v>197</v>
      </c>
      <c r="E69" s="518"/>
      <c r="F69" s="1501">
        <v>1</v>
      </c>
      <c r="G69" s="1519"/>
      <c r="H69" s="1519"/>
      <c r="I69" s="1521"/>
      <c r="J69" s="1521"/>
      <c r="K69" s="1521"/>
      <c r="L69" s="1521"/>
      <c r="M69" s="1521"/>
      <c r="N69" s="1521"/>
      <c r="O69" s="1521"/>
      <c r="P69" s="1521"/>
      <c r="Q69" s="1521"/>
    </row>
    <row r="70" spans="3:17" hidden="1">
      <c r="C70" s="1500"/>
      <c r="D70" s="1505" t="s">
        <v>225</v>
      </c>
      <c r="E70" s="1505"/>
      <c r="F70" s="1520"/>
      <c r="G70" s="1512"/>
      <c r="H70" s="1508">
        <v>0</v>
      </c>
      <c r="I70" s="1521">
        <f t="shared" ref="I70:Q70" si="29">I68-(I68-I69)*$H70</f>
        <v>11.802</v>
      </c>
      <c r="J70" s="1521">
        <f t="shared" si="29"/>
        <v>11.802</v>
      </c>
      <c r="K70" s="1521">
        <f t="shared" si="29"/>
        <v>11.802</v>
      </c>
      <c r="L70" s="1521">
        <f t="shared" si="29"/>
        <v>12.423999999999999</v>
      </c>
      <c r="M70" s="1521">
        <f t="shared" si="29"/>
        <v>12.423999999999999</v>
      </c>
      <c r="N70" s="1521">
        <f t="shared" si="29"/>
        <v>12.423999999999999</v>
      </c>
      <c r="O70" s="1521">
        <f t="shared" si="29"/>
        <v>12.306000000000001</v>
      </c>
      <c r="P70" s="1521">
        <f t="shared" si="29"/>
        <v>12.306000000000001</v>
      </c>
      <c r="Q70" s="1521">
        <f t="shared" si="29"/>
        <v>12.306000000000001</v>
      </c>
    </row>
    <row r="71" spans="3:17">
      <c r="C71" s="1498" t="s">
        <v>202</v>
      </c>
      <c r="D71" s="1517"/>
      <c r="E71" s="1517"/>
      <c r="F71" s="1518"/>
      <c r="G71" s="1519">
        <v>3</v>
      </c>
      <c r="H71" s="1519"/>
      <c r="I71" s="1521">
        <v>6.88</v>
      </c>
      <c r="J71" s="1521">
        <v>6.88</v>
      </c>
      <c r="K71" s="1521">
        <v>6.88</v>
      </c>
      <c r="L71" s="1521">
        <v>7.7379999999999995</v>
      </c>
      <c r="M71" s="1521">
        <v>7.7379999999999995</v>
      </c>
      <c r="N71" s="1521">
        <v>7.7379999999999995</v>
      </c>
      <c r="O71" s="1521">
        <v>6.91</v>
      </c>
      <c r="P71" s="1521">
        <v>6.91</v>
      </c>
      <c r="Q71" s="1521">
        <v>6.91</v>
      </c>
    </row>
    <row r="72" spans="3:17" hidden="1">
      <c r="C72" s="1500"/>
      <c r="D72" s="518" t="s">
        <v>197</v>
      </c>
      <c r="E72" s="518"/>
      <c r="F72" s="1501">
        <v>1</v>
      </c>
      <c r="G72" s="1519"/>
      <c r="H72" s="1519"/>
      <c r="I72" s="1521"/>
      <c r="J72" s="1521"/>
      <c r="K72" s="1521"/>
      <c r="L72" s="1521"/>
      <c r="M72" s="1521"/>
      <c r="N72" s="1521"/>
      <c r="O72" s="1521"/>
      <c r="P72" s="1521"/>
      <c r="Q72" s="1521"/>
    </row>
    <row r="73" spans="3:17" hidden="1">
      <c r="C73" s="1500"/>
      <c r="D73" s="1505" t="s">
        <v>225</v>
      </c>
      <c r="E73" s="1505"/>
      <c r="F73" s="1520"/>
      <c r="G73" s="1512"/>
      <c r="H73" s="1508">
        <v>0</v>
      </c>
      <c r="I73" s="1521">
        <f>I71-(I71-I72)*$H73</f>
        <v>6.88</v>
      </c>
      <c r="J73" s="1521">
        <f>J71-(J71-J72)*$H73</f>
        <v>6.88</v>
      </c>
      <c r="K73" s="1521">
        <f>K71-(K71-K72)*$H73</f>
        <v>6.88</v>
      </c>
      <c r="L73" s="1521">
        <v>13.193999999999999</v>
      </c>
      <c r="M73" s="1521">
        <v>13.193999999999999</v>
      </c>
      <c r="N73" s="1521">
        <v>13.193999999999999</v>
      </c>
      <c r="O73" s="1521">
        <f>O71-(O71-O72)*$H73</f>
        <v>6.91</v>
      </c>
      <c r="P73" s="1521">
        <f>P71-(P71-P72)*$H73</f>
        <v>6.91</v>
      </c>
      <c r="Q73" s="1521">
        <f>Q71-(Q71-Q72)*$H73</f>
        <v>6.91</v>
      </c>
    </row>
    <row r="74" spans="3:17">
      <c r="C74" s="1498" t="s">
        <v>204</v>
      </c>
      <c r="D74" s="1517"/>
      <c r="E74" s="1517"/>
      <c r="F74" s="1518"/>
      <c r="G74" s="1519">
        <v>4</v>
      </c>
      <c r="H74" s="1519"/>
      <c r="I74" s="1521">
        <v>6.88</v>
      </c>
      <c r="J74" s="1521">
        <v>6.88</v>
      </c>
      <c r="K74" s="1521">
        <v>6.88</v>
      </c>
      <c r="L74" s="1521">
        <v>7.7379999999999995</v>
      </c>
      <c r="M74" s="1521">
        <v>7.7379999999999995</v>
      </c>
      <c r="N74" s="1521">
        <v>7.7379999999999995</v>
      </c>
      <c r="O74" s="1521">
        <v>6.91</v>
      </c>
      <c r="P74" s="1521">
        <v>6.91</v>
      </c>
      <c r="Q74" s="1521">
        <v>6.91</v>
      </c>
    </row>
    <row r="75" spans="3:17" hidden="1">
      <c r="C75" s="1500"/>
      <c r="D75" s="518" t="s">
        <v>197</v>
      </c>
      <c r="E75" s="518"/>
      <c r="F75" s="1501">
        <v>1</v>
      </c>
      <c r="G75" s="1519"/>
      <c r="H75" s="1519"/>
      <c r="I75" s="1521"/>
      <c r="J75" s="1521"/>
      <c r="K75" s="1521"/>
      <c r="L75" s="1521"/>
      <c r="M75" s="1521"/>
      <c r="N75" s="1521"/>
      <c r="O75" s="1521"/>
      <c r="P75" s="1521"/>
      <c r="Q75" s="1521"/>
    </row>
    <row r="76" spans="3:17" hidden="1">
      <c r="C76" s="1500"/>
      <c r="D76" s="1505" t="s">
        <v>225</v>
      </c>
      <c r="E76" s="1505"/>
      <c r="F76" s="1520"/>
      <c r="G76" s="1512"/>
      <c r="H76" s="1508">
        <v>0</v>
      </c>
      <c r="I76" s="1521">
        <f t="shared" ref="I76:Q76" si="30">I74-(I74-I75)*$H76</f>
        <v>6.88</v>
      </c>
      <c r="J76" s="1521">
        <f t="shared" si="30"/>
        <v>6.88</v>
      </c>
      <c r="K76" s="1521">
        <f t="shared" si="30"/>
        <v>6.88</v>
      </c>
      <c r="L76" s="1521">
        <f t="shared" si="30"/>
        <v>7.7379999999999995</v>
      </c>
      <c r="M76" s="1521">
        <f t="shared" si="30"/>
        <v>7.7379999999999995</v>
      </c>
      <c r="N76" s="1521">
        <f t="shared" si="30"/>
        <v>7.7379999999999995</v>
      </c>
      <c r="O76" s="1521">
        <f t="shared" si="30"/>
        <v>6.91</v>
      </c>
      <c r="P76" s="1521">
        <f t="shared" si="30"/>
        <v>6.91</v>
      </c>
      <c r="Q76" s="1521">
        <f t="shared" si="30"/>
        <v>6.91</v>
      </c>
    </row>
    <row r="77" spans="3:17">
      <c r="C77" s="1498" t="s">
        <v>205</v>
      </c>
      <c r="D77" s="1517"/>
      <c r="E77" s="1517"/>
      <c r="F77" s="1518"/>
      <c r="G77" s="1519">
        <v>5</v>
      </c>
      <c r="H77" s="1519"/>
      <c r="I77" s="1521">
        <v>12.809999999999999</v>
      </c>
      <c r="J77" s="1521">
        <v>12.809999999999999</v>
      </c>
      <c r="K77" s="1521">
        <v>12.809999999999999</v>
      </c>
      <c r="L77" s="1521">
        <v>13.426</v>
      </c>
      <c r="M77" s="1521">
        <v>13.426</v>
      </c>
      <c r="N77" s="1521">
        <v>13.426</v>
      </c>
      <c r="O77" s="1521">
        <v>13.251000000000001</v>
      </c>
      <c r="P77" s="1521">
        <v>13.251000000000001</v>
      </c>
      <c r="Q77" s="1521">
        <v>13.251000000000001</v>
      </c>
    </row>
    <row r="78" spans="3:17" hidden="1">
      <c r="C78" s="1500"/>
      <c r="D78" s="518" t="s">
        <v>197</v>
      </c>
      <c r="E78" s="518"/>
      <c r="F78" s="1501">
        <v>1</v>
      </c>
      <c r="G78" s="1519"/>
      <c r="H78" s="1519"/>
      <c r="I78" s="1521"/>
      <c r="J78" s="1521"/>
      <c r="K78" s="1521"/>
      <c r="L78" s="1521"/>
      <c r="M78" s="1521"/>
      <c r="N78" s="1521"/>
      <c r="O78" s="1521"/>
      <c r="P78" s="1521"/>
      <c r="Q78" s="1521"/>
    </row>
    <row r="79" spans="3:17" hidden="1">
      <c r="C79" s="1500"/>
      <c r="D79" s="1505" t="s">
        <v>225</v>
      </c>
      <c r="E79" s="1505"/>
      <c r="F79" s="1520"/>
      <c r="G79" s="1512"/>
      <c r="H79" s="1508">
        <v>0</v>
      </c>
      <c r="I79" s="1521">
        <f t="shared" ref="I79:Q79" si="31">I77-(I77-I78)*$H79</f>
        <v>12.809999999999999</v>
      </c>
      <c r="J79" s="1521">
        <f t="shared" si="31"/>
        <v>12.809999999999999</v>
      </c>
      <c r="K79" s="1521">
        <f t="shared" si="31"/>
        <v>12.809999999999999</v>
      </c>
      <c r="L79" s="1521">
        <f t="shared" si="31"/>
        <v>13.426</v>
      </c>
      <c r="M79" s="1521">
        <f t="shared" si="31"/>
        <v>13.426</v>
      </c>
      <c r="N79" s="1521">
        <f t="shared" si="31"/>
        <v>13.426</v>
      </c>
      <c r="O79" s="1521">
        <f t="shared" si="31"/>
        <v>13.251000000000001</v>
      </c>
      <c r="P79" s="1521">
        <f t="shared" si="31"/>
        <v>13.251000000000001</v>
      </c>
      <c r="Q79" s="1521">
        <f t="shared" si="31"/>
        <v>13.251000000000001</v>
      </c>
    </row>
    <row r="80" spans="3:17">
      <c r="C80" s="1498" t="s">
        <v>535</v>
      </c>
      <c r="D80" s="1491"/>
      <c r="E80" s="1491"/>
      <c r="F80" s="1518"/>
      <c r="G80" s="1519">
        <v>6</v>
      </c>
      <c r="H80" s="1519"/>
      <c r="I80" s="1521">
        <v>8.6499999999999986</v>
      </c>
      <c r="J80" s="1521">
        <v>8.6499999999999986</v>
      </c>
      <c r="K80" s="1521">
        <v>8.6499999999999986</v>
      </c>
      <c r="L80" s="1521">
        <v>9.4220000000000006</v>
      </c>
      <c r="M80" s="1521">
        <v>9.4220000000000006</v>
      </c>
      <c r="N80" s="1521">
        <v>9.4220000000000006</v>
      </c>
      <c r="O80" s="1521">
        <v>9.0609999999999999</v>
      </c>
      <c r="P80" s="1521">
        <v>9.0609999999999999</v>
      </c>
      <c r="Q80" s="1521">
        <v>9.0609999999999999</v>
      </c>
    </row>
    <row r="81" spans="3:21" hidden="1">
      <c r="C81" s="1500"/>
      <c r="D81" s="518" t="s">
        <v>197</v>
      </c>
      <c r="E81" s="518"/>
      <c r="F81" s="1501">
        <v>1</v>
      </c>
      <c r="G81" s="1519"/>
      <c r="H81" s="1519"/>
      <c r="I81" s="1521"/>
      <c r="J81" s="1521"/>
      <c r="K81" s="1521"/>
      <c r="L81" s="1521"/>
      <c r="M81" s="1521"/>
      <c r="N81" s="1521"/>
      <c r="O81" s="1521"/>
      <c r="P81" s="1521"/>
      <c r="Q81" s="1521"/>
    </row>
    <row r="82" spans="3:21" hidden="1">
      <c r="C82" s="1522"/>
      <c r="D82" s="1505" t="s">
        <v>225</v>
      </c>
      <c r="E82" s="1505"/>
      <c r="F82" s="1520"/>
      <c r="G82" s="1512"/>
      <c r="H82" s="1508">
        <v>0</v>
      </c>
      <c r="I82" s="1521">
        <f t="shared" ref="I82:Q82" si="32">I80-(I80-I81)*$H82</f>
        <v>8.6499999999999986</v>
      </c>
      <c r="J82" s="1521">
        <f t="shared" si="32"/>
        <v>8.6499999999999986</v>
      </c>
      <c r="K82" s="1521">
        <f t="shared" si="32"/>
        <v>8.6499999999999986</v>
      </c>
      <c r="L82" s="1521">
        <f t="shared" si="32"/>
        <v>9.4220000000000006</v>
      </c>
      <c r="M82" s="1521">
        <f t="shared" si="32"/>
        <v>9.4220000000000006</v>
      </c>
      <c r="N82" s="1521">
        <f t="shared" si="32"/>
        <v>9.4220000000000006</v>
      </c>
      <c r="O82" s="1521">
        <f t="shared" si="32"/>
        <v>9.0609999999999999</v>
      </c>
      <c r="P82" s="1521">
        <f t="shared" si="32"/>
        <v>9.0609999999999999</v>
      </c>
      <c r="Q82" s="1521">
        <f t="shared" si="32"/>
        <v>9.0609999999999999</v>
      </c>
    </row>
    <row r="83" spans="3:21">
      <c r="C83" s="1498" t="s">
        <v>206</v>
      </c>
      <c r="D83" s="1517"/>
      <c r="E83" s="1517"/>
      <c r="F83" s="1518"/>
      <c r="G83" s="1519">
        <v>7</v>
      </c>
      <c r="H83" s="1519"/>
      <c r="I83" s="1521">
        <v>15.425999999999998</v>
      </c>
      <c r="J83" s="1521">
        <v>15.425999999999998</v>
      </c>
      <c r="K83" s="1521">
        <v>15.425999999999998</v>
      </c>
      <c r="L83" s="1521">
        <v>16.053999999999998</v>
      </c>
      <c r="M83" s="1521">
        <v>16.053999999999998</v>
      </c>
      <c r="N83" s="1521">
        <v>16.053999999999998</v>
      </c>
      <c r="O83" s="1521">
        <v>15.893999999999998</v>
      </c>
      <c r="P83" s="1521">
        <v>15.893999999999998</v>
      </c>
      <c r="Q83" s="1521">
        <v>15.893999999999998</v>
      </c>
    </row>
    <row r="84" spans="3:21" hidden="1">
      <c r="C84" s="1500"/>
      <c r="D84" s="518" t="s">
        <v>197</v>
      </c>
      <c r="E84" s="518"/>
      <c r="F84" s="1501">
        <v>1</v>
      </c>
      <c r="G84" s="1519"/>
      <c r="H84" s="1519"/>
      <c r="I84" s="1521"/>
      <c r="J84" s="1521"/>
      <c r="K84" s="1521"/>
      <c r="L84" s="1521"/>
      <c r="M84" s="1521"/>
      <c r="N84" s="1521"/>
      <c r="O84" s="1521"/>
      <c r="P84" s="1521"/>
      <c r="Q84" s="1521"/>
    </row>
    <row r="85" spans="3:21" hidden="1">
      <c r="C85" s="1500"/>
      <c r="D85" s="1505" t="s">
        <v>225</v>
      </c>
      <c r="E85" s="1505"/>
      <c r="F85" s="1520"/>
      <c r="G85" s="1512"/>
      <c r="H85" s="1508">
        <v>0</v>
      </c>
      <c r="I85" s="1521">
        <f t="shared" ref="I85:Q85" si="33">I83-(I83-I84)*$H85</f>
        <v>15.425999999999998</v>
      </c>
      <c r="J85" s="1521">
        <f t="shared" si="33"/>
        <v>15.425999999999998</v>
      </c>
      <c r="K85" s="1521">
        <f t="shared" si="33"/>
        <v>15.425999999999998</v>
      </c>
      <c r="L85" s="1521">
        <f t="shared" si="33"/>
        <v>16.053999999999998</v>
      </c>
      <c r="M85" s="1521">
        <f t="shared" si="33"/>
        <v>16.053999999999998</v>
      </c>
      <c r="N85" s="1521">
        <f t="shared" si="33"/>
        <v>16.053999999999998</v>
      </c>
      <c r="O85" s="1521">
        <f t="shared" si="33"/>
        <v>15.893999999999998</v>
      </c>
      <c r="P85" s="1521">
        <f t="shared" si="33"/>
        <v>15.893999999999998</v>
      </c>
      <c r="Q85" s="1521">
        <f t="shared" si="33"/>
        <v>15.893999999999998</v>
      </c>
    </row>
    <row r="86" spans="3:21">
      <c r="C86" s="1498" t="s">
        <v>1179</v>
      </c>
      <c r="D86" s="1517"/>
      <c r="E86" s="1517"/>
      <c r="F86" s="1518"/>
      <c r="G86" s="1519">
        <v>8</v>
      </c>
      <c r="H86" s="1519"/>
      <c r="I86" s="1521">
        <v>13.297999999999998</v>
      </c>
      <c r="J86" s="1521">
        <v>13.297999999999998</v>
      </c>
      <c r="K86" s="1521">
        <v>13.297999999999998</v>
      </c>
      <c r="L86" s="1521">
        <v>13.942</v>
      </c>
      <c r="M86" s="1521">
        <v>13.942</v>
      </c>
      <c r="N86" s="1521">
        <v>13.942</v>
      </c>
      <c r="O86" s="1521">
        <v>13.670999999999999</v>
      </c>
      <c r="P86" s="1521">
        <v>13.670999999999999</v>
      </c>
      <c r="Q86" s="1521">
        <v>13.670999999999999</v>
      </c>
    </row>
    <row r="87" spans="3:21" hidden="1">
      <c r="C87" s="1500"/>
      <c r="D87" s="518" t="s">
        <v>197</v>
      </c>
      <c r="E87" s="518"/>
      <c r="F87" s="1501">
        <v>1</v>
      </c>
      <c r="G87" s="1519"/>
      <c r="H87" s="1519"/>
      <c r="I87" s="1523"/>
      <c r="J87" s="1523"/>
      <c r="K87" s="1523"/>
      <c r="L87" s="1523"/>
      <c r="M87" s="1523"/>
      <c r="N87" s="1523"/>
      <c r="O87" s="1523"/>
      <c r="P87" s="1523"/>
      <c r="Q87" s="1523"/>
    </row>
    <row r="88" spans="3:21" hidden="1">
      <c r="C88" s="1500"/>
      <c r="D88" s="1505" t="s">
        <v>225</v>
      </c>
      <c r="E88" s="1505"/>
      <c r="F88" s="1520"/>
      <c r="G88" s="1512"/>
      <c r="H88" s="1508">
        <v>0</v>
      </c>
      <c r="I88" s="1521">
        <f>I86-(I86-I87)*$H88</f>
        <v>13.297999999999998</v>
      </c>
      <c r="J88" s="1521">
        <f t="shared" ref="J88:Q88" si="34">J86-(J86-J87)*$H88</f>
        <v>13.297999999999998</v>
      </c>
      <c r="K88" s="1521">
        <f t="shared" si="34"/>
        <v>13.297999999999998</v>
      </c>
      <c r="L88" s="1521">
        <f t="shared" si="34"/>
        <v>13.942</v>
      </c>
      <c r="M88" s="1521">
        <f t="shared" si="34"/>
        <v>13.942</v>
      </c>
      <c r="N88" s="1521">
        <f t="shared" si="34"/>
        <v>13.942</v>
      </c>
      <c r="O88" s="1521">
        <f t="shared" si="34"/>
        <v>13.670999999999999</v>
      </c>
      <c r="P88" s="1521">
        <f t="shared" si="34"/>
        <v>13.670999999999999</v>
      </c>
      <c r="Q88" s="1521">
        <f t="shared" si="34"/>
        <v>13.670999999999999</v>
      </c>
    </row>
    <row r="89" spans="3:21">
      <c r="C89" s="1498" t="s">
        <v>816</v>
      </c>
      <c r="D89" s="1491"/>
      <c r="E89" s="1491"/>
      <c r="F89" s="1518"/>
      <c r="G89" s="1519">
        <v>9</v>
      </c>
      <c r="H89" s="1519"/>
      <c r="I89" s="1523">
        <v>8.0190000000000001</v>
      </c>
      <c r="J89" s="1523">
        <v>9.7210000000000001</v>
      </c>
      <c r="K89" s="1523">
        <v>10.979000000000001</v>
      </c>
      <c r="L89" s="1523">
        <v>8.3709999999999987</v>
      </c>
      <c r="M89" s="1523">
        <v>9.7349999999999994</v>
      </c>
      <c r="N89" s="1523">
        <v>10.863</v>
      </c>
      <c r="O89" s="1523">
        <v>8.3640000000000008</v>
      </c>
      <c r="P89" s="1523">
        <v>9.68</v>
      </c>
      <c r="Q89" s="1523">
        <v>10.783000000000001</v>
      </c>
    </row>
    <row r="90" spans="3:21" hidden="1">
      <c r="C90" s="1500"/>
      <c r="D90" s="518" t="s">
        <v>197</v>
      </c>
      <c r="E90" s="518"/>
      <c r="F90" s="1501">
        <v>1</v>
      </c>
      <c r="G90" s="1524"/>
      <c r="H90" s="1524"/>
      <c r="I90" s="1521"/>
      <c r="J90" s="1521"/>
      <c r="K90" s="1521"/>
      <c r="L90" s="1521"/>
      <c r="M90" s="1521"/>
      <c r="N90" s="1521"/>
      <c r="O90" s="1521"/>
      <c r="P90" s="1521"/>
      <c r="Q90" s="1521"/>
    </row>
    <row r="91" spans="3:21" hidden="1">
      <c r="C91" s="1522"/>
      <c r="D91" s="1505" t="s">
        <v>225</v>
      </c>
      <c r="E91" s="1505"/>
      <c r="F91" s="1525"/>
      <c r="G91" s="1512"/>
      <c r="H91" s="1508">
        <v>0</v>
      </c>
      <c r="I91" s="1526">
        <f t="shared" ref="I91:Q91" si="35">I89-(I89-I90)*$H91</f>
        <v>8.0190000000000001</v>
      </c>
      <c r="J91" s="1526">
        <f t="shared" si="35"/>
        <v>9.7210000000000001</v>
      </c>
      <c r="K91" s="1526">
        <f t="shared" si="35"/>
        <v>10.979000000000001</v>
      </c>
      <c r="L91" s="1526">
        <f t="shared" si="35"/>
        <v>8.3709999999999987</v>
      </c>
      <c r="M91" s="1526">
        <f t="shared" si="35"/>
        <v>9.7349999999999994</v>
      </c>
      <c r="N91" s="1526">
        <f t="shared" si="35"/>
        <v>10.863</v>
      </c>
      <c r="O91" s="1526">
        <f t="shared" si="35"/>
        <v>8.3640000000000008</v>
      </c>
      <c r="P91" s="1526">
        <f t="shared" si="35"/>
        <v>9.68</v>
      </c>
      <c r="Q91" s="1526">
        <f t="shared" si="35"/>
        <v>10.783000000000001</v>
      </c>
    </row>
    <row r="92" spans="3:21">
      <c r="C92" s="1515"/>
      <c r="D92" s="1515"/>
      <c r="E92" s="1485"/>
      <c r="F92" s="1527"/>
      <c r="G92" s="1527"/>
      <c r="H92" s="1527"/>
      <c r="I92" s="1527"/>
      <c r="J92" s="1527"/>
      <c r="K92" s="1527"/>
      <c r="L92" s="1527"/>
      <c r="M92" s="1515"/>
      <c r="N92" s="1515"/>
      <c r="O92" s="1515"/>
      <c r="P92" s="1515"/>
      <c r="Q92" s="1515"/>
    </row>
    <row r="93" spans="3:21">
      <c r="C93" s="1479" t="s">
        <v>227</v>
      </c>
      <c r="D93" s="1480"/>
      <c r="E93" s="1457"/>
      <c r="F93" s="1457"/>
      <c r="G93" s="1457"/>
      <c r="H93" s="1457"/>
      <c r="I93" s="1457"/>
      <c r="J93" s="1457"/>
      <c r="K93" s="1457"/>
      <c r="L93" s="1457"/>
      <c r="M93" s="1457"/>
      <c r="N93" s="1457"/>
      <c r="O93" s="1457"/>
      <c r="P93" s="1457"/>
      <c r="Q93" s="1457"/>
    </row>
    <row r="94" spans="3:21">
      <c r="C94" s="1486" t="s">
        <v>228</v>
      </c>
      <c r="D94" s="1480"/>
      <c r="E94" s="1457"/>
      <c r="F94" s="1457"/>
      <c r="G94" s="1457"/>
      <c r="H94" s="1457"/>
      <c r="I94" s="1457"/>
      <c r="J94" s="1457"/>
      <c r="K94" s="1457"/>
      <c r="L94" s="1457"/>
      <c r="M94" s="1457"/>
      <c r="N94" s="1457"/>
      <c r="O94" s="1457"/>
      <c r="P94" s="1457"/>
      <c r="Q94" s="1457"/>
    </row>
    <row r="95" spans="3:21">
      <c r="D95" s="1457" t="s">
        <v>1136</v>
      </c>
      <c r="F95" s="2121" t="s">
        <v>233</v>
      </c>
      <c r="G95" s="1457"/>
      <c r="H95" s="1457"/>
      <c r="I95" s="1528" t="e">
        <f>係数!D5*1000</f>
        <v>#VALUE!</v>
      </c>
      <c r="J95" s="1529" t="str">
        <f>係数!C5</f>
        <v>根拠を記入してください</v>
      </c>
      <c r="K95" s="1515"/>
      <c r="L95" s="1515"/>
      <c r="M95" s="1515" t="s">
        <v>1132</v>
      </c>
      <c r="N95" s="1515"/>
      <c r="O95" s="1515" t="e">
        <f>係数!J50*1000</f>
        <v>#VALUE!</v>
      </c>
      <c r="P95" s="1515" t="s">
        <v>1133</v>
      </c>
      <c r="Q95" s="1530"/>
    </row>
    <row r="96" spans="3:21">
      <c r="C96" s="1479"/>
      <c r="D96" s="1457"/>
      <c r="F96" s="2121" t="s">
        <v>234</v>
      </c>
      <c r="G96" s="1457"/>
      <c r="H96" s="1457"/>
      <c r="I96" s="2122" t="e">
        <f>I95/J96</f>
        <v>#VALUE!</v>
      </c>
      <c r="J96" s="1533">
        <v>9.76</v>
      </c>
      <c r="K96" s="1531" t="s">
        <v>1180</v>
      </c>
      <c r="L96" s="1457"/>
      <c r="M96" s="1457"/>
      <c r="N96" s="1457"/>
      <c r="O96" s="1457"/>
      <c r="P96" s="1457"/>
      <c r="Q96" s="1532"/>
      <c r="U96" t="e">
        <f>O95/J96</f>
        <v>#VALUE!</v>
      </c>
    </row>
    <row r="97" spans="2:19">
      <c r="C97" s="1479"/>
      <c r="D97" s="1457" t="s">
        <v>235</v>
      </c>
      <c r="F97" s="2121" t="s">
        <v>234</v>
      </c>
      <c r="G97" s="1457"/>
      <c r="H97" s="1457"/>
      <c r="I97" s="2122">
        <v>4.9799999999999997E-2</v>
      </c>
      <c r="J97" s="1533"/>
      <c r="K97" s="1457"/>
      <c r="L97" s="1457"/>
      <c r="M97" s="1457"/>
      <c r="N97" s="1457"/>
      <c r="O97" s="1457"/>
      <c r="P97" s="1457"/>
      <c r="Q97" s="1532"/>
    </row>
    <row r="98" spans="2:19">
      <c r="C98" s="1479"/>
      <c r="D98" s="1457" t="s">
        <v>236</v>
      </c>
      <c r="F98" s="2121" t="s">
        <v>234</v>
      </c>
      <c r="G98" s="1457"/>
      <c r="H98" s="1457"/>
      <c r="I98" s="2122">
        <v>5.7000000000000002E-2</v>
      </c>
      <c r="J98" s="1533"/>
      <c r="K98" s="1457"/>
      <c r="L98" s="1457"/>
      <c r="M98" s="1457"/>
      <c r="N98" s="1457"/>
      <c r="O98" s="1457"/>
      <c r="P98" s="1457"/>
      <c r="Q98" s="1532"/>
    </row>
    <row r="99" spans="2:19">
      <c r="C99" s="1479"/>
      <c r="D99" s="1457" t="s">
        <v>237</v>
      </c>
      <c r="F99" s="2121" t="s">
        <v>234</v>
      </c>
      <c r="G99" s="1457"/>
      <c r="H99" s="1457"/>
      <c r="I99" s="2122">
        <v>6.7799999999999999E-2</v>
      </c>
      <c r="J99" s="1533"/>
      <c r="K99" s="1457"/>
      <c r="L99" s="1457"/>
      <c r="M99" s="1457"/>
      <c r="N99" s="1457"/>
      <c r="O99" s="1457"/>
      <c r="P99" s="1457"/>
      <c r="Q99" s="1532"/>
    </row>
    <row r="100" spans="2:19">
      <c r="C100" s="1479"/>
      <c r="D100" s="1457" t="s">
        <v>238</v>
      </c>
      <c r="F100" s="2121" t="s">
        <v>234</v>
      </c>
      <c r="G100" s="1457"/>
      <c r="H100" s="1457"/>
      <c r="I100" s="2122">
        <v>6.93E-2</v>
      </c>
      <c r="J100" s="1533"/>
      <c r="K100" s="1457"/>
      <c r="L100" s="1457"/>
      <c r="M100" s="1457"/>
      <c r="N100" s="1457"/>
      <c r="O100" s="1457"/>
      <c r="P100" s="1457"/>
      <c r="Q100" s="1532"/>
    </row>
    <row r="101" spans="2:19">
      <c r="C101" s="1479"/>
      <c r="D101" s="1457" t="s">
        <v>239</v>
      </c>
      <c r="F101" s="2121" t="s">
        <v>234</v>
      </c>
      <c r="G101" s="1457"/>
      <c r="H101" s="1457"/>
      <c r="I101" s="2122">
        <f>(I99+I100)/2</f>
        <v>6.855E-2</v>
      </c>
      <c r="J101" s="2123" t="s">
        <v>240</v>
      </c>
      <c r="K101" s="1457"/>
      <c r="L101" s="1457"/>
      <c r="M101" s="1457"/>
      <c r="N101" s="1457"/>
      <c r="O101" s="1457"/>
      <c r="P101" s="1457"/>
      <c r="Q101" s="1532"/>
    </row>
    <row r="102" spans="2:19">
      <c r="C102" s="1479"/>
      <c r="D102" s="1457" t="s">
        <v>1181</v>
      </c>
      <c r="F102" s="2121" t="s">
        <v>1182</v>
      </c>
      <c r="G102" s="1457"/>
      <c r="H102" s="1457"/>
      <c r="I102" s="2122">
        <v>5.8999999999999997E-2</v>
      </c>
      <c r="J102" s="1534"/>
      <c r="K102" s="1535"/>
      <c r="L102" s="1535"/>
      <c r="M102" s="1535"/>
      <c r="N102" s="1535"/>
      <c r="O102" s="1535"/>
      <c r="P102" s="1535"/>
      <c r="Q102" s="1536"/>
    </row>
    <row r="103" spans="2:19">
      <c r="B103" s="509"/>
      <c r="C103" s="1457" t="s">
        <v>1183</v>
      </c>
      <c r="D103" s="509"/>
      <c r="E103" s="1457"/>
      <c r="F103" s="1457"/>
      <c r="G103" s="1457"/>
      <c r="H103" s="1457"/>
      <c r="I103" s="1987"/>
      <c r="J103" s="1457"/>
      <c r="K103" s="1457"/>
      <c r="L103" s="1457"/>
      <c r="M103" s="1457"/>
      <c r="N103" s="1457"/>
      <c r="O103" s="1457"/>
      <c r="P103" s="1457"/>
      <c r="Q103" s="1457"/>
      <c r="R103" s="509"/>
      <c r="S103" s="509"/>
    </row>
    <row r="104" spans="2:19">
      <c r="B104" s="509"/>
      <c r="C104" s="1480"/>
      <c r="D104" s="1457" t="s">
        <v>1035</v>
      </c>
      <c r="E104" s="509"/>
      <c r="F104" s="1457"/>
      <c r="G104" s="1457"/>
      <c r="H104" s="1457"/>
      <c r="I104" s="1457" t="s">
        <v>1184</v>
      </c>
      <c r="J104" s="1457"/>
      <c r="K104" s="1486" t="s">
        <v>1185</v>
      </c>
      <c r="L104" s="1457"/>
      <c r="M104" s="1457"/>
      <c r="N104" s="1457"/>
      <c r="O104" s="1457"/>
      <c r="P104" s="1457"/>
      <c r="Q104" s="1457"/>
      <c r="R104" s="509"/>
      <c r="S104" s="509"/>
    </row>
    <row r="105" spans="2:19">
      <c r="B105" s="509"/>
      <c r="C105" s="1480"/>
      <c r="D105" s="1457" t="s">
        <v>1059</v>
      </c>
      <c r="E105" s="509"/>
      <c r="F105" s="1457"/>
      <c r="G105" s="1457"/>
      <c r="H105" s="1457"/>
      <c r="I105" s="1538">
        <v>6.8800000000000003E-4</v>
      </c>
      <c r="J105" s="1457"/>
      <c r="K105" s="1538">
        <v>6.8000000000000005E-4</v>
      </c>
      <c r="L105" s="1457"/>
      <c r="M105" s="1457"/>
      <c r="N105" s="1457"/>
      <c r="O105" s="1457"/>
      <c r="P105" s="1457"/>
      <c r="Q105" s="1457"/>
      <c r="R105" s="509"/>
      <c r="S105" s="509"/>
    </row>
    <row r="106" spans="2:19">
      <c r="B106" s="509"/>
      <c r="C106" s="1480"/>
      <c r="D106" s="1457" t="s">
        <v>1058</v>
      </c>
      <c r="E106" s="509"/>
      <c r="F106" s="1457"/>
      <c r="G106" s="1457"/>
      <c r="H106" s="1457"/>
      <c r="I106" s="1538">
        <v>5.9999999999999995E-4</v>
      </c>
      <c r="J106" s="1457"/>
      <c r="K106" s="1538">
        <v>5.5999999999999995E-4</v>
      </c>
      <c r="L106" s="1457"/>
      <c r="M106" s="1457"/>
      <c r="N106" s="1457"/>
      <c r="O106" s="1457"/>
      <c r="P106" s="1457"/>
      <c r="Q106" s="1457"/>
      <c r="R106" s="509"/>
      <c r="S106" s="509"/>
    </row>
    <row r="107" spans="2:19">
      <c r="B107" s="509"/>
      <c r="C107" s="1480"/>
      <c r="D107" s="1457" t="s">
        <v>1036</v>
      </c>
      <c r="E107" s="509"/>
      <c r="F107" s="1457"/>
      <c r="G107" s="1457"/>
      <c r="H107" s="1457"/>
      <c r="I107" s="1538">
        <v>5.2499999999999997E-4</v>
      </c>
      <c r="J107" s="1457"/>
      <c r="K107" s="1538">
        <v>4.06E-4</v>
      </c>
      <c r="L107" s="1457"/>
      <c r="M107" s="1457"/>
      <c r="N107" s="1457"/>
      <c r="O107" s="1457"/>
      <c r="P107" s="1457"/>
      <c r="Q107" s="1457"/>
      <c r="R107" s="509"/>
      <c r="S107" s="509"/>
    </row>
    <row r="108" spans="2:19">
      <c r="B108" s="509"/>
      <c r="C108" s="1480"/>
      <c r="D108" s="1457" t="s">
        <v>1057</v>
      </c>
      <c r="E108" s="509"/>
      <c r="F108" s="1457"/>
      <c r="G108" s="1457"/>
      <c r="H108" s="1457"/>
      <c r="I108" s="1538">
        <v>5.1599999999999997E-4</v>
      </c>
      <c r="J108" s="1457"/>
      <c r="K108" s="1538">
        <v>3.7300000000000001E-4</v>
      </c>
      <c r="L108" s="1457"/>
      <c r="M108" s="1457"/>
      <c r="N108" s="1457"/>
      <c r="O108" s="1457"/>
      <c r="P108" s="1457"/>
      <c r="Q108" s="1457"/>
      <c r="R108" s="509"/>
      <c r="S108" s="509"/>
    </row>
    <row r="109" spans="2:19">
      <c r="B109" s="509"/>
      <c r="C109" s="1480"/>
      <c r="D109" s="1457" t="s">
        <v>1060</v>
      </c>
      <c r="E109" s="509"/>
      <c r="F109" s="1457"/>
      <c r="G109" s="1457"/>
      <c r="H109" s="1457"/>
      <c r="I109" s="1538">
        <v>6.6299999999999996E-4</v>
      </c>
      <c r="J109" s="1457"/>
      <c r="K109" s="1538">
        <v>4.9399999999999997E-4</v>
      </c>
      <c r="L109" s="1457"/>
      <c r="M109" s="1457"/>
      <c r="N109" s="1457"/>
      <c r="O109" s="1457"/>
      <c r="P109" s="1457"/>
      <c r="Q109" s="1457"/>
      <c r="R109" s="509"/>
      <c r="S109" s="509"/>
    </row>
    <row r="110" spans="2:19">
      <c r="B110" s="509"/>
      <c r="C110" s="1480"/>
      <c r="D110" s="1457" t="s">
        <v>1051</v>
      </c>
      <c r="E110" s="509"/>
      <c r="F110" s="1457"/>
      <c r="G110" s="1457"/>
      <c r="H110" s="1457"/>
      <c r="I110" s="1538">
        <v>5.1400000000000003E-4</v>
      </c>
      <c r="J110" s="1457"/>
      <c r="K110" s="1538">
        <v>4.75E-4</v>
      </c>
      <c r="L110" s="1457"/>
      <c r="M110" s="1457"/>
      <c r="N110" s="1457"/>
      <c r="O110" s="1457"/>
      <c r="P110" s="1457"/>
      <c r="Q110" s="1457"/>
      <c r="R110" s="509"/>
      <c r="S110" s="509"/>
    </row>
    <row r="111" spans="2:19">
      <c r="B111" s="509"/>
      <c r="C111" s="1480"/>
      <c r="D111" s="1457" t="s">
        <v>1056</v>
      </c>
      <c r="E111" s="509"/>
      <c r="F111" s="1457"/>
      <c r="G111" s="1457"/>
      <c r="H111" s="1457"/>
      <c r="I111" s="1538">
        <v>7.3800000000000005E-4</v>
      </c>
      <c r="J111" s="1457"/>
      <c r="K111" s="1538">
        <v>6.7199999999999996E-4</v>
      </c>
      <c r="L111" s="1457"/>
      <c r="M111" s="1457"/>
      <c r="N111" s="1457"/>
      <c r="O111" s="1457"/>
      <c r="P111" s="1457"/>
      <c r="Q111" s="1457"/>
      <c r="R111" s="509"/>
      <c r="S111" s="509"/>
    </row>
    <row r="112" spans="2:19">
      <c r="B112" s="509"/>
      <c r="C112" s="1480"/>
      <c r="D112" s="1457" t="s">
        <v>1054</v>
      </c>
      <c r="E112" s="509"/>
      <c r="F112" s="1457"/>
      <c r="G112" s="1457"/>
      <c r="H112" s="1457"/>
      <c r="I112" s="1538">
        <v>6.9999999999999999E-4</v>
      </c>
      <c r="J112" s="1457"/>
      <c r="K112" s="1538">
        <v>6.5600000000000001E-4</v>
      </c>
      <c r="L112" s="1457"/>
      <c r="M112" s="1457"/>
      <c r="N112" s="1457"/>
      <c r="O112" s="1457"/>
      <c r="P112" s="1457"/>
      <c r="Q112" s="1457"/>
      <c r="R112" s="509"/>
      <c r="S112" s="509"/>
    </row>
    <row r="113" spans="2:19">
      <c r="B113" s="509"/>
      <c r="C113" s="1480"/>
      <c r="D113" s="1457" t="s">
        <v>1053</v>
      </c>
      <c r="E113" s="509"/>
      <c r="F113" s="1457"/>
      <c r="G113" s="1457"/>
      <c r="H113" s="1457"/>
      <c r="I113" s="1538">
        <v>6.1200000000000002E-4</v>
      </c>
      <c r="J113" s="1457"/>
      <c r="K113" s="1538">
        <v>5.9900000000000003E-4</v>
      </c>
      <c r="L113" s="1457"/>
      <c r="M113" s="1457"/>
      <c r="N113" s="1457"/>
      <c r="O113" s="1457"/>
      <c r="P113" s="1457"/>
      <c r="Q113" s="1457"/>
      <c r="R113" s="509"/>
      <c r="S113" s="509"/>
    </row>
    <row r="114" spans="2:19">
      <c r="B114" s="509"/>
      <c r="C114" s="1480"/>
      <c r="D114" s="1457" t="s">
        <v>1048</v>
      </c>
      <c r="E114" s="509"/>
      <c r="F114" s="1457"/>
      <c r="G114" s="1457"/>
      <c r="H114" s="1457"/>
      <c r="I114" s="1538">
        <v>9.0300000000000005E-4</v>
      </c>
      <c r="J114" s="1457"/>
      <c r="K114" s="1538">
        <v>6.9200000000000002E-4</v>
      </c>
      <c r="L114" s="1457"/>
      <c r="M114" s="1457"/>
      <c r="N114" s="1457"/>
      <c r="O114" s="1457"/>
      <c r="P114" s="1457"/>
      <c r="Q114" s="1457"/>
      <c r="R114" s="509"/>
      <c r="S114" s="509"/>
    </row>
    <row r="115" spans="2:19">
      <c r="B115" s="509"/>
      <c r="C115" s="1480"/>
      <c r="D115" s="1457" t="s">
        <v>1041</v>
      </c>
      <c r="E115" s="509"/>
      <c r="F115" s="1457"/>
      <c r="G115" s="1457"/>
      <c r="H115" s="1457"/>
      <c r="I115" s="1538">
        <v>6.0300000000000002E-4</v>
      </c>
      <c r="J115" s="1457"/>
      <c r="K115" s="1538">
        <v>4.28E-4</v>
      </c>
      <c r="L115" s="1457"/>
      <c r="M115" s="1457"/>
      <c r="N115" s="1457"/>
      <c r="O115" s="1457"/>
      <c r="P115" s="1457"/>
      <c r="Q115" s="1457"/>
      <c r="R115" s="509"/>
      <c r="S115" s="509"/>
    </row>
    <row r="116" spans="2:19">
      <c r="B116" s="509"/>
      <c r="C116" s="1480"/>
      <c r="D116" s="1457" t="s">
        <v>1186</v>
      </c>
      <c r="E116" s="509"/>
      <c r="F116" s="1457"/>
      <c r="G116" s="1457"/>
      <c r="H116" s="1457"/>
      <c r="I116" s="1538">
        <v>8.6000000000000003E-5</v>
      </c>
      <c r="J116" s="1457"/>
      <c r="K116" s="1538">
        <v>1.06E-4</v>
      </c>
      <c r="L116" s="1457"/>
      <c r="M116" s="1457"/>
      <c r="N116" s="1457"/>
      <c r="O116" s="1457"/>
      <c r="P116" s="1457"/>
      <c r="Q116" s="1457"/>
      <c r="R116" s="509"/>
      <c r="S116" s="509"/>
    </row>
    <row r="117" spans="2:19">
      <c r="B117" s="509"/>
      <c r="C117" s="1480"/>
      <c r="D117" s="1457" t="s">
        <v>1187</v>
      </c>
      <c r="E117" s="509"/>
      <c r="F117" s="1457"/>
      <c r="G117" s="1457"/>
      <c r="H117" s="1457"/>
      <c r="I117" s="1538">
        <v>6.7599999999999995E-4</v>
      </c>
      <c r="J117" s="1457"/>
      <c r="K117" s="1538">
        <v>2.9300000000000002E-4</v>
      </c>
      <c r="L117" s="1457"/>
      <c r="M117" s="1457"/>
      <c r="N117" s="1457"/>
      <c r="O117" s="1457"/>
      <c r="P117" s="1457"/>
      <c r="Q117" s="1457"/>
      <c r="R117" s="509"/>
      <c r="S117" s="509"/>
    </row>
    <row r="118" spans="2:19">
      <c r="B118" s="509"/>
      <c r="C118" s="1480"/>
      <c r="D118" s="1457" t="s">
        <v>1043</v>
      </c>
      <c r="E118" s="509"/>
      <c r="F118" s="1457"/>
      <c r="G118" s="1457"/>
      <c r="H118" s="1457"/>
      <c r="I118" s="1538">
        <v>6.1600000000000001E-4</v>
      </c>
      <c r="J118" s="1457"/>
      <c r="K118" s="1538">
        <v>4.8200000000000001E-4</v>
      </c>
      <c r="L118" s="1457"/>
      <c r="M118" s="1457"/>
      <c r="N118" s="1457"/>
      <c r="O118" s="1457"/>
      <c r="P118" s="1457"/>
      <c r="Q118" s="1457"/>
      <c r="R118" s="509"/>
      <c r="S118" s="509"/>
    </row>
    <row r="119" spans="2:19">
      <c r="B119" s="509"/>
      <c r="C119" s="1457"/>
      <c r="D119" s="1457" t="s">
        <v>1188</v>
      </c>
      <c r="E119" s="509"/>
      <c r="F119" s="1457"/>
      <c r="G119" s="1457"/>
      <c r="H119" s="1457"/>
      <c r="I119" s="1538">
        <v>4.5600000000000003E-4</v>
      </c>
      <c r="J119" s="1457"/>
      <c r="K119" s="1538">
        <v>4.5600000000000003E-4</v>
      </c>
      <c r="L119" s="1457"/>
      <c r="M119" s="1457"/>
      <c r="N119" s="1457"/>
      <c r="O119" s="1457"/>
      <c r="P119" s="1457"/>
      <c r="Q119" s="1457"/>
      <c r="R119" s="509"/>
      <c r="S119" s="509"/>
    </row>
    <row r="120" spans="2:19">
      <c r="B120" s="509"/>
      <c r="C120" s="1480"/>
      <c r="D120" s="1457" t="s">
        <v>1047</v>
      </c>
      <c r="E120" s="509"/>
      <c r="F120" s="1457"/>
      <c r="G120" s="1457"/>
      <c r="H120" s="1457"/>
      <c r="I120" s="1538">
        <v>4.75E-4</v>
      </c>
      <c r="J120" s="1457"/>
      <c r="K120" s="1538">
        <v>4.7100000000000001E-4</v>
      </c>
      <c r="L120" s="1457"/>
      <c r="M120" s="1457"/>
      <c r="N120" s="1457"/>
      <c r="O120" s="1457"/>
      <c r="P120" s="1457"/>
      <c r="Q120" s="1457"/>
      <c r="R120" s="509"/>
      <c r="S120" s="509"/>
    </row>
    <row r="121" spans="2:19">
      <c r="B121" s="509"/>
      <c r="C121" s="1480"/>
      <c r="D121" s="1457" t="s">
        <v>1189</v>
      </c>
      <c r="E121" s="509"/>
      <c r="F121" s="1457"/>
      <c r="G121" s="1457"/>
      <c r="H121" s="1457"/>
      <c r="I121" s="1538">
        <v>7.6199999999999998E-4</v>
      </c>
      <c r="J121" s="1457"/>
      <c r="K121" s="1538">
        <v>7.5699999999999997E-4</v>
      </c>
      <c r="L121" s="1457"/>
      <c r="M121" s="1457"/>
      <c r="N121" s="1457"/>
      <c r="O121" s="1457"/>
      <c r="P121" s="1457"/>
      <c r="Q121" s="1457"/>
      <c r="R121" s="509"/>
      <c r="S121" s="509"/>
    </row>
    <row r="122" spans="2:19">
      <c r="B122" s="509"/>
      <c r="C122" s="1480"/>
      <c r="D122" s="1457" t="s">
        <v>1190</v>
      </c>
      <c r="E122" s="509"/>
      <c r="F122" s="1457"/>
      <c r="G122" s="1457"/>
      <c r="H122" s="1457"/>
      <c r="I122" s="1538">
        <v>0</v>
      </c>
      <c r="J122" s="1457"/>
      <c r="K122" s="1538">
        <v>0</v>
      </c>
      <c r="L122" s="1457"/>
      <c r="M122" s="1457"/>
      <c r="N122" s="1457"/>
      <c r="O122" s="1457"/>
      <c r="P122" s="1457"/>
      <c r="Q122" s="1457"/>
      <c r="R122" s="509"/>
      <c r="S122" s="509"/>
    </row>
    <row r="123" spans="2:19">
      <c r="B123" s="509"/>
      <c r="C123" s="1480"/>
      <c r="D123" s="1457" t="s">
        <v>1050</v>
      </c>
      <c r="E123" s="509"/>
      <c r="F123" s="1457"/>
      <c r="G123" s="1457"/>
      <c r="H123" s="1457"/>
      <c r="I123" s="1538">
        <v>4.2900000000000002E-4</v>
      </c>
      <c r="J123" s="1457"/>
      <c r="K123" s="1538">
        <v>4.2700000000000002E-4</v>
      </c>
      <c r="L123" s="1457"/>
      <c r="M123" s="1457"/>
      <c r="N123" s="1457"/>
      <c r="O123" s="1457"/>
      <c r="P123" s="1457"/>
      <c r="Q123" s="1457"/>
      <c r="R123" s="509"/>
      <c r="S123" s="509"/>
    </row>
    <row r="124" spans="2:19">
      <c r="B124" s="509"/>
      <c r="C124" s="1480"/>
      <c r="D124" s="1457" t="s">
        <v>1049</v>
      </c>
      <c r="E124" s="509"/>
      <c r="F124" s="1457"/>
      <c r="G124" s="1457"/>
      <c r="H124" s="1457"/>
      <c r="I124" s="1538">
        <v>5.2499999999999997E-4</v>
      </c>
      <c r="J124" s="1457"/>
      <c r="K124" s="1538">
        <v>4.4499999999999997E-4</v>
      </c>
      <c r="L124" s="1457"/>
      <c r="M124" s="1457"/>
      <c r="N124" s="1457"/>
      <c r="O124" s="1457"/>
      <c r="P124" s="1457"/>
      <c r="Q124" s="1457"/>
      <c r="R124" s="509"/>
      <c r="S124" s="509"/>
    </row>
    <row r="125" spans="2:19">
      <c r="B125" s="509"/>
      <c r="C125" s="1480"/>
      <c r="D125" s="1457" t="s">
        <v>1191</v>
      </c>
      <c r="E125" s="509"/>
      <c r="F125" s="1457"/>
      <c r="G125" s="1457"/>
      <c r="H125" s="1457"/>
      <c r="I125" s="1538">
        <v>4.4099999999999999E-4</v>
      </c>
      <c r="J125" s="1457"/>
      <c r="K125" s="1538">
        <v>0</v>
      </c>
      <c r="L125" s="1457"/>
      <c r="M125" s="1457"/>
      <c r="N125" s="1457"/>
      <c r="O125" s="1457"/>
      <c r="P125" s="1457"/>
      <c r="Q125" s="1457"/>
      <c r="R125" s="509"/>
      <c r="S125" s="509"/>
    </row>
    <row r="126" spans="2:19">
      <c r="B126" s="509"/>
      <c r="C126" s="1480"/>
      <c r="D126" s="1457" t="s">
        <v>1192</v>
      </c>
      <c r="E126" s="509"/>
      <c r="F126" s="1457"/>
      <c r="G126" s="1457"/>
      <c r="H126" s="1457"/>
      <c r="I126" s="1538">
        <v>7.9699999999999997E-4</v>
      </c>
      <c r="J126" s="1457"/>
      <c r="K126" s="1538">
        <v>7.8899999999999999E-4</v>
      </c>
      <c r="L126" s="1457"/>
      <c r="M126" s="1457"/>
      <c r="N126" s="1457"/>
      <c r="O126" s="1457"/>
      <c r="P126" s="1457"/>
      <c r="Q126" s="1457"/>
      <c r="R126" s="509"/>
      <c r="S126" s="509"/>
    </row>
    <row r="127" spans="2:19">
      <c r="B127" s="509"/>
      <c r="C127" s="1480"/>
      <c r="D127" s="1457" t="s">
        <v>1044</v>
      </c>
      <c r="E127" s="509"/>
      <c r="F127" s="1457"/>
      <c r="G127" s="1457"/>
      <c r="H127" s="1457"/>
      <c r="I127" s="1538">
        <v>4.3800000000000002E-4</v>
      </c>
      <c r="J127" s="1457"/>
      <c r="K127" s="1538">
        <v>2.5900000000000001E-4</v>
      </c>
      <c r="L127" s="1457"/>
      <c r="M127" s="1457"/>
      <c r="N127" s="1457"/>
      <c r="O127" s="1457"/>
      <c r="P127" s="1457"/>
      <c r="Q127" s="1457"/>
      <c r="R127" s="509"/>
      <c r="S127" s="509"/>
    </row>
    <row r="128" spans="2:19">
      <c r="B128" s="509"/>
      <c r="C128" s="1480"/>
      <c r="D128" s="1457" t="s">
        <v>1193</v>
      </c>
      <c r="E128" s="509"/>
      <c r="F128" s="1457"/>
      <c r="G128" s="1457"/>
      <c r="H128" s="1457"/>
      <c r="I128" s="1538">
        <v>3.6699999999999998E-4</v>
      </c>
      <c r="J128" s="1457"/>
      <c r="K128" s="1538">
        <v>3.6400000000000001E-4</v>
      </c>
      <c r="L128" s="1457"/>
      <c r="M128" s="1457"/>
      <c r="N128" s="1457"/>
      <c r="O128" s="1457"/>
      <c r="P128" s="1457"/>
      <c r="Q128" s="1457"/>
      <c r="R128" s="509"/>
      <c r="S128" s="509"/>
    </row>
    <row r="129" spans="2:19">
      <c r="B129" s="509"/>
      <c r="C129" s="1480"/>
      <c r="D129" s="1457" t="s">
        <v>1194</v>
      </c>
      <c r="E129" s="509"/>
      <c r="F129" s="1457"/>
      <c r="G129" s="1457"/>
      <c r="H129" s="1457"/>
      <c r="I129" s="1538">
        <v>4.9399999999999997E-4</v>
      </c>
      <c r="J129" s="1457"/>
      <c r="K129" s="1538">
        <v>4.8999999999999998E-4</v>
      </c>
      <c r="L129" s="1457"/>
      <c r="M129" s="1457"/>
      <c r="N129" s="1457"/>
      <c r="O129" s="1457"/>
      <c r="P129" s="1457"/>
      <c r="Q129" s="1457"/>
      <c r="R129" s="509"/>
      <c r="S129" s="509"/>
    </row>
    <row r="130" spans="2:19">
      <c r="B130" s="509"/>
      <c r="C130" s="1480"/>
      <c r="D130" s="1457" t="s">
        <v>1195</v>
      </c>
      <c r="E130" s="509"/>
      <c r="F130" s="1457"/>
      <c r="G130" s="1457"/>
      <c r="H130" s="1457"/>
      <c r="I130" s="1538">
        <v>3.1199999999999999E-4</v>
      </c>
      <c r="J130" s="1457"/>
      <c r="K130" s="1538">
        <v>3.0899999999999998E-4</v>
      </c>
      <c r="L130" s="1457"/>
      <c r="M130" s="1457"/>
      <c r="N130" s="1457"/>
      <c r="O130" s="1457"/>
      <c r="P130" s="1457"/>
      <c r="Q130" s="1457"/>
      <c r="R130" s="509"/>
      <c r="S130" s="509"/>
    </row>
    <row r="131" spans="2:19">
      <c r="B131" s="509"/>
      <c r="C131" s="1480"/>
      <c r="D131" s="1457" t="s">
        <v>1055</v>
      </c>
      <c r="E131" s="509"/>
      <c r="F131" s="1457"/>
      <c r="G131" s="1457"/>
      <c r="H131" s="1457"/>
      <c r="I131" s="1538">
        <v>3.6699999999999998E-4</v>
      </c>
      <c r="J131" s="1457"/>
      <c r="K131" s="1538">
        <v>3.6400000000000001E-4</v>
      </c>
      <c r="L131" s="1457"/>
      <c r="M131" s="1457"/>
      <c r="N131" s="1457"/>
      <c r="O131" s="1457"/>
      <c r="P131" s="1457"/>
      <c r="Q131" s="1457"/>
      <c r="R131" s="509"/>
      <c r="S131" s="509"/>
    </row>
    <row r="132" spans="2:19">
      <c r="B132" s="509"/>
      <c r="C132" s="1480"/>
      <c r="D132" s="1457" t="s">
        <v>1196</v>
      </c>
      <c r="E132" s="509"/>
      <c r="F132" s="1457"/>
      <c r="G132" s="1457"/>
      <c r="H132" s="1457"/>
      <c r="I132" s="1538">
        <v>6.5499999999999998E-4</v>
      </c>
      <c r="J132" s="1457"/>
      <c r="K132" s="1538">
        <v>6.5399999999999996E-4</v>
      </c>
      <c r="L132" s="1457"/>
      <c r="M132" s="1457"/>
      <c r="N132" s="1457"/>
      <c r="O132" s="1457"/>
      <c r="P132" s="1457"/>
      <c r="Q132" s="1457"/>
      <c r="R132" s="509"/>
      <c r="S132" s="509"/>
    </row>
    <row r="133" spans="2:19">
      <c r="B133" s="509"/>
      <c r="C133" s="1480"/>
      <c r="D133" s="1457" t="s">
        <v>1197</v>
      </c>
      <c r="E133" s="509"/>
      <c r="F133" s="1457"/>
      <c r="G133" s="1457"/>
      <c r="H133" s="1457"/>
      <c r="I133" s="1538">
        <v>3.88E-4</v>
      </c>
      <c r="J133" s="1457"/>
      <c r="K133" s="1538">
        <v>3.8499999999999998E-4</v>
      </c>
      <c r="L133" s="1457"/>
      <c r="M133" s="1457"/>
      <c r="N133" s="1457"/>
      <c r="O133" s="1457"/>
      <c r="P133" s="1457"/>
      <c r="Q133" s="1457"/>
      <c r="R133" s="509"/>
      <c r="S133" s="509"/>
    </row>
    <row r="134" spans="2:19">
      <c r="B134" s="509"/>
      <c r="C134" s="1480"/>
      <c r="D134" s="1457" t="s">
        <v>1045</v>
      </c>
      <c r="E134" s="509"/>
      <c r="F134" s="1457"/>
      <c r="G134" s="1457"/>
      <c r="H134" s="1457"/>
      <c r="I134" s="1538">
        <v>4.3100000000000001E-4</v>
      </c>
      <c r="J134" s="1457"/>
      <c r="K134" s="1538">
        <v>4.2700000000000002E-4</v>
      </c>
      <c r="L134" s="1457"/>
      <c r="M134" s="1457"/>
      <c r="N134" s="1457"/>
      <c r="O134" s="1457"/>
      <c r="P134" s="1457"/>
      <c r="Q134" s="1457"/>
      <c r="R134" s="509"/>
      <c r="S134" s="509"/>
    </row>
    <row r="135" spans="2:19">
      <c r="B135" s="509"/>
      <c r="C135" s="1480"/>
      <c r="D135" s="1457" t="s">
        <v>1198</v>
      </c>
      <c r="E135" s="509"/>
      <c r="F135" s="1457"/>
      <c r="G135" s="1457"/>
      <c r="H135" s="1457"/>
      <c r="I135" s="1538">
        <v>4.9399999999999997E-4</v>
      </c>
      <c r="J135" s="1457"/>
      <c r="K135" s="1538">
        <v>4.8999999999999998E-4</v>
      </c>
      <c r="L135" s="1457"/>
      <c r="M135" s="1457"/>
      <c r="N135" s="1457"/>
      <c r="O135" s="1457"/>
      <c r="P135" s="1457"/>
      <c r="Q135" s="1457"/>
      <c r="R135" s="509"/>
      <c r="S135" s="509"/>
    </row>
    <row r="136" spans="2:19">
      <c r="B136" s="509"/>
      <c r="C136" s="1480"/>
      <c r="D136" s="1457" t="s">
        <v>1199</v>
      </c>
      <c r="E136" s="509"/>
      <c r="F136" s="1457"/>
      <c r="G136" s="1457"/>
      <c r="H136" s="1457"/>
      <c r="I136" s="1538">
        <v>9.2E-5</v>
      </c>
      <c r="J136" s="1457"/>
      <c r="K136" s="1538">
        <v>9.1000000000000003E-5</v>
      </c>
      <c r="L136" s="1457"/>
      <c r="M136" s="1457"/>
      <c r="N136" s="1457"/>
      <c r="O136" s="1457"/>
      <c r="P136" s="1457"/>
      <c r="Q136" s="1457"/>
      <c r="R136" s="509"/>
      <c r="S136" s="509"/>
    </row>
    <row r="137" spans="2:19">
      <c r="B137" s="509"/>
      <c r="C137" s="1480"/>
      <c r="D137" s="1457" t="s">
        <v>1200</v>
      </c>
      <c r="E137" s="509"/>
      <c r="F137" s="1457"/>
      <c r="G137" s="1457"/>
      <c r="H137" s="1457"/>
      <c r="I137" s="1538">
        <v>5.0799999999999999E-4</v>
      </c>
      <c r="J137" s="1457"/>
      <c r="K137" s="1538">
        <v>5.0900000000000001E-4</v>
      </c>
      <c r="L137" s="1457"/>
      <c r="M137" s="1457"/>
      <c r="N137" s="1457"/>
      <c r="O137" s="1457"/>
      <c r="P137" s="1457"/>
      <c r="Q137" s="1457"/>
      <c r="R137" s="509"/>
      <c r="S137" s="509"/>
    </row>
    <row r="138" spans="2:19">
      <c r="B138" s="509"/>
      <c r="C138" s="1480"/>
      <c r="D138" s="1457" t="s">
        <v>1201</v>
      </c>
      <c r="E138" s="509"/>
      <c r="F138" s="1457"/>
      <c r="G138" s="1457"/>
      <c r="H138" s="1457"/>
      <c r="I138" s="1538">
        <v>4.86E-4</v>
      </c>
      <c r="J138" s="1457"/>
      <c r="K138" s="1538">
        <v>2.5599999999999999E-4</v>
      </c>
      <c r="L138" s="1457"/>
      <c r="M138" s="1457"/>
      <c r="N138" s="1457"/>
      <c r="O138" s="1457"/>
      <c r="P138" s="1457"/>
      <c r="Q138" s="1457"/>
      <c r="R138" s="509"/>
      <c r="S138" s="509"/>
    </row>
    <row r="139" spans="2:19">
      <c r="B139" s="509"/>
      <c r="C139" s="1480"/>
      <c r="D139" s="1457" t="s">
        <v>1046</v>
      </c>
      <c r="E139" s="509"/>
      <c r="F139" s="1457"/>
      <c r="G139" s="1457"/>
      <c r="H139" s="1457"/>
      <c r="I139" s="1538">
        <v>4.9799999999999996E-4</v>
      </c>
      <c r="J139" s="1457"/>
      <c r="K139" s="1538">
        <v>4.9200000000000003E-4</v>
      </c>
      <c r="L139" s="1457"/>
      <c r="M139" s="1457"/>
      <c r="N139" s="1457"/>
      <c r="O139" s="1457"/>
      <c r="P139" s="1457"/>
      <c r="Q139" s="1457"/>
      <c r="R139" s="509"/>
      <c r="S139" s="509"/>
    </row>
    <row r="140" spans="2:19">
      <c r="B140" s="509"/>
      <c r="C140" s="1480"/>
      <c r="D140" s="1457" t="s">
        <v>1202</v>
      </c>
      <c r="E140" s="509"/>
      <c r="F140" s="1457"/>
      <c r="G140" s="1457"/>
      <c r="H140" s="1457"/>
      <c r="I140" s="1538">
        <v>1.8E-5</v>
      </c>
      <c r="J140" s="1457"/>
      <c r="K140" s="1538">
        <v>2.1999999999999999E-5</v>
      </c>
      <c r="L140" s="1457"/>
      <c r="M140" s="1457"/>
      <c r="N140" s="1457"/>
      <c r="O140" s="1457"/>
      <c r="P140" s="1457"/>
      <c r="Q140" s="1457"/>
      <c r="R140" s="509"/>
      <c r="S140" s="509"/>
    </row>
    <row r="141" spans="2:19">
      <c r="B141" s="509"/>
      <c r="C141" s="1480"/>
      <c r="D141" s="1457" t="s">
        <v>1052</v>
      </c>
      <c r="E141" s="509"/>
      <c r="F141" s="1457"/>
      <c r="G141" s="1457"/>
      <c r="H141" s="1457"/>
      <c r="I141" s="1538">
        <v>3.7800000000000003E-4</v>
      </c>
      <c r="J141" s="1457"/>
      <c r="K141" s="1538">
        <v>3.2400000000000001E-4</v>
      </c>
      <c r="L141" s="1457"/>
      <c r="M141" s="1457"/>
      <c r="N141" s="1457"/>
      <c r="O141" s="1457"/>
      <c r="P141" s="1457"/>
      <c r="Q141" s="1457"/>
      <c r="R141" s="509"/>
      <c r="S141" s="509"/>
    </row>
    <row r="142" spans="2:19">
      <c r="B142" s="509"/>
      <c r="C142" s="1480"/>
      <c r="D142" s="1457" t="s">
        <v>1203</v>
      </c>
      <c r="E142" s="509"/>
      <c r="F142" s="1457"/>
      <c r="G142" s="1457"/>
      <c r="H142" s="1457"/>
      <c r="I142" s="1538">
        <v>3.6600000000000001E-4</v>
      </c>
      <c r="J142" s="1457"/>
      <c r="K142" s="1538">
        <v>4.4499999999999997E-4</v>
      </c>
      <c r="L142" s="1457"/>
      <c r="M142" s="1457"/>
      <c r="N142" s="1457"/>
      <c r="O142" s="1457"/>
      <c r="P142" s="1457"/>
      <c r="Q142" s="1457"/>
      <c r="R142" s="509"/>
      <c r="S142" s="509"/>
    </row>
    <row r="143" spans="2:19">
      <c r="B143" s="509"/>
      <c r="C143" s="1480"/>
      <c r="D143" s="1457" t="s">
        <v>1204</v>
      </c>
      <c r="E143" s="509"/>
      <c r="F143" s="1457"/>
      <c r="G143" s="1457"/>
      <c r="H143" s="1457"/>
      <c r="I143" s="1538">
        <v>4.2000000000000002E-4</v>
      </c>
      <c r="J143" s="1457"/>
      <c r="K143" s="1538">
        <v>0</v>
      </c>
      <c r="L143" s="1457"/>
      <c r="M143" s="1457"/>
      <c r="N143" s="1457"/>
      <c r="O143" s="1457"/>
      <c r="P143" s="1457"/>
      <c r="Q143" s="1457"/>
      <c r="R143" s="509"/>
      <c r="S143" s="509"/>
    </row>
    <row r="144" spans="2:19" ht="8.25" customHeight="1">
      <c r="B144" s="509"/>
      <c r="C144" s="1480"/>
      <c r="D144" s="1457"/>
      <c r="E144" s="509"/>
      <c r="F144" s="1457"/>
      <c r="G144" s="1457"/>
      <c r="H144" s="1457"/>
      <c r="I144" s="1457"/>
      <c r="J144" s="1457"/>
      <c r="K144" s="1457"/>
      <c r="L144" s="1457"/>
      <c r="M144" s="1457"/>
      <c r="N144" s="1457"/>
      <c r="O144" s="1457"/>
      <c r="P144" s="1457"/>
      <c r="Q144" s="1457"/>
      <c r="R144" s="509"/>
      <c r="S144" s="509"/>
    </row>
    <row r="145" spans="3:22">
      <c r="C145" s="1479"/>
      <c r="D145" s="1480"/>
      <c r="E145" s="1457" t="s">
        <v>1134</v>
      </c>
      <c r="F145" s="1457"/>
      <c r="G145" s="1457"/>
      <c r="H145" s="1457"/>
      <c r="I145" s="1538">
        <v>5.5000000000000003E-4</v>
      </c>
      <c r="J145" s="1531"/>
      <c r="K145" s="1457"/>
      <c r="L145" s="1457"/>
      <c r="M145" s="1457"/>
      <c r="N145" s="1457"/>
      <c r="O145" s="1457"/>
      <c r="P145" s="1457"/>
      <c r="Q145" s="1457"/>
    </row>
    <row r="146" spans="3:22">
      <c r="C146" s="1479"/>
      <c r="D146" s="1480"/>
      <c r="E146" s="1457"/>
      <c r="F146" s="1457"/>
      <c r="G146" s="1457"/>
      <c r="H146" s="1457"/>
      <c r="I146" s="1987"/>
      <c r="J146" s="1531"/>
      <c r="K146" s="1457"/>
      <c r="L146" s="1457"/>
      <c r="M146" s="1457"/>
      <c r="N146" s="1457"/>
      <c r="O146" s="1457"/>
      <c r="P146" s="1457"/>
      <c r="Q146" s="1457"/>
    </row>
    <row r="147" spans="3:22">
      <c r="C147" s="1486" t="s">
        <v>241</v>
      </c>
      <c r="D147" s="1480"/>
      <c r="E147" s="1480"/>
      <c r="F147" s="1480"/>
      <c r="G147" s="1480"/>
      <c r="H147" s="1480"/>
      <c r="I147" s="1480"/>
      <c r="J147" s="1480"/>
      <c r="K147" s="1480"/>
      <c r="L147" s="1480"/>
      <c r="M147" s="1480"/>
      <c r="N147" s="1480"/>
      <c r="O147" s="1480"/>
      <c r="P147" s="1480"/>
      <c r="Q147" s="1480"/>
      <c r="R147" s="509"/>
      <c r="S147" s="509"/>
    </row>
    <row r="148" spans="3:22">
      <c r="C148" s="509"/>
      <c r="D148" s="2124" t="s">
        <v>1205</v>
      </c>
      <c r="E148" s="2125"/>
      <c r="F148" s="2126"/>
      <c r="G148" s="509"/>
      <c r="H148" s="519" t="s">
        <v>1206</v>
      </c>
      <c r="I148" s="2127" t="s">
        <v>1207</v>
      </c>
      <c r="J148" s="2128"/>
      <c r="K148" s="2128"/>
      <c r="L148" s="2128"/>
      <c r="M148" s="2129"/>
      <c r="N148" s="2127" t="s">
        <v>1208</v>
      </c>
      <c r="O148" s="2130"/>
      <c r="P148" s="2130"/>
      <c r="Q148" s="2131"/>
      <c r="R148" s="2132" t="s">
        <v>1209</v>
      </c>
      <c r="S148" s="509"/>
    </row>
    <row r="149" spans="3:22" hidden="1">
      <c r="C149" s="509"/>
      <c r="D149" s="2133"/>
      <c r="E149" s="2134"/>
      <c r="F149" s="2135"/>
      <c r="G149" s="509"/>
      <c r="H149" s="509"/>
      <c r="I149" s="2136">
        <v>300</v>
      </c>
      <c r="J149" s="2128">
        <v>2000</v>
      </c>
      <c r="K149" s="2128">
        <v>10000</v>
      </c>
      <c r="L149" s="2128">
        <v>30000</v>
      </c>
      <c r="M149" s="2129"/>
      <c r="N149" s="2137" t="e">
        <f>I96</f>
        <v>#VALUE!</v>
      </c>
      <c r="O149" s="2138">
        <f>I97</f>
        <v>4.9799999999999997E-2</v>
      </c>
      <c r="P149" s="2138">
        <f>I101</f>
        <v>6.855E-2</v>
      </c>
      <c r="Q149" s="2139"/>
      <c r="R149" s="2140"/>
      <c r="S149" s="509"/>
    </row>
    <row r="150" spans="3:22" ht="24">
      <c r="C150" s="509"/>
      <c r="D150" s="2141"/>
      <c r="E150" s="2142"/>
      <c r="F150" s="2143"/>
      <c r="G150" s="509" t="s">
        <v>1741</v>
      </c>
      <c r="H150" s="509"/>
      <c r="I150" s="2144" t="s">
        <v>1210</v>
      </c>
      <c r="J150" s="2145" t="s">
        <v>1211</v>
      </c>
      <c r="K150" s="2145" t="s">
        <v>1212</v>
      </c>
      <c r="L150" s="2145" t="s">
        <v>1213</v>
      </c>
      <c r="M150" s="2144" t="s">
        <v>1214</v>
      </c>
      <c r="N150" s="2144" t="s">
        <v>1215</v>
      </c>
      <c r="O150" s="2144" t="s">
        <v>242</v>
      </c>
      <c r="P150" s="2144" t="s">
        <v>1216</v>
      </c>
      <c r="Q150" s="2146" t="s">
        <v>1217</v>
      </c>
      <c r="R150" s="2147" t="s">
        <v>1740</v>
      </c>
      <c r="S150" s="509"/>
      <c r="U150" s="2164" t="s">
        <v>459</v>
      </c>
      <c r="V150" s="2164" t="s">
        <v>1742</v>
      </c>
    </row>
    <row r="151" spans="3:22">
      <c r="C151" s="509"/>
      <c r="D151" s="2148" t="s">
        <v>199</v>
      </c>
      <c r="E151" s="2127" t="s">
        <v>519</v>
      </c>
      <c r="F151" s="2149"/>
      <c r="G151" s="509">
        <f>メイン!W71</f>
        <v>0</v>
      </c>
      <c r="H151" s="509">
        <f>IF(G151=0,0,IF(G151&lt;$I$149,$I151,IF(G151&lt;$J$149,$J151,IF(G151&lt;$K$149,$K151,IF(G151&lt;$L$149,$L151,$M151)))))</f>
        <v>0</v>
      </c>
      <c r="I151" s="2150">
        <v>1540</v>
      </c>
      <c r="J151" s="2150">
        <v>1540</v>
      </c>
      <c r="K151" s="2150">
        <v>1540</v>
      </c>
      <c r="L151" s="2150">
        <v>1930</v>
      </c>
      <c r="M151" s="2150">
        <v>2270</v>
      </c>
      <c r="N151" s="2151">
        <v>0.9</v>
      </c>
      <c r="O151" s="2151">
        <v>0.06</v>
      </c>
      <c r="P151" s="2151">
        <v>0.04</v>
      </c>
      <c r="Q151" s="2152" t="s">
        <v>1062</v>
      </c>
      <c r="R151" s="2153" t="e">
        <f>SUMPRODUCT(N151:P151,$N$149:$P$149)</f>
        <v>#VALUE!</v>
      </c>
      <c r="S151" s="509"/>
      <c r="U151" s="509">
        <f>メイン!P71</f>
        <v>0</v>
      </c>
      <c r="V151" s="509">
        <f>IF(U151=0,0,IF(U151&lt;$I$149,$I151,IF(U151&lt;$J$149,$J151,IF(U151&lt;$K$149,$K151,IF(U151&lt;$L$149,$L151,$M151)))))</f>
        <v>0</v>
      </c>
    </row>
    <row r="152" spans="3:22">
      <c r="C152" s="509"/>
      <c r="D152" s="2154"/>
      <c r="E152" s="2127" t="s">
        <v>1218</v>
      </c>
      <c r="F152" s="2149"/>
      <c r="G152" s="509">
        <f>メイン!W72</f>
        <v>0</v>
      </c>
      <c r="H152" s="509">
        <f t="shared" ref="H152" si="36">IF(G152=0,0,IF(G152&lt;$I$149,$I152,IF(G152&lt;$J$149,$J152,IF(G152&lt;$K$149,$K152,IF(G152&lt;$L$149,$L152,$M152)))))</f>
        <v>0</v>
      </c>
      <c r="I152" s="2150">
        <v>1100</v>
      </c>
      <c r="J152" s="2150">
        <v>1100</v>
      </c>
      <c r="K152" s="2150">
        <v>1100</v>
      </c>
      <c r="L152" s="2150">
        <v>1260</v>
      </c>
      <c r="M152" s="2150">
        <v>1380</v>
      </c>
      <c r="N152" s="2151">
        <v>0.83</v>
      </c>
      <c r="O152" s="2151">
        <v>0.09</v>
      </c>
      <c r="P152" s="2151">
        <v>0.08</v>
      </c>
      <c r="Q152" s="2152" t="s">
        <v>1062</v>
      </c>
      <c r="R152" s="2153" t="e">
        <f>SUMPRODUCT(N152:P152,$N$149:$P$149)</f>
        <v>#VALUE!</v>
      </c>
      <c r="S152" s="509"/>
      <c r="U152" s="509">
        <f>メイン!P72</f>
        <v>0</v>
      </c>
      <c r="V152" s="509">
        <f t="shared" ref="V152" si="37">IF(U152=0,0,IF(U152&lt;$I$149,$I152,IF(U152&lt;$J$149,$J152,IF(U152&lt;$K$149,$K152,IF(U152&lt;$L$149,$L152,$M152)))))</f>
        <v>0</v>
      </c>
    </row>
    <row r="153" spans="3:22">
      <c r="C153" s="509"/>
      <c r="D153" s="2155" t="s">
        <v>1219</v>
      </c>
      <c r="E153" s="2127" t="s">
        <v>1220</v>
      </c>
      <c r="F153" s="2149"/>
      <c r="G153" s="509">
        <f>メイン!W73</f>
        <v>0</v>
      </c>
      <c r="H153" s="509">
        <f>IF(G153=0,0,IF(G153&lt;$I$149,$I153,IF(G153&lt;$J$149,$J153,IF(G153&lt;$K$149,$K153,IF(G153&lt;$L$149,$L153,$M153)))))</f>
        <v>0</v>
      </c>
      <c r="I153" s="2150">
        <v>490</v>
      </c>
      <c r="J153" s="2150">
        <v>490</v>
      </c>
      <c r="K153" s="2150">
        <v>490</v>
      </c>
      <c r="L153" s="2150">
        <v>490</v>
      </c>
      <c r="M153" s="2150">
        <v>490</v>
      </c>
      <c r="N153" s="2151">
        <v>0.71</v>
      </c>
      <c r="O153" s="2151">
        <v>0.16</v>
      </c>
      <c r="P153" s="2151">
        <v>0.13</v>
      </c>
      <c r="Q153" s="2152" t="s">
        <v>1062</v>
      </c>
      <c r="R153" s="2153" t="e">
        <f t="shared" ref="R153:R166" si="38">SUMPRODUCT(N153:P153,$N$149:$P$149)</f>
        <v>#VALUE!</v>
      </c>
      <c r="S153" s="509"/>
      <c r="U153" s="509">
        <f>メイン!P73</f>
        <v>0</v>
      </c>
      <c r="V153" s="509">
        <f>IF(U153=0,0,IF(U153&lt;$I$149,$I153,IF(U153&lt;$J$149,$J153,IF(U153&lt;$K$149,$K153,IF(U153&lt;$L$149,$L153,$M153)))))</f>
        <v>0</v>
      </c>
    </row>
    <row r="154" spans="3:22">
      <c r="C154" s="509"/>
      <c r="D154" s="2155"/>
      <c r="E154" s="2124" t="s">
        <v>1221</v>
      </c>
      <c r="F154" s="2144" t="s">
        <v>1075</v>
      </c>
      <c r="G154" s="509">
        <f>メイン!W74</f>
        <v>0</v>
      </c>
      <c r="H154" s="2112">
        <f>IF(G154&gt;0,$I154,0)</f>
        <v>0</v>
      </c>
      <c r="I154" s="2150">
        <v>522</v>
      </c>
      <c r="J154" s="2150">
        <v>522</v>
      </c>
      <c r="K154" s="2150">
        <v>522</v>
      </c>
      <c r="L154" s="2150">
        <v>522</v>
      </c>
      <c r="M154" s="2150">
        <v>522</v>
      </c>
      <c r="N154" s="2151">
        <v>0.62299911901772109</v>
      </c>
      <c r="O154" s="2151">
        <v>0.16715691274115696</v>
      </c>
      <c r="P154" s="2151">
        <v>0.20984396824112195</v>
      </c>
      <c r="Q154" s="2152" t="s">
        <v>1062</v>
      </c>
      <c r="R154" s="2153" t="e">
        <f t="shared" si="38"/>
        <v>#VALUE!</v>
      </c>
      <c r="S154" s="509"/>
      <c r="U154" s="509">
        <f>メイン!P74</f>
        <v>0</v>
      </c>
      <c r="V154" s="2112">
        <f>IF(U154&gt;0,$I154,0)</f>
        <v>0</v>
      </c>
    </row>
    <row r="155" spans="3:22">
      <c r="C155" s="509"/>
      <c r="D155" s="2155"/>
      <c r="E155" s="2141"/>
      <c r="F155" s="2144" t="s">
        <v>568</v>
      </c>
      <c r="G155" s="509">
        <f>メイン!W75</f>
        <v>0</v>
      </c>
      <c r="H155" s="2112">
        <f>IF(G155&gt;0,$I155,0)</f>
        <v>0</v>
      </c>
      <c r="I155" s="2150">
        <v>310</v>
      </c>
      <c r="J155" s="2150">
        <v>310</v>
      </c>
      <c r="K155" s="2150">
        <v>310</v>
      </c>
      <c r="L155" s="2150">
        <v>310</v>
      </c>
      <c r="M155" s="2150">
        <v>310</v>
      </c>
      <c r="N155" s="2151">
        <v>0.75998792472086629</v>
      </c>
      <c r="O155" s="2151">
        <v>0.13554620368652504</v>
      </c>
      <c r="P155" s="2151">
        <v>0.10446587159260867</v>
      </c>
      <c r="Q155" s="2152"/>
      <c r="R155" s="2153" t="e">
        <f t="shared" si="38"/>
        <v>#VALUE!</v>
      </c>
      <c r="S155" s="509"/>
      <c r="U155" s="509">
        <f>メイン!P75</f>
        <v>0</v>
      </c>
      <c r="V155" s="2112">
        <f>IF(U155&gt;0,$I155,0)</f>
        <v>0</v>
      </c>
    </row>
    <row r="156" spans="3:22">
      <c r="C156" s="509"/>
      <c r="D156" s="2155"/>
      <c r="E156" s="2127" t="s">
        <v>1222</v>
      </c>
      <c r="F156" s="2149"/>
      <c r="G156" s="509">
        <f>メイン!W76</f>
        <v>0</v>
      </c>
      <c r="H156" s="509">
        <f t="shared" ref="H156:H167" si="39">IF(G156=0,0,IF(G156&lt;$I$149,$I156,IF(G156&lt;$J$149,$J156,IF(G156&lt;$K$149,$K156,IF(G156&lt;$L$149,$L156,$M156)))))</f>
        <v>0</v>
      </c>
      <c r="I156" s="2150">
        <v>390</v>
      </c>
      <c r="J156" s="2150">
        <v>390</v>
      </c>
      <c r="K156" s="2150">
        <v>390</v>
      </c>
      <c r="L156" s="2150">
        <v>360</v>
      </c>
      <c r="M156" s="2150">
        <v>240</v>
      </c>
      <c r="N156" s="2151">
        <v>0.74</v>
      </c>
      <c r="O156" s="2151">
        <v>7.0000000000000007E-2</v>
      </c>
      <c r="P156" s="2151">
        <v>0.19</v>
      </c>
      <c r="Q156" s="2152" t="s">
        <v>1062</v>
      </c>
      <c r="R156" s="2153" t="e">
        <f t="shared" si="38"/>
        <v>#VALUE!</v>
      </c>
      <c r="S156" s="509"/>
      <c r="U156" s="509">
        <f>メイン!P76</f>
        <v>0</v>
      </c>
      <c r="V156" s="509">
        <f t="shared" ref="V156:V169" si="40">IF(U156=0,0,IF(U156&lt;$I$149,$I156,IF(U156&lt;$J$149,$J156,IF(U156&lt;$K$149,$K156,IF(U156&lt;$L$149,$L156,$M156)))))</f>
        <v>0</v>
      </c>
    </row>
    <row r="157" spans="3:22">
      <c r="C157" s="509"/>
      <c r="D157" s="2154"/>
      <c r="E157" s="2127" t="s">
        <v>1223</v>
      </c>
      <c r="F157" s="2149"/>
      <c r="G157" s="509">
        <f>メイン!W77</f>
        <v>0</v>
      </c>
      <c r="H157" s="509">
        <f t="shared" si="39"/>
        <v>0</v>
      </c>
      <c r="I157" s="2150">
        <v>880</v>
      </c>
      <c r="J157" s="2150">
        <v>880</v>
      </c>
      <c r="K157" s="2150">
        <v>880</v>
      </c>
      <c r="L157" s="2150">
        <v>850</v>
      </c>
      <c r="M157" s="2150">
        <v>1160</v>
      </c>
      <c r="N157" s="2151">
        <v>0.79</v>
      </c>
      <c r="O157" s="2151">
        <v>0.12</v>
      </c>
      <c r="P157" s="2151">
        <v>0.09</v>
      </c>
      <c r="Q157" s="2152" t="s">
        <v>1062</v>
      </c>
      <c r="R157" s="2153" t="e">
        <f t="shared" si="38"/>
        <v>#VALUE!</v>
      </c>
      <c r="S157" s="509"/>
      <c r="U157" s="509">
        <f>メイン!P77</f>
        <v>0</v>
      </c>
      <c r="V157" s="509">
        <f t="shared" si="40"/>
        <v>0</v>
      </c>
    </row>
    <row r="158" spans="3:22">
      <c r="C158" s="509"/>
      <c r="D158" s="2148" t="s">
        <v>1224</v>
      </c>
      <c r="E158" s="2127" t="s">
        <v>909</v>
      </c>
      <c r="F158" s="2149"/>
      <c r="G158" s="509">
        <f>メイン!W78</f>
        <v>0</v>
      </c>
      <c r="H158" s="509">
        <f t="shared" si="39"/>
        <v>0</v>
      </c>
      <c r="I158" s="2150">
        <v>7430</v>
      </c>
      <c r="J158" s="2150">
        <v>7430</v>
      </c>
      <c r="K158" s="2150">
        <v>5130</v>
      </c>
      <c r="L158" s="2150">
        <v>3190</v>
      </c>
      <c r="M158" s="2150">
        <v>3190</v>
      </c>
      <c r="N158" s="2151">
        <v>0.93</v>
      </c>
      <c r="O158" s="2151">
        <v>0.03</v>
      </c>
      <c r="P158" s="2151">
        <v>0.04</v>
      </c>
      <c r="Q158" s="2152" t="s">
        <v>1062</v>
      </c>
      <c r="R158" s="2153" t="e">
        <f t="shared" si="38"/>
        <v>#VALUE!</v>
      </c>
      <c r="S158" s="509"/>
      <c r="U158" s="509">
        <f>メイン!P78</f>
        <v>0</v>
      </c>
      <c r="V158" s="509">
        <f t="shared" si="40"/>
        <v>0</v>
      </c>
    </row>
    <row r="159" spans="3:22">
      <c r="C159" s="509"/>
      <c r="D159" s="2154"/>
      <c r="E159" s="2127" t="s">
        <v>1225</v>
      </c>
      <c r="F159" s="2149"/>
      <c r="G159" s="509">
        <f>メイン!W79</f>
        <v>0</v>
      </c>
      <c r="H159" s="509">
        <f t="shared" si="39"/>
        <v>0</v>
      </c>
      <c r="I159" s="2150">
        <v>2360</v>
      </c>
      <c r="J159" s="2150">
        <v>2360</v>
      </c>
      <c r="K159" s="2150">
        <v>2360</v>
      </c>
      <c r="L159" s="2150">
        <v>2950</v>
      </c>
      <c r="M159" s="2150">
        <v>2680</v>
      </c>
      <c r="N159" s="2151">
        <v>0.92</v>
      </c>
      <c r="O159" s="2151">
        <v>0.04</v>
      </c>
      <c r="P159" s="2151">
        <v>0.04</v>
      </c>
      <c r="Q159" s="2152" t="s">
        <v>1062</v>
      </c>
      <c r="R159" s="2153" t="e">
        <f t="shared" si="38"/>
        <v>#VALUE!</v>
      </c>
      <c r="S159" s="509"/>
      <c r="U159" s="509">
        <f>メイン!P79</f>
        <v>0</v>
      </c>
      <c r="V159" s="509">
        <f t="shared" si="40"/>
        <v>0</v>
      </c>
    </row>
    <row r="160" spans="3:22">
      <c r="C160" s="509"/>
      <c r="D160" s="2127" t="s">
        <v>525</v>
      </c>
      <c r="E160" s="2130"/>
      <c r="F160" s="2149"/>
      <c r="G160" s="509">
        <f>メイン!W80</f>
        <v>0</v>
      </c>
      <c r="H160" s="509">
        <f t="shared" si="39"/>
        <v>0</v>
      </c>
      <c r="I160" s="2150">
        <v>2960</v>
      </c>
      <c r="J160" s="2150">
        <v>2960</v>
      </c>
      <c r="K160" s="2150">
        <v>2960</v>
      </c>
      <c r="L160" s="2150">
        <v>2960</v>
      </c>
      <c r="M160" s="2150">
        <v>2960</v>
      </c>
      <c r="N160" s="2151">
        <v>0.5</v>
      </c>
      <c r="O160" s="2151">
        <v>0.38</v>
      </c>
      <c r="P160" s="2151">
        <v>0.12</v>
      </c>
      <c r="Q160" s="2152" t="s">
        <v>1062</v>
      </c>
      <c r="R160" s="2153" t="e">
        <f t="shared" si="38"/>
        <v>#VALUE!</v>
      </c>
      <c r="S160" s="509"/>
      <c r="U160" s="509">
        <f>メイン!P80</f>
        <v>0</v>
      </c>
      <c r="V160" s="509">
        <f t="shared" si="40"/>
        <v>0</v>
      </c>
    </row>
    <row r="161" spans="3:27">
      <c r="C161" s="509"/>
      <c r="D161" s="2148" t="s">
        <v>1226</v>
      </c>
      <c r="E161" s="2127" t="s">
        <v>1227</v>
      </c>
      <c r="F161" s="2149"/>
      <c r="G161" s="509">
        <f>メイン!W81</f>
        <v>0</v>
      </c>
      <c r="H161" s="509">
        <f t="shared" si="39"/>
        <v>0</v>
      </c>
      <c r="I161" s="2150">
        <v>1030</v>
      </c>
      <c r="J161" s="2150">
        <v>1030</v>
      </c>
      <c r="K161" s="2150">
        <v>1030</v>
      </c>
      <c r="L161" s="2150">
        <v>1450</v>
      </c>
      <c r="M161" s="2150">
        <v>1670</v>
      </c>
      <c r="N161" s="2151">
        <v>0.76</v>
      </c>
      <c r="O161" s="2151">
        <v>0.16</v>
      </c>
      <c r="P161" s="2151">
        <v>0.08</v>
      </c>
      <c r="Q161" s="2152" t="s">
        <v>1062</v>
      </c>
      <c r="R161" s="2153" t="e">
        <f t="shared" si="38"/>
        <v>#VALUE!</v>
      </c>
      <c r="S161" s="509"/>
      <c r="U161" s="509">
        <f>メイン!P81</f>
        <v>0</v>
      </c>
      <c r="V161" s="509">
        <f t="shared" si="40"/>
        <v>0</v>
      </c>
    </row>
    <row r="162" spans="3:27">
      <c r="C162" s="509"/>
      <c r="D162" s="2155"/>
      <c r="E162" s="2127" t="s">
        <v>1228</v>
      </c>
      <c r="F162" s="2149"/>
      <c r="G162" s="509">
        <f>メイン!W82</f>
        <v>0</v>
      </c>
      <c r="H162" s="509">
        <f t="shared" si="39"/>
        <v>0</v>
      </c>
      <c r="I162" s="2150">
        <v>1120</v>
      </c>
      <c r="J162" s="2150">
        <v>1120</v>
      </c>
      <c r="K162" s="2150">
        <v>1120</v>
      </c>
      <c r="L162" s="2150">
        <v>1580</v>
      </c>
      <c r="M162" s="2150">
        <v>1220</v>
      </c>
      <c r="N162" s="2151">
        <v>0.81</v>
      </c>
      <c r="O162" s="2151">
        <v>0.09</v>
      </c>
      <c r="P162" s="2151">
        <v>9.999999999999995E-2</v>
      </c>
      <c r="Q162" s="2152" t="s">
        <v>1062</v>
      </c>
      <c r="R162" s="2153" t="e">
        <f t="shared" si="38"/>
        <v>#VALUE!</v>
      </c>
      <c r="S162" s="509"/>
      <c r="U162" s="509">
        <f>メイン!P82</f>
        <v>0</v>
      </c>
      <c r="V162" s="509">
        <f t="shared" si="40"/>
        <v>0</v>
      </c>
    </row>
    <row r="163" spans="3:27">
      <c r="C163" s="509"/>
      <c r="D163" s="2155"/>
      <c r="E163" s="2124" t="s">
        <v>1229</v>
      </c>
      <c r="F163" s="2126"/>
      <c r="G163" s="509">
        <f>メイン!W83</f>
        <v>0</v>
      </c>
      <c r="H163" s="509">
        <f t="shared" si="39"/>
        <v>0</v>
      </c>
      <c r="I163" s="2150">
        <v>1910</v>
      </c>
      <c r="J163" s="2150">
        <v>1910</v>
      </c>
      <c r="K163" s="2150">
        <v>1910</v>
      </c>
      <c r="L163" s="2150">
        <v>1300</v>
      </c>
      <c r="M163" s="2150">
        <v>1130</v>
      </c>
      <c r="N163" s="2151">
        <v>0.92</v>
      </c>
      <c r="O163" s="2151">
        <v>0.06</v>
      </c>
      <c r="P163" s="2151">
        <v>0.02</v>
      </c>
      <c r="Q163" s="2152" t="s">
        <v>1062</v>
      </c>
      <c r="R163" s="2153" t="e">
        <f t="shared" si="38"/>
        <v>#VALUE!</v>
      </c>
      <c r="S163" s="509"/>
      <c r="U163" s="509">
        <f>メイン!P83</f>
        <v>0</v>
      </c>
      <c r="V163" s="509">
        <f t="shared" si="40"/>
        <v>0</v>
      </c>
    </row>
    <row r="164" spans="3:27">
      <c r="C164" s="509"/>
      <c r="D164" s="2127" t="s">
        <v>535</v>
      </c>
      <c r="E164" s="2130"/>
      <c r="F164" s="2149"/>
      <c r="G164" s="509">
        <f>メイン!W84</f>
        <v>0</v>
      </c>
      <c r="H164" s="509">
        <f t="shared" si="39"/>
        <v>0</v>
      </c>
      <c r="I164" s="2150">
        <v>498</v>
      </c>
      <c r="J164" s="2150">
        <v>498</v>
      </c>
      <c r="K164" s="2150">
        <v>498</v>
      </c>
      <c r="L164" s="2150">
        <v>498</v>
      </c>
      <c r="M164" s="2150">
        <v>498</v>
      </c>
      <c r="N164" s="2151">
        <v>1</v>
      </c>
      <c r="O164" s="2151">
        <v>0</v>
      </c>
      <c r="P164" s="2151">
        <v>0</v>
      </c>
      <c r="Q164" s="2152" t="s">
        <v>1062</v>
      </c>
      <c r="R164" s="2153" t="e">
        <f t="shared" si="38"/>
        <v>#VALUE!</v>
      </c>
      <c r="S164" s="509"/>
      <c r="U164" s="509">
        <f>メイン!P84</f>
        <v>0</v>
      </c>
      <c r="V164" s="509">
        <f t="shared" si="40"/>
        <v>0</v>
      </c>
    </row>
    <row r="165" spans="3:27">
      <c r="C165" s="509"/>
      <c r="D165" s="2127" t="s">
        <v>529</v>
      </c>
      <c r="E165" s="2130"/>
      <c r="F165" s="2149"/>
      <c r="G165" s="509">
        <f>メイン!W85</f>
        <v>0</v>
      </c>
      <c r="H165" s="509">
        <f t="shared" si="39"/>
        <v>0</v>
      </c>
      <c r="I165" s="2150">
        <v>2210</v>
      </c>
      <c r="J165" s="2150">
        <v>2210</v>
      </c>
      <c r="K165" s="2150">
        <v>2210</v>
      </c>
      <c r="L165" s="2150">
        <v>2450</v>
      </c>
      <c r="M165" s="2150">
        <v>2920</v>
      </c>
      <c r="N165" s="2151">
        <v>0.65</v>
      </c>
      <c r="O165" s="2151">
        <v>0.15</v>
      </c>
      <c r="P165" s="2151">
        <v>0.2</v>
      </c>
      <c r="Q165" s="2152" t="s">
        <v>1062</v>
      </c>
      <c r="R165" s="2153" t="e">
        <f>SUMPRODUCT(N165:P165,$N$149:$P$149)</f>
        <v>#VALUE!</v>
      </c>
      <c r="S165" s="509"/>
      <c r="U165" s="509">
        <f>メイン!P85</f>
        <v>0</v>
      </c>
      <c r="V165" s="509">
        <f t="shared" si="40"/>
        <v>0</v>
      </c>
    </row>
    <row r="166" spans="3:27">
      <c r="C166" s="509"/>
      <c r="D166" s="2127" t="s">
        <v>1230</v>
      </c>
      <c r="E166" s="2130"/>
      <c r="F166" s="2149"/>
      <c r="G166" s="509">
        <f>メイン!W86</f>
        <v>0</v>
      </c>
      <c r="H166" s="509">
        <f>IF(G166=0,0,IF(G166&lt;$I$149,$I166,IF(G166&lt;$J$149,$J166,IF(G166&lt;$K$149,$K166,IF(G166&lt;$L$149,$L166,$M166)))))</f>
        <v>0</v>
      </c>
      <c r="I166" s="2150">
        <v>2440</v>
      </c>
      <c r="J166" s="2150">
        <v>2440</v>
      </c>
      <c r="K166" s="2150">
        <v>2440</v>
      </c>
      <c r="L166" s="2150">
        <v>2740</v>
      </c>
      <c r="M166" s="2150">
        <v>2740</v>
      </c>
      <c r="N166" s="2151">
        <v>0.77</v>
      </c>
      <c r="O166" s="2151">
        <v>0.1</v>
      </c>
      <c r="P166" s="2151">
        <v>0.13</v>
      </c>
      <c r="Q166" s="2152" t="s">
        <v>1062</v>
      </c>
      <c r="R166" s="2153" t="e">
        <f t="shared" si="38"/>
        <v>#VALUE!</v>
      </c>
      <c r="S166" s="509"/>
      <c r="U166" s="509">
        <f>メイン!P86</f>
        <v>0</v>
      </c>
      <c r="V166" s="509">
        <f t="shared" si="40"/>
        <v>0</v>
      </c>
    </row>
    <row r="167" spans="3:27">
      <c r="C167" s="509"/>
      <c r="D167" s="2133"/>
      <c r="E167" s="2142"/>
      <c r="F167" s="2143"/>
      <c r="G167" s="509">
        <f>メイン!W87</f>
        <v>0</v>
      </c>
      <c r="H167" s="509">
        <f t="shared" si="39"/>
        <v>0</v>
      </c>
      <c r="I167" s="2150"/>
      <c r="J167" s="2150"/>
      <c r="K167" s="2150"/>
      <c r="L167" s="2150"/>
      <c r="M167" s="2150"/>
      <c r="N167" s="2137" t="e">
        <f>I96</f>
        <v>#VALUE!</v>
      </c>
      <c r="O167" s="2138">
        <f>I97</f>
        <v>4.9799999999999997E-2</v>
      </c>
      <c r="P167" s="2138">
        <f>I99</f>
        <v>6.7799999999999999E-2</v>
      </c>
      <c r="Q167" s="2139">
        <f>I102</f>
        <v>5.8999999999999997E-2</v>
      </c>
      <c r="R167" s="519"/>
      <c r="S167" s="509"/>
      <c r="U167" s="509">
        <f>メイン!P87</f>
        <v>0</v>
      </c>
      <c r="V167" s="509">
        <f t="shared" si="40"/>
        <v>0</v>
      </c>
    </row>
    <row r="168" spans="3:27">
      <c r="C168" s="509"/>
      <c r="D168" s="2140" t="s">
        <v>816</v>
      </c>
      <c r="E168" s="2156" t="s">
        <v>1231</v>
      </c>
      <c r="F168" s="2157"/>
      <c r="G168" s="509">
        <f>メイン!W88</f>
        <v>0</v>
      </c>
      <c r="H168" s="509" t="str">
        <f>IF(G168&gt;=$I$149,I168,IF(G168&gt;=$J$149,J168,IF(G168&gt;=$K$149,K168,IF(G168&gt;=$L$149,L168,IF(G168&gt;=$M$149,M168,0)))))</f>
        <v>-</v>
      </c>
      <c r="I168" s="2158" t="s">
        <v>1062</v>
      </c>
      <c r="J168" s="2158" t="s">
        <v>1062</v>
      </c>
      <c r="K168" s="2158" t="s">
        <v>1062</v>
      </c>
      <c r="L168" s="2158" t="s">
        <v>1062</v>
      </c>
      <c r="M168" s="2158" t="s">
        <v>1062</v>
      </c>
      <c r="N168" s="2151">
        <v>0.51</v>
      </c>
      <c r="O168" s="2151">
        <v>0.21</v>
      </c>
      <c r="P168" s="2151">
        <v>0.18</v>
      </c>
      <c r="Q168" s="2151">
        <v>0.1</v>
      </c>
      <c r="R168" s="2153" t="e">
        <f>SUMPRODUCT(N168:Q168,$N$167:$Q$167)</f>
        <v>#VALUE!</v>
      </c>
      <c r="S168" s="509"/>
      <c r="U168" s="509">
        <f>メイン!P88</f>
        <v>0</v>
      </c>
      <c r="V168" s="509">
        <f t="shared" si="40"/>
        <v>0</v>
      </c>
    </row>
    <row r="169" spans="3:27">
      <c r="C169" s="509"/>
      <c r="D169" s="2159"/>
      <c r="E169" s="2160" t="s">
        <v>1232</v>
      </c>
      <c r="F169" s="2161"/>
      <c r="G169" s="509">
        <f>メイン!W89</f>
        <v>0</v>
      </c>
      <c r="H169" s="509" t="str">
        <f>IF(G169&gt;=$I$149,I169,IF(G169&gt;=$J$149,J169,IF(G169&gt;=$K$149,K169,IF(G169&gt;=$L$149,L169,IF(G169&gt;=$M$149,M169,0)))))</f>
        <v>-</v>
      </c>
      <c r="I169" s="2158" t="s">
        <v>1062</v>
      </c>
      <c r="J169" s="2158" t="s">
        <v>1062</v>
      </c>
      <c r="K169" s="2158" t="s">
        <v>1062</v>
      </c>
      <c r="L169" s="2158" t="s">
        <v>1062</v>
      </c>
      <c r="M169" s="2158" t="s">
        <v>1062</v>
      </c>
      <c r="N169" s="2151">
        <v>1</v>
      </c>
      <c r="O169" s="2151">
        <v>0</v>
      </c>
      <c r="P169" s="2151">
        <v>0</v>
      </c>
      <c r="Q169" s="2152" t="s">
        <v>1062</v>
      </c>
      <c r="R169" s="2153" t="e">
        <f>SUMPRODUCT(N169:Q169,$N$149:$Q$149)</f>
        <v>#VALUE!</v>
      </c>
      <c r="S169" s="509"/>
      <c r="U169" s="509">
        <f>メイン!P89</f>
        <v>0</v>
      </c>
      <c r="V169" s="509">
        <f t="shared" si="40"/>
        <v>0</v>
      </c>
    </row>
    <row r="170" spans="3:27">
      <c r="C170" s="509"/>
      <c r="D170" s="2162" t="s">
        <v>1206</v>
      </c>
      <c r="E170" s="2163"/>
      <c r="F170" s="2161"/>
      <c r="G170" s="509"/>
      <c r="H170" s="509"/>
      <c r="I170" s="2158" t="s">
        <v>1062</v>
      </c>
      <c r="J170" s="2158" t="s">
        <v>1062</v>
      </c>
      <c r="K170" s="2158" t="s">
        <v>1062</v>
      </c>
      <c r="L170" s="2158" t="s">
        <v>1062</v>
      </c>
      <c r="M170" s="2158" t="s">
        <v>1062</v>
      </c>
      <c r="N170" s="2151">
        <f>境界値!H11</f>
        <v>0</v>
      </c>
      <c r="O170" s="2151">
        <f>境界値!I11</f>
        <v>0</v>
      </c>
      <c r="P170" s="2151">
        <f>境界値!J11</f>
        <v>0</v>
      </c>
      <c r="Q170" s="2152" t="s">
        <v>1062</v>
      </c>
      <c r="R170" s="2153" t="e">
        <f>SUMPRODUCT(N170:Q170,$N$149:$Q$149)</f>
        <v>#VALUE!</v>
      </c>
      <c r="S170" s="509"/>
    </row>
    <row r="171" spans="3:27">
      <c r="C171" s="509"/>
      <c r="D171" s="510" t="s">
        <v>1233</v>
      </c>
      <c r="E171" s="2164" t="s">
        <v>1849</v>
      </c>
      <c r="F171" s="509"/>
      <c r="G171" s="509"/>
      <c r="H171" s="509"/>
      <c r="I171" s="509"/>
      <c r="J171" s="509"/>
      <c r="K171" s="509"/>
      <c r="L171" s="509"/>
      <c r="M171" s="509"/>
      <c r="N171" s="509"/>
      <c r="O171" s="509"/>
      <c r="P171" s="2164" t="s">
        <v>1234</v>
      </c>
      <c r="Q171" s="509"/>
      <c r="R171" s="509"/>
      <c r="S171" s="509"/>
    </row>
    <row r="172" spans="3:27">
      <c r="C172" s="509"/>
      <c r="D172" s="509"/>
      <c r="E172" s="2164" t="s">
        <v>1850</v>
      </c>
      <c r="F172" s="509"/>
      <c r="G172" s="509"/>
      <c r="H172" s="509"/>
      <c r="I172" s="509"/>
      <c r="J172" s="509"/>
      <c r="K172" s="509"/>
      <c r="L172" s="509"/>
      <c r="M172" s="509"/>
      <c r="N172" s="509"/>
      <c r="O172" s="509"/>
      <c r="P172" s="2164"/>
      <c r="Q172" s="509"/>
      <c r="R172" s="509"/>
      <c r="S172" s="509"/>
    </row>
    <row r="173" spans="3:27">
      <c r="C173" s="509"/>
      <c r="D173" s="509"/>
      <c r="E173" s="2164" t="s">
        <v>1851</v>
      </c>
      <c r="F173" s="509"/>
      <c r="G173" s="509"/>
      <c r="H173" s="509"/>
      <c r="I173" s="509"/>
      <c r="J173" s="509"/>
      <c r="K173" s="509"/>
      <c r="L173" s="509"/>
      <c r="M173" s="509"/>
      <c r="N173" s="509"/>
      <c r="O173" s="509"/>
      <c r="P173" s="2164"/>
      <c r="Q173" s="509"/>
      <c r="R173" s="509"/>
      <c r="S173" s="509"/>
    </row>
    <row r="174" spans="3:27">
      <c r="C174" s="509"/>
      <c r="D174" s="509"/>
      <c r="E174" s="509"/>
      <c r="F174" s="509"/>
      <c r="G174" s="509"/>
      <c r="H174" s="509"/>
      <c r="I174" s="509"/>
      <c r="J174" s="509"/>
      <c r="K174" s="509"/>
      <c r="L174" s="509"/>
      <c r="M174" s="509"/>
      <c r="N174" s="509"/>
      <c r="O174" s="509"/>
      <c r="P174" s="509"/>
      <c r="Q174" s="509"/>
      <c r="R174" s="509"/>
      <c r="S174" s="509"/>
    </row>
    <row r="175" spans="3:27">
      <c r="C175" s="509"/>
      <c r="D175" s="516" t="s">
        <v>1235</v>
      </c>
      <c r="E175" s="509"/>
      <c r="F175" s="509"/>
      <c r="G175" s="509"/>
      <c r="H175" s="509"/>
      <c r="I175" s="509"/>
      <c r="J175" s="509"/>
      <c r="K175" s="509"/>
      <c r="L175" s="509"/>
      <c r="M175" s="509"/>
      <c r="O175" s="509"/>
      <c r="P175" s="509"/>
      <c r="Q175" s="510" t="s">
        <v>1236</v>
      </c>
      <c r="R175" s="509"/>
      <c r="S175" s="509"/>
    </row>
    <row r="176" spans="3:27">
      <c r="C176" s="509"/>
      <c r="D176" s="2162" t="s">
        <v>1237</v>
      </c>
      <c r="E176" s="2165"/>
      <c r="F176" s="2132" t="s">
        <v>1238</v>
      </c>
      <c r="G176" s="509"/>
      <c r="H176" s="509"/>
      <c r="I176" s="519" t="s">
        <v>1206</v>
      </c>
      <c r="J176" s="2162" t="s">
        <v>1239</v>
      </c>
      <c r="K176" s="2165"/>
      <c r="L176" s="2165"/>
      <c r="M176" s="2165"/>
      <c r="N176" s="2165"/>
      <c r="O176" s="2165"/>
      <c r="P176" s="2166" t="s">
        <v>839</v>
      </c>
      <c r="Q176" s="2131"/>
      <c r="R176" s="509"/>
      <c r="T176" s="2167" t="s">
        <v>1240</v>
      </c>
      <c r="U176" s="2168"/>
      <c r="V176" s="2168"/>
      <c r="W176" s="2168"/>
      <c r="X176" s="2168"/>
      <c r="Y176" s="2168"/>
      <c r="Z176" s="2168"/>
      <c r="AA176" s="2168"/>
    </row>
    <row r="177" spans="3:27">
      <c r="C177" s="509"/>
      <c r="D177" s="519" t="s">
        <v>1241</v>
      </c>
      <c r="E177" s="519" t="s">
        <v>1242</v>
      </c>
      <c r="F177" s="2140" t="s">
        <v>1243</v>
      </c>
      <c r="G177" s="509"/>
      <c r="H177" s="509">
        <v>1</v>
      </c>
      <c r="I177" s="2132">
        <f>メイン!P16</f>
        <v>6</v>
      </c>
      <c r="J177" s="519">
        <v>1</v>
      </c>
      <c r="K177" s="519">
        <v>2</v>
      </c>
      <c r="L177" s="519">
        <v>3</v>
      </c>
      <c r="M177" s="519">
        <v>4</v>
      </c>
      <c r="N177" s="519">
        <v>5</v>
      </c>
      <c r="O177" s="519">
        <v>6</v>
      </c>
      <c r="P177" s="519">
        <v>7</v>
      </c>
      <c r="Q177" s="519">
        <v>8</v>
      </c>
      <c r="R177" s="509"/>
      <c r="T177" s="2169">
        <v>1</v>
      </c>
      <c r="U177" s="2169">
        <v>2</v>
      </c>
      <c r="V177" s="2169">
        <v>3</v>
      </c>
      <c r="W177" s="2169">
        <v>4</v>
      </c>
      <c r="X177" s="2169">
        <v>5</v>
      </c>
      <c r="Y177" s="2169">
        <v>6</v>
      </c>
      <c r="Z177" s="2169">
        <v>7</v>
      </c>
      <c r="AA177" s="2169">
        <v>8</v>
      </c>
    </row>
    <row r="178" spans="3:27">
      <c r="C178" s="509"/>
      <c r="D178" s="2140"/>
      <c r="E178" s="1433"/>
      <c r="F178" s="519" t="s">
        <v>180</v>
      </c>
      <c r="G178" s="519" t="s">
        <v>1244</v>
      </c>
      <c r="H178" s="519">
        <v>2</v>
      </c>
      <c r="I178" s="2170">
        <f>HLOOKUP($I$177,$J$177:$Q$195,H178)</f>
        <v>1100</v>
      </c>
      <c r="J178" s="2170">
        <v>1484</v>
      </c>
      <c r="K178" s="2170">
        <v>1298</v>
      </c>
      <c r="L178" s="2170">
        <v>1189</v>
      </c>
      <c r="M178" s="2170">
        <v>1246</v>
      </c>
      <c r="N178" s="2170">
        <v>1163</v>
      </c>
      <c r="O178" s="2170">
        <v>1100</v>
      </c>
      <c r="P178" s="2170">
        <v>976</v>
      </c>
      <c r="Q178" s="2170">
        <v>888</v>
      </c>
      <c r="R178" s="509"/>
      <c r="T178" s="2171">
        <f t="shared" ref="T178:AA178" si="41">MAX(J178:J195)</f>
        <v>1721</v>
      </c>
      <c r="U178" s="2171">
        <f t="shared" si="41"/>
        <v>1502</v>
      </c>
      <c r="V178" s="2171">
        <f t="shared" si="41"/>
        <v>1413</v>
      </c>
      <c r="W178" s="2171">
        <f t="shared" si="41"/>
        <v>1464</v>
      </c>
      <c r="X178" s="2171">
        <f t="shared" si="41"/>
        <v>1374</v>
      </c>
      <c r="Y178" s="2171">
        <f t="shared" si="41"/>
        <v>1343</v>
      </c>
      <c r="Z178" s="2171">
        <f t="shared" si="41"/>
        <v>1164</v>
      </c>
      <c r="AA178" s="2171">
        <f t="shared" si="41"/>
        <v>1017</v>
      </c>
    </row>
    <row r="179" spans="3:27">
      <c r="C179" s="509"/>
      <c r="D179" s="2140" t="s">
        <v>1245</v>
      </c>
      <c r="E179" s="509" t="s">
        <v>1246</v>
      </c>
      <c r="F179" s="519" t="s">
        <v>1247</v>
      </c>
      <c r="G179" s="519" t="s">
        <v>1248</v>
      </c>
      <c r="H179" s="519">
        <v>3</v>
      </c>
      <c r="I179" s="2170">
        <f t="shared" ref="I179:I194" si="42">HLOOKUP($I$177,$J$177:$Q$195,H179)</f>
        <v>1268</v>
      </c>
      <c r="J179" s="2170">
        <v>1721</v>
      </c>
      <c r="K179" s="2170">
        <v>1502</v>
      </c>
      <c r="L179" s="2170">
        <v>1373</v>
      </c>
      <c r="M179" s="2170">
        <v>1440</v>
      </c>
      <c r="N179" s="2170">
        <v>1343</v>
      </c>
      <c r="O179" s="2170">
        <v>1268</v>
      </c>
      <c r="P179" s="2170">
        <v>1121</v>
      </c>
      <c r="Q179" s="2170">
        <v>1017</v>
      </c>
      <c r="R179" s="509"/>
      <c r="T179" s="2172">
        <f>J178</f>
        <v>1484</v>
      </c>
      <c r="U179" s="2172">
        <f>K178</f>
        <v>1298</v>
      </c>
      <c r="V179" s="2172">
        <f>L184</f>
        <v>1223</v>
      </c>
      <c r="W179" s="2172">
        <f>M184</f>
        <v>1266</v>
      </c>
      <c r="X179" s="2172">
        <f>N184</f>
        <v>1190</v>
      </c>
      <c r="Y179" s="2172">
        <f>O184</f>
        <v>1163</v>
      </c>
      <c r="Z179" s="2172">
        <f>P184</f>
        <v>1012</v>
      </c>
      <c r="AA179" s="2172">
        <f>Q178</f>
        <v>888</v>
      </c>
    </row>
    <row r="180" spans="3:27" hidden="1">
      <c r="C180" s="509"/>
      <c r="D180" s="2140"/>
      <c r="E180" s="509"/>
      <c r="F180" s="519" t="s">
        <v>1249</v>
      </c>
      <c r="G180" s="519" t="s">
        <v>1250</v>
      </c>
      <c r="H180" s="509">
        <v>4</v>
      </c>
      <c r="I180" s="2170">
        <f t="shared" si="42"/>
        <v>1016</v>
      </c>
      <c r="J180" s="2170">
        <v>1365</v>
      </c>
      <c r="K180" s="2170">
        <v>1196</v>
      </c>
      <c r="L180" s="2170">
        <v>1097</v>
      </c>
      <c r="M180" s="2170">
        <v>1149</v>
      </c>
      <c r="N180" s="2170">
        <v>1074</v>
      </c>
      <c r="O180" s="2170">
        <v>1016</v>
      </c>
      <c r="P180" s="2170">
        <v>903</v>
      </c>
      <c r="Q180" s="2170">
        <v>823</v>
      </c>
      <c r="R180" s="509"/>
      <c r="S180" s="509"/>
    </row>
    <row r="181" spans="3:27">
      <c r="C181" s="509"/>
      <c r="D181" s="2173"/>
      <c r="E181" s="2132"/>
      <c r="F181" s="2131" t="s">
        <v>180</v>
      </c>
      <c r="G181" s="519" t="s">
        <v>1251</v>
      </c>
      <c r="H181" s="519">
        <v>5</v>
      </c>
      <c r="I181" s="2170">
        <f t="shared" si="42"/>
        <v>926</v>
      </c>
      <c r="J181" s="2170">
        <v>1466</v>
      </c>
      <c r="K181" s="2170">
        <v>1282</v>
      </c>
      <c r="L181" s="2170">
        <v>1155</v>
      </c>
      <c r="M181" s="2170">
        <v>1179</v>
      </c>
      <c r="N181" s="2170">
        <v>1092</v>
      </c>
      <c r="O181" s="2170">
        <v>926</v>
      </c>
      <c r="P181" s="2170">
        <v>752</v>
      </c>
      <c r="Q181" s="2170">
        <v>556</v>
      </c>
      <c r="R181" s="509"/>
      <c r="S181" s="509"/>
    </row>
    <row r="182" spans="3:27">
      <c r="C182" s="509"/>
      <c r="D182" s="2174" t="s">
        <v>1245</v>
      </c>
      <c r="E182" s="2140" t="s">
        <v>1252</v>
      </c>
      <c r="F182" s="2131" t="s">
        <v>1247</v>
      </c>
      <c r="G182" s="519" t="s">
        <v>1253</v>
      </c>
      <c r="H182" s="519">
        <v>6</v>
      </c>
      <c r="I182" s="2170">
        <f t="shared" si="42"/>
        <v>1063</v>
      </c>
      <c r="J182" s="2170">
        <v>1700</v>
      </c>
      <c r="K182" s="2170">
        <v>1483</v>
      </c>
      <c r="L182" s="2170">
        <v>1333</v>
      </c>
      <c r="M182" s="2170">
        <v>1361</v>
      </c>
      <c r="N182" s="2170">
        <v>1258</v>
      </c>
      <c r="O182" s="2170">
        <v>1063</v>
      </c>
      <c r="P182" s="2170">
        <v>857</v>
      </c>
      <c r="Q182" s="2170">
        <v>625</v>
      </c>
      <c r="R182" s="509"/>
      <c r="S182" s="509"/>
    </row>
    <row r="183" spans="3:27">
      <c r="C183" s="509"/>
      <c r="D183" s="2175"/>
      <c r="E183" s="2159"/>
      <c r="F183" s="2131" t="s">
        <v>1249</v>
      </c>
      <c r="G183" s="519" t="s">
        <v>1254</v>
      </c>
      <c r="H183" s="509">
        <v>7</v>
      </c>
      <c r="I183" s="2170">
        <f t="shared" si="42"/>
        <v>858</v>
      </c>
      <c r="J183" s="2170">
        <v>1348</v>
      </c>
      <c r="K183" s="2170">
        <v>1182</v>
      </c>
      <c r="L183" s="2170">
        <v>1066</v>
      </c>
      <c r="M183" s="2170">
        <v>1088</v>
      </c>
      <c r="N183" s="2170">
        <v>1009</v>
      </c>
      <c r="O183" s="2170">
        <v>858</v>
      </c>
      <c r="P183" s="2170">
        <v>700</v>
      </c>
      <c r="Q183" s="2170">
        <v>521</v>
      </c>
      <c r="R183" s="509"/>
      <c r="S183" s="509"/>
    </row>
    <row r="184" spans="3:27">
      <c r="C184" s="509"/>
      <c r="D184" s="2132"/>
      <c r="E184" s="2132"/>
      <c r="F184" s="519" t="s">
        <v>180</v>
      </c>
      <c r="G184" s="519" t="s">
        <v>1255</v>
      </c>
      <c r="H184" s="519">
        <v>8</v>
      </c>
      <c r="I184" s="2170">
        <f t="shared" si="42"/>
        <v>1163</v>
      </c>
      <c r="J184" s="2170">
        <v>1374</v>
      </c>
      <c r="K184" s="2170">
        <v>1287</v>
      </c>
      <c r="L184" s="2170">
        <v>1223</v>
      </c>
      <c r="M184" s="2170">
        <v>1266</v>
      </c>
      <c r="N184" s="2170">
        <v>1190</v>
      </c>
      <c r="O184" s="2170">
        <v>1163</v>
      </c>
      <c r="P184" s="2170">
        <v>1012</v>
      </c>
      <c r="Q184" s="2170">
        <v>888</v>
      </c>
      <c r="R184" s="509"/>
      <c r="S184" s="509"/>
    </row>
    <row r="185" spans="3:27">
      <c r="C185" s="509"/>
      <c r="D185" s="2140" t="s">
        <v>1256</v>
      </c>
      <c r="E185" s="2140" t="s">
        <v>1246</v>
      </c>
      <c r="F185" s="519" t="s">
        <v>1247</v>
      </c>
      <c r="G185" s="519" t="s">
        <v>1257</v>
      </c>
      <c r="H185" s="519">
        <v>9</v>
      </c>
      <c r="I185" s="2170">
        <f t="shared" si="42"/>
        <v>1343</v>
      </c>
      <c r="J185" s="2170">
        <v>1592</v>
      </c>
      <c r="K185" s="2170">
        <v>1489</v>
      </c>
      <c r="L185" s="2170">
        <v>1413</v>
      </c>
      <c r="M185" s="2170">
        <v>1464</v>
      </c>
      <c r="N185" s="2170">
        <v>1374</v>
      </c>
      <c r="O185" s="2170">
        <v>1343</v>
      </c>
      <c r="P185" s="2170">
        <v>1164</v>
      </c>
      <c r="Q185" s="2170">
        <v>1017</v>
      </c>
      <c r="R185" s="509"/>
      <c r="S185" s="509"/>
    </row>
    <row r="186" spans="3:27">
      <c r="C186" s="509"/>
      <c r="D186" s="2140"/>
      <c r="E186" s="2140"/>
      <c r="F186" s="519" t="s">
        <v>1249</v>
      </c>
      <c r="G186" s="519" t="s">
        <v>1258</v>
      </c>
      <c r="H186" s="509">
        <v>10</v>
      </c>
      <c r="I186" s="2170">
        <f t="shared" si="42"/>
        <v>1074</v>
      </c>
      <c r="J186" s="2170">
        <v>1265</v>
      </c>
      <c r="K186" s="2170">
        <v>1186</v>
      </c>
      <c r="L186" s="2170">
        <v>1128</v>
      </c>
      <c r="M186" s="2170">
        <v>1167</v>
      </c>
      <c r="N186" s="2170">
        <v>1098</v>
      </c>
      <c r="O186" s="2170">
        <v>1074</v>
      </c>
      <c r="P186" s="2170">
        <v>936</v>
      </c>
      <c r="Q186" s="2170">
        <v>823</v>
      </c>
      <c r="R186" s="509"/>
      <c r="S186" s="509"/>
    </row>
    <row r="187" spans="3:27">
      <c r="C187" s="509"/>
      <c r="D187" s="2173"/>
      <c r="E187" s="2132"/>
      <c r="F187" s="2131" t="s">
        <v>180</v>
      </c>
      <c r="G187" s="519" t="s">
        <v>1259</v>
      </c>
      <c r="H187" s="519">
        <v>11</v>
      </c>
      <c r="I187" s="2170">
        <f t="shared" si="42"/>
        <v>990</v>
      </c>
      <c r="J187" s="2170">
        <v>1356</v>
      </c>
      <c r="K187" s="2170">
        <v>1271</v>
      </c>
      <c r="L187" s="2170">
        <v>1189</v>
      </c>
      <c r="M187" s="2170">
        <v>1199</v>
      </c>
      <c r="N187" s="2170">
        <v>1119</v>
      </c>
      <c r="O187" s="2170">
        <v>990</v>
      </c>
      <c r="P187" s="2170">
        <v>789</v>
      </c>
      <c r="Q187" s="2170">
        <v>556</v>
      </c>
      <c r="R187" s="509"/>
      <c r="S187" s="509"/>
    </row>
    <row r="188" spans="3:27">
      <c r="C188" s="509"/>
      <c r="D188" s="2174" t="s">
        <v>1256</v>
      </c>
      <c r="E188" s="2140" t="s">
        <v>1252</v>
      </c>
      <c r="F188" s="2131" t="s">
        <v>1247</v>
      </c>
      <c r="G188" s="519" t="s">
        <v>1260</v>
      </c>
      <c r="H188" s="519">
        <v>12</v>
      </c>
      <c r="I188" s="2170">
        <f t="shared" si="42"/>
        <v>1137</v>
      </c>
      <c r="J188" s="2170">
        <v>1571</v>
      </c>
      <c r="K188" s="2170">
        <v>1470</v>
      </c>
      <c r="L188" s="2170">
        <v>1373</v>
      </c>
      <c r="M188" s="2170">
        <v>1385</v>
      </c>
      <c r="N188" s="2170">
        <v>1290</v>
      </c>
      <c r="O188" s="2170">
        <v>1137</v>
      </c>
      <c r="P188" s="2170">
        <v>900</v>
      </c>
      <c r="Q188" s="2170">
        <v>625</v>
      </c>
      <c r="R188" s="509"/>
      <c r="S188" s="509"/>
    </row>
    <row r="189" spans="3:27">
      <c r="C189" s="509"/>
      <c r="D189" s="2175"/>
      <c r="E189" s="2159"/>
      <c r="F189" s="2131" t="s">
        <v>1249</v>
      </c>
      <c r="G189" s="519" t="s">
        <v>1261</v>
      </c>
      <c r="H189" s="509">
        <v>13</v>
      </c>
      <c r="I189" s="2170">
        <f t="shared" si="42"/>
        <v>916</v>
      </c>
      <c r="J189" s="2170">
        <v>1249</v>
      </c>
      <c r="K189" s="2170">
        <v>1172</v>
      </c>
      <c r="L189" s="2170">
        <v>1097</v>
      </c>
      <c r="M189" s="2170">
        <v>1106</v>
      </c>
      <c r="N189" s="2170">
        <v>1033</v>
      </c>
      <c r="O189" s="2170">
        <v>916</v>
      </c>
      <c r="P189" s="2170">
        <v>733</v>
      </c>
      <c r="Q189" s="2170">
        <v>521</v>
      </c>
      <c r="R189" s="509"/>
      <c r="S189" s="509"/>
    </row>
    <row r="190" spans="3:27">
      <c r="C190" s="509"/>
      <c r="D190" s="2132"/>
      <c r="E190" s="2176"/>
      <c r="F190" s="519" t="s">
        <v>180</v>
      </c>
      <c r="G190" s="519" t="s">
        <v>1262</v>
      </c>
      <c r="H190" s="519">
        <v>14</v>
      </c>
      <c r="I190" s="2170">
        <f t="shared" si="42"/>
        <v>901</v>
      </c>
      <c r="J190" s="2170">
        <v>1024</v>
      </c>
      <c r="K190" s="2170">
        <v>966</v>
      </c>
      <c r="L190" s="2170">
        <v>916</v>
      </c>
      <c r="M190" s="2170">
        <v>941</v>
      </c>
      <c r="N190" s="2170">
        <v>856</v>
      </c>
      <c r="O190" s="2170">
        <v>901</v>
      </c>
      <c r="P190" s="2170">
        <v>869</v>
      </c>
      <c r="Q190" s="2170">
        <v>888</v>
      </c>
      <c r="R190" s="509"/>
      <c r="S190" s="509"/>
    </row>
    <row r="191" spans="3:27">
      <c r="C191" s="509"/>
      <c r="D191" s="2140" t="s">
        <v>1263</v>
      </c>
      <c r="E191" s="2177" t="s">
        <v>1246</v>
      </c>
      <c r="F191" s="519" t="s">
        <v>1247</v>
      </c>
      <c r="G191" s="519" t="s">
        <v>1264</v>
      </c>
      <c r="H191" s="519">
        <v>15</v>
      </c>
      <c r="I191" s="2170">
        <f t="shared" si="42"/>
        <v>1033</v>
      </c>
      <c r="J191" s="2170">
        <v>1178</v>
      </c>
      <c r="K191" s="2170">
        <v>1110</v>
      </c>
      <c r="L191" s="2170">
        <v>1050</v>
      </c>
      <c r="M191" s="2170">
        <v>1080</v>
      </c>
      <c r="N191" s="2170">
        <v>97</v>
      </c>
      <c r="O191" s="2170">
        <v>1033</v>
      </c>
      <c r="P191" s="2170">
        <v>995</v>
      </c>
      <c r="Q191" s="2170">
        <v>1017</v>
      </c>
      <c r="R191" s="509"/>
      <c r="S191" s="509"/>
    </row>
    <row r="192" spans="3:27">
      <c r="C192" s="509"/>
      <c r="D192" s="2140"/>
      <c r="E192" s="2177"/>
      <c r="F192" s="519" t="s">
        <v>1249</v>
      </c>
      <c r="G192" s="519" t="s">
        <v>1265</v>
      </c>
      <c r="H192" s="509">
        <v>16</v>
      </c>
      <c r="I192" s="2170">
        <f t="shared" si="42"/>
        <v>835</v>
      </c>
      <c r="J192" s="2170">
        <v>947</v>
      </c>
      <c r="K192" s="2170">
        <v>894</v>
      </c>
      <c r="L192" s="2170">
        <v>849</v>
      </c>
      <c r="M192" s="2170">
        <v>871</v>
      </c>
      <c r="N192" s="2170">
        <v>794</v>
      </c>
      <c r="O192" s="2170">
        <v>835</v>
      </c>
      <c r="P192" s="2170">
        <v>806</v>
      </c>
      <c r="Q192" s="2170">
        <v>823</v>
      </c>
      <c r="R192" s="509"/>
      <c r="S192" s="509"/>
    </row>
    <row r="193" spans="3:25">
      <c r="C193" s="509"/>
      <c r="D193" s="2173"/>
      <c r="E193" s="2132"/>
      <c r="F193" s="2131" t="s">
        <v>180</v>
      </c>
      <c r="G193" s="519" t="s">
        <v>1266</v>
      </c>
      <c r="H193" s="519">
        <v>17</v>
      </c>
      <c r="I193" s="2170">
        <f t="shared" si="42"/>
        <v>727</v>
      </c>
      <c r="J193" s="2170">
        <v>1006</v>
      </c>
      <c r="K193" s="2170">
        <v>950</v>
      </c>
      <c r="L193" s="2170">
        <v>882</v>
      </c>
      <c r="M193" s="2170">
        <v>874</v>
      </c>
      <c r="N193" s="2170">
        <v>784</v>
      </c>
      <c r="O193" s="2170">
        <v>727</v>
      </c>
      <c r="P193" s="2170">
        <v>646</v>
      </c>
      <c r="Q193" s="2170">
        <v>556</v>
      </c>
      <c r="R193" s="509"/>
      <c r="S193" s="509"/>
    </row>
    <row r="194" spans="3:25">
      <c r="C194" s="509"/>
      <c r="D194" s="2174" t="s">
        <v>1263</v>
      </c>
      <c r="E194" s="2140" t="s">
        <v>1252</v>
      </c>
      <c r="F194" s="2131" t="s">
        <v>1247</v>
      </c>
      <c r="G194" s="519" t="s">
        <v>1267</v>
      </c>
      <c r="H194" s="519">
        <v>18</v>
      </c>
      <c r="I194" s="2170">
        <f t="shared" si="42"/>
        <v>828</v>
      </c>
      <c r="J194" s="2170">
        <v>1157</v>
      </c>
      <c r="K194" s="2170">
        <v>1091</v>
      </c>
      <c r="L194" s="2170">
        <v>1010</v>
      </c>
      <c r="M194" s="2170">
        <v>1001</v>
      </c>
      <c r="N194" s="2170">
        <v>895</v>
      </c>
      <c r="O194" s="2170">
        <v>828</v>
      </c>
      <c r="P194" s="2170">
        <v>731</v>
      </c>
      <c r="Q194" s="2170">
        <v>625</v>
      </c>
      <c r="R194" s="509"/>
      <c r="S194" s="509"/>
    </row>
    <row r="195" spans="3:25">
      <c r="C195" s="509"/>
      <c r="D195" s="2175"/>
      <c r="E195" s="2159"/>
      <c r="F195" s="2131" t="s">
        <v>1249</v>
      </c>
      <c r="G195" s="519" t="s">
        <v>1268</v>
      </c>
      <c r="H195" s="519">
        <v>19</v>
      </c>
      <c r="I195" s="2170">
        <f>HLOOKUP($I$177,$J$177:$Q$195,H195)</f>
        <v>677</v>
      </c>
      <c r="J195" s="2170">
        <v>931</v>
      </c>
      <c r="K195" s="2170">
        <v>880</v>
      </c>
      <c r="L195" s="2170">
        <v>818</v>
      </c>
      <c r="M195" s="2170">
        <v>811</v>
      </c>
      <c r="N195" s="2170">
        <v>729</v>
      </c>
      <c r="O195" s="2170">
        <v>677</v>
      </c>
      <c r="P195" s="2170">
        <v>603</v>
      </c>
      <c r="Q195" s="2170">
        <v>521</v>
      </c>
      <c r="R195" s="509"/>
      <c r="S195" s="509"/>
    </row>
    <row r="196" spans="3:25" hidden="1">
      <c r="C196" s="509" t="s">
        <v>1747</v>
      </c>
      <c r="D196" s="2178" t="str">
        <f>計画書_後!F65</f>
        <v>－</v>
      </c>
      <c r="E196" s="2178" t="str">
        <f>計画書_後!K65</f>
        <v>－</v>
      </c>
      <c r="F196" s="509" t="str">
        <f>計画書_後!N61</f>
        <v>算定プログラムによる評価</v>
      </c>
      <c r="G196" s="2179" t="str">
        <f>IFERROR(D196&amp;E196&amp;計画書_後!N61,"-")</f>
        <v>－－算定プログラムによる評価</v>
      </c>
      <c r="H196" s="2179" t="str">
        <f>IFERROR(VLOOKUP(G196,G178:H195,2,0),"-")</f>
        <v>-</v>
      </c>
      <c r="I196" s="2180">
        <f>IF(H196="-",HLOOKUP($I$177,$T$177:$AA$179,2,FALSE),VLOOKUP(H196,$H$178:$I$195,2))</f>
        <v>1343</v>
      </c>
      <c r="J196" t="s">
        <v>1746</v>
      </c>
      <c r="K196" s="2178" t="str">
        <f>計画書_前!F65</f>
        <v>－</v>
      </c>
      <c r="L196" s="2178" t="str">
        <f>計画書_前!K65</f>
        <v>－</v>
      </c>
      <c r="M196" s="509" t="str">
        <f>計画書_前!N61</f>
        <v>算定プログラムによる評価</v>
      </c>
      <c r="N196" s="2179" t="str">
        <f>IFERROR(K196&amp;L196&amp;計画書_前!N61,"-")</f>
        <v>－－算定プログラムによる評価</v>
      </c>
      <c r="O196" s="2179" t="str">
        <f>IFERROR(VLOOKUP(N196,G178:H195,2,0),"-")</f>
        <v>-</v>
      </c>
      <c r="P196" s="2180">
        <f>IF(O196="-",HLOOKUP($I$177,$T$177:$AA$179,2,FALSE),VLOOKUP(O196,$H$178:$I$195,2))</f>
        <v>1343</v>
      </c>
      <c r="S196" s="509" t="s">
        <v>1745</v>
      </c>
      <c r="T196" s="2178" t="str">
        <f>計画書_対象外!F65</f>
        <v>－</v>
      </c>
      <c r="U196" s="2178" t="str">
        <f>計画書_対象外!K65</f>
        <v>－</v>
      </c>
      <c r="V196" s="509" t="str">
        <f>計画書_対象外!N61</f>
        <v>算定プログラムによる評価</v>
      </c>
      <c r="W196" s="2179" t="str">
        <f>IFERROR(T196&amp;U196&amp;計画書_対象外!N61,"-")</f>
        <v>－－算定プログラムによる評価</v>
      </c>
      <c r="X196" s="2179" t="str">
        <f>IFERROR(VLOOKUP(W196,G178:H195,2,0),"-")</f>
        <v>-</v>
      </c>
      <c r="Y196" s="2180">
        <f>IF(X196="-",HLOOKUP($I$177,$T$177:$AA$179,2,FALSE),VLOOKUP(X196,$H$178:$I$195,2))</f>
        <v>1343</v>
      </c>
    </row>
    <row r="197" spans="3:25" hidden="1">
      <c r="C197" s="509"/>
      <c r="D197" s="509"/>
      <c r="E197" s="509"/>
      <c r="F197" s="509"/>
      <c r="G197" s="509" t="str">
        <f>D196&amp;E196&amp;0</f>
        <v>－－0</v>
      </c>
      <c r="H197" s="2179" t="str">
        <f>IFERROR(VLOOKUP(G197,G178:H195,2,0),"-")</f>
        <v>-</v>
      </c>
      <c r="I197" s="2180">
        <f>IF(H197="-",HLOOKUP($I$177,$T$177:$AA$179,3,FALSE),VLOOKUP(H197,$H$178:$I$195,2))</f>
        <v>1163</v>
      </c>
      <c r="K197" s="509"/>
      <c r="L197" s="509"/>
      <c r="M197" s="509"/>
      <c r="N197" s="509" t="str">
        <f>K196&amp;L196&amp;0</f>
        <v>－－0</v>
      </c>
      <c r="O197" s="2179" t="str">
        <f>IFERROR(VLOOKUP(N197,G178:H195,2,0),"-")</f>
        <v>-</v>
      </c>
      <c r="P197" s="2180">
        <f>IF(O197="-",HLOOKUP($I$177,$T$177:$AA$179,3,FALSE),VLOOKUP(O197,$H$178:$I$195,2))</f>
        <v>1163</v>
      </c>
      <c r="S197" s="509"/>
      <c r="T197" s="509"/>
      <c r="U197" s="509"/>
      <c r="V197" s="509"/>
      <c r="W197" s="509" t="str">
        <f>T196&amp;U196&amp;0</f>
        <v>－－0</v>
      </c>
      <c r="X197" s="2179" t="str">
        <f>IFERROR(VLOOKUP(W197,G178:H195,2,0),"-")</f>
        <v>-</v>
      </c>
      <c r="Y197" s="2180">
        <f>IF(X197="-",HLOOKUP($I$177,$T$177:$AA$179,3,FALSE),VLOOKUP(X197,$H$178:$I$195,2))</f>
        <v>1163</v>
      </c>
    </row>
    <row r="198" spans="3:25">
      <c r="C198" s="509"/>
      <c r="D198" s="1480"/>
      <c r="E198" s="1457"/>
      <c r="F198" s="1457"/>
      <c r="G198" s="1457"/>
      <c r="H198" s="1457"/>
      <c r="I198" s="1987"/>
      <c r="J198" s="1531"/>
      <c r="K198" s="1457"/>
      <c r="L198" s="1457"/>
      <c r="M198" s="1457"/>
      <c r="N198" s="1457"/>
      <c r="O198" s="1457"/>
      <c r="P198" s="1457"/>
      <c r="Q198" s="1457"/>
      <c r="R198" s="509"/>
      <c r="S198" s="509"/>
    </row>
    <row r="199" spans="3:25">
      <c r="C199" s="1541" t="s">
        <v>243</v>
      </c>
      <c r="D199" s="1457"/>
      <c r="E199" s="1457"/>
      <c r="F199" s="1457"/>
      <c r="G199" s="1457"/>
      <c r="H199" s="1457"/>
      <c r="I199" s="1457"/>
      <c r="J199" s="1457"/>
      <c r="K199" s="1457"/>
      <c r="L199" s="1457"/>
      <c r="M199" s="1457"/>
      <c r="N199" s="1457"/>
      <c r="O199" s="1457"/>
      <c r="P199" s="1457"/>
      <c r="Q199" s="1457"/>
    </row>
    <row r="200" spans="3:25">
      <c r="C200" s="1542"/>
      <c r="D200" s="1457"/>
      <c r="E200" s="1457"/>
      <c r="F200" s="1457"/>
      <c r="G200" s="1457"/>
      <c r="H200" s="1457"/>
      <c r="I200" s="1457"/>
      <c r="J200" s="1457"/>
      <c r="K200" s="1457"/>
      <c r="L200" s="1457"/>
      <c r="M200" s="1457"/>
      <c r="N200" s="1457"/>
      <c r="O200" s="1457"/>
      <c r="P200" s="1457"/>
      <c r="Q200" s="1457"/>
    </row>
    <row r="201" spans="3:25">
      <c r="C201" s="1485" t="s">
        <v>244</v>
      </c>
      <c r="D201" s="1457"/>
      <c r="E201" s="1457"/>
      <c r="F201" s="1457"/>
      <c r="G201" s="1457"/>
      <c r="H201" s="1457"/>
      <c r="I201" s="1487" t="s">
        <v>484</v>
      </c>
      <c r="J201" s="1483"/>
      <c r="K201" s="1488"/>
      <c r="L201" s="1487" t="s">
        <v>485</v>
      </c>
      <c r="M201" s="1483"/>
      <c r="N201" s="1488"/>
      <c r="O201" s="1487" t="s">
        <v>486</v>
      </c>
      <c r="P201" s="1483"/>
      <c r="Q201" s="1488"/>
    </row>
    <row r="202" spans="3:25">
      <c r="C202" s="1457"/>
      <c r="D202" s="1543" t="s">
        <v>245</v>
      </c>
      <c r="E202" s="1457"/>
      <c r="F202" s="1457"/>
      <c r="G202" s="1519"/>
      <c r="H202" s="1519"/>
      <c r="I202" s="1494" t="s">
        <v>246</v>
      </c>
      <c r="J202" s="1494" t="s">
        <v>247</v>
      </c>
      <c r="K202" s="1494" t="s">
        <v>248</v>
      </c>
      <c r="L202" s="1494" t="s">
        <v>246</v>
      </c>
      <c r="M202" s="1494" t="s">
        <v>247</v>
      </c>
      <c r="N202" s="1494" t="s">
        <v>248</v>
      </c>
      <c r="O202" s="1494" t="s">
        <v>246</v>
      </c>
      <c r="P202" s="1494" t="s">
        <v>247</v>
      </c>
      <c r="Q202" s="1494" t="s">
        <v>248</v>
      </c>
    </row>
    <row r="203" spans="3:25">
      <c r="C203" s="1457"/>
      <c r="D203" s="1457"/>
      <c r="E203" s="1489" t="s">
        <v>249</v>
      </c>
      <c r="F203" s="1537"/>
      <c r="G203" s="1519">
        <v>1</v>
      </c>
      <c r="H203" s="1519"/>
      <c r="I203" s="1544">
        <v>60</v>
      </c>
      <c r="J203" s="1544">
        <v>60</v>
      </c>
      <c r="K203" s="1544">
        <v>60</v>
      </c>
      <c r="L203" s="1544">
        <v>60</v>
      </c>
      <c r="M203" s="1544">
        <v>60</v>
      </c>
      <c r="N203" s="1544">
        <v>60</v>
      </c>
      <c r="O203" s="1544">
        <v>60</v>
      </c>
      <c r="P203" s="1544">
        <v>60</v>
      </c>
      <c r="Q203" s="1544">
        <v>60</v>
      </c>
    </row>
    <row r="204" spans="3:25">
      <c r="C204" s="1457"/>
      <c r="D204" s="1457"/>
      <c r="E204" s="1489" t="s">
        <v>521</v>
      </c>
      <c r="F204" s="1537"/>
      <c r="G204" s="1519">
        <v>2</v>
      </c>
      <c r="H204" s="1519"/>
      <c r="I204" s="1544">
        <v>60</v>
      </c>
      <c r="J204" s="1544">
        <v>60</v>
      </c>
      <c r="K204" s="1544">
        <v>60</v>
      </c>
      <c r="L204" s="1544">
        <v>60</v>
      </c>
      <c r="M204" s="1544">
        <v>60</v>
      </c>
      <c r="N204" s="1544">
        <v>60</v>
      </c>
      <c r="O204" s="1544">
        <v>60</v>
      </c>
      <c r="P204" s="1544">
        <v>60</v>
      </c>
      <c r="Q204" s="1544">
        <v>60</v>
      </c>
    </row>
    <row r="205" spans="3:25">
      <c r="C205" s="1457"/>
      <c r="D205" s="1457"/>
      <c r="E205" s="1489" t="s">
        <v>523</v>
      </c>
      <c r="F205" s="1537"/>
      <c r="G205" s="1519">
        <v>3</v>
      </c>
      <c r="H205" s="1519"/>
      <c r="I205" s="1544">
        <v>30</v>
      </c>
      <c r="J205" s="1544">
        <v>30</v>
      </c>
      <c r="K205" s="1544">
        <v>30</v>
      </c>
      <c r="L205" s="1544">
        <v>30</v>
      </c>
      <c r="M205" s="1544">
        <v>30</v>
      </c>
      <c r="N205" s="1544">
        <v>30</v>
      </c>
      <c r="O205" s="1544">
        <v>30</v>
      </c>
      <c r="P205" s="1544">
        <v>30</v>
      </c>
      <c r="Q205" s="1544">
        <v>30</v>
      </c>
    </row>
    <row r="206" spans="3:25">
      <c r="C206" s="1457"/>
      <c r="D206" s="1457"/>
      <c r="E206" s="1489" t="s">
        <v>525</v>
      </c>
      <c r="F206" s="1537"/>
      <c r="G206" s="1519">
        <v>4</v>
      </c>
      <c r="H206" s="1519"/>
      <c r="I206" s="1544">
        <v>30</v>
      </c>
      <c r="J206" s="1544">
        <v>30</v>
      </c>
      <c r="K206" s="1544">
        <v>30</v>
      </c>
      <c r="L206" s="1544">
        <v>30</v>
      </c>
      <c r="M206" s="1544">
        <v>30</v>
      </c>
      <c r="N206" s="1544">
        <v>30</v>
      </c>
      <c r="O206" s="1544">
        <v>30</v>
      </c>
      <c r="P206" s="1544">
        <v>30</v>
      </c>
      <c r="Q206" s="1544">
        <v>30</v>
      </c>
    </row>
    <row r="207" spans="3:25">
      <c r="C207" s="1457"/>
      <c r="D207" s="1457"/>
      <c r="E207" s="1489" t="s">
        <v>819</v>
      </c>
      <c r="F207" s="1537"/>
      <c r="G207" s="1519">
        <v>5</v>
      </c>
      <c r="H207" s="1519"/>
      <c r="I207" s="1544">
        <v>60</v>
      </c>
      <c r="J207" s="1544">
        <v>60</v>
      </c>
      <c r="K207" s="1544">
        <v>60</v>
      </c>
      <c r="L207" s="1544">
        <v>60</v>
      </c>
      <c r="M207" s="1544">
        <v>60</v>
      </c>
      <c r="N207" s="1544">
        <v>60</v>
      </c>
      <c r="O207" s="1544">
        <v>60</v>
      </c>
      <c r="P207" s="1544">
        <v>60</v>
      </c>
      <c r="Q207" s="1544">
        <v>60</v>
      </c>
    </row>
    <row r="208" spans="3:25">
      <c r="C208" s="1457"/>
      <c r="D208" s="1457"/>
      <c r="E208" s="1489" t="s">
        <v>535</v>
      </c>
      <c r="F208" s="1537"/>
      <c r="G208" s="1519">
        <v>6</v>
      </c>
      <c r="H208" s="1519"/>
      <c r="I208" s="1544">
        <v>30</v>
      </c>
      <c r="J208" s="1544">
        <v>30</v>
      </c>
      <c r="K208" s="1544">
        <v>30</v>
      </c>
      <c r="L208" s="1544">
        <v>30</v>
      </c>
      <c r="M208" s="1544">
        <v>30</v>
      </c>
      <c r="N208" s="1544">
        <v>30</v>
      </c>
      <c r="O208" s="1544">
        <v>30</v>
      </c>
      <c r="P208" s="1544">
        <v>30</v>
      </c>
      <c r="Q208" s="1544">
        <v>30</v>
      </c>
    </row>
    <row r="209" spans="3:17">
      <c r="C209" s="1457"/>
      <c r="D209" s="1457"/>
      <c r="E209" s="1489" t="s">
        <v>529</v>
      </c>
      <c r="F209" s="1537"/>
      <c r="G209" s="1519">
        <v>7</v>
      </c>
      <c r="H209" s="1519"/>
      <c r="I209" s="1544">
        <v>60</v>
      </c>
      <c r="J209" s="1544">
        <v>60</v>
      </c>
      <c r="K209" s="1544">
        <v>60</v>
      </c>
      <c r="L209" s="1544">
        <v>60</v>
      </c>
      <c r="M209" s="1544">
        <v>60</v>
      </c>
      <c r="N209" s="1544">
        <v>60</v>
      </c>
      <c r="O209" s="1544">
        <v>60</v>
      </c>
      <c r="P209" s="1544">
        <v>60</v>
      </c>
      <c r="Q209" s="1544">
        <v>60</v>
      </c>
    </row>
    <row r="210" spans="3:17">
      <c r="C210" s="1457"/>
      <c r="D210" s="1457"/>
      <c r="E210" s="1489" t="s">
        <v>820</v>
      </c>
      <c r="F210" s="1537"/>
      <c r="G210" s="1519">
        <v>8</v>
      </c>
      <c r="H210" s="1519"/>
      <c r="I210" s="1544">
        <v>60</v>
      </c>
      <c r="J210" s="1544">
        <v>60</v>
      </c>
      <c r="K210" s="1544">
        <v>60</v>
      </c>
      <c r="L210" s="1544">
        <v>60</v>
      </c>
      <c r="M210" s="1544">
        <v>60</v>
      </c>
      <c r="N210" s="1544">
        <v>60</v>
      </c>
      <c r="O210" s="1544">
        <v>60</v>
      </c>
      <c r="P210" s="1544">
        <v>60</v>
      </c>
      <c r="Q210" s="1544">
        <v>60</v>
      </c>
    </row>
    <row r="211" spans="3:17">
      <c r="C211" s="1457"/>
      <c r="D211" s="1457"/>
      <c r="E211" s="1489" t="s">
        <v>533</v>
      </c>
      <c r="F211" s="1537"/>
      <c r="G211" s="1519">
        <v>9</v>
      </c>
      <c r="H211" s="1519"/>
      <c r="I211" s="1544">
        <v>30</v>
      </c>
      <c r="J211" s="1544">
        <v>60</v>
      </c>
      <c r="K211" s="1544">
        <v>90</v>
      </c>
      <c r="L211" s="1544">
        <v>30</v>
      </c>
      <c r="M211" s="1544">
        <v>60</v>
      </c>
      <c r="N211" s="1544">
        <v>90</v>
      </c>
      <c r="O211" s="1544">
        <v>30</v>
      </c>
      <c r="P211" s="1544">
        <v>60</v>
      </c>
      <c r="Q211" s="1544">
        <v>90</v>
      </c>
    </row>
    <row r="212" spans="3:17">
      <c r="C212" s="1485"/>
      <c r="D212" s="1485"/>
      <c r="E212" s="1457"/>
      <c r="F212" s="1457"/>
      <c r="G212" s="1457"/>
      <c r="H212" s="1457"/>
      <c r="I212" s="1456"/>
      <c r="J212" s="1456"/>
      <c r="K212" s="1456"/>
      <c r="L212" s="1456"/>
      <c r="M212" s="1456"/>
      <c r="N212" s="1456"/>
      <c r="O212" s="1456"/>
      <c r="P212" s="1456"/>
      <c r="Q212" s="1456"/>
    </row>
    <row r="213" spans="3:17">
      <c r="C213" s="1485" t="s">
        <v>125</v>
      </c>
      <c r="D213" s="1485"/>
      <c r="E213" s="1457"/>
      <c r="F213" s="1457"/>
      <c r="G213" s="1457"/>
      <c r="H213" s="1457"/>
      <c r="I213" s="515" t="s">
        <v>250</v>
      </c>
      <c r="J213" s="1303" t="s">
        <v>251</v>
      </c>
      <c r="K213" s="1303" t="s">
        <v>252</v>
      </c>
      <c r="L213" s="515" t="s">
        <v>250</v>
      </c>
      <c r="M213" s="1303" t="s">
        <v>251</v>
      </c>
      <c r="N213" s="1303" t="s">
        <v>252</v>
      </c>
      <c r="O213" s="515" t="s">
        <v>250</v>
      </c>
      <c r="P213" s="1303" t="s">
        <v>251</v>
      </c>
      <c r="Q213" s="1303" t="s">
        <v>252</v>
      </c>
    </row>
    <row r="214" spans="3:17">
      <c r="C214" s="1457"/>
      <c r="D214" s="1457" t="s">
        <v>199</v>
      </c>
      <c r="E214" s="1457" t="s">
        <v>126</v>
      </c>
      <c r="F214" s="1457" t="s">
        <v>200</v>
      </c>
      <c r="G214" s="1457"/>
      <c r="H214" s="1457"/>
      <c r="I214" s="1545">
        <v>0.56699999999999995</v>
      </c>
      <c r="J214" s="1545">
        <v>0</v>
      </c>
      <c r="K214" s="1545">
        <v>0</v>
      </c>
      <c r="L214" s="1545">
        <v>0.77200000000000002</v>
      </c>
      <c r="M214" s="1545">
        <v>0</v>
      </c>
      <c r="N214" s="1545">
        <v>0</v>
      </c>
      <c r="O214" s="1545">
        <v>0.69599999999999995</v>
      </c>
      <c r="P214" s="1545">
        <v>0</v>
      </c>
      <c r="Q214" s="1545">
        <v>0</v>
      </c>
    </row>
    <row r="215" spans="3:17">
      <c r="C215" s="1457"/>
      <c r="D215" s="1457"/>
      <c r="E215" s="1457" t="s">
        <v>128</v>
      </c>
      <c r="F215" s="1457" t="s">
        <v>200</v>
      </c>
      <c r="G215" s="1457"/>
      <c r="H215" s="1457"/>
      <c r="I215" s="1545">
        <v>0</v>
      </c>
      <c r="J215" s="1545">
        <v>0</v>
      </c>
      <c r="K215" s="1545">
        <v>0.56699999999999995</v>
      </c>
      <c r="L215" s="1545">
        <v>0</v>
      </c>
      <c r="M215" s="1545">
        <v>0</v>
      </c>
      <c r="N215" s="1545">
        <v>0.77200000000000002</v>
      </c>
      <c r="O215" s="1545">
        <v>0</v>
      </c>
      <c r="P215" s="1545">
        <v>0</v>
      </c>
      <c r="Q215" s="1545">
        <v>0.69599999999999995</v>
      </c>
    </row>
    <row r="216" spans="3:17">
      <c r="C216" s="1457"/>
      <c r="D216" s="1457"/>
      <c r="E216" s="1457" t="s">
        <v>129</v>
      </c>
      <c r="F216" s="1457" t="s">
        <v>130</v>
      </c>
      <c r="G216" s="1457"/>
      <c r="H216" s="1457"/>
      <c r="I216" s="1545">
        <v>0.13600000000000001</v>
      </c>
      <c r="J216" s="1545">
        <v>0</v>
      </c>
      <c r="K216" s="1545">
        <v>0.13600000000000001</v>
      </c>
      <c r="L216" s="1545">
        <v>3.7999999999999999E-2</v>
      </c>
      <c r="M216" s="1545">
        <v>0</v>
      </c>
      <c r="N216" s="1545">
        <v>3.7999999999999999E-2</v>
      </c>
      <c r="O216" s="1545">
        <v>0.1</v>
      </c>
      <c r="P216" s="1545">
        <v>0</v>
      </c>
      <c r="Q216" s="1545">
        <v>0.1</v>
      </c>
    </row>
    <row r="217" spans="3:17">
      <c r="C217" s="1546"/>
      <c r="D217" s="1546"/>
      <c r="E217" s="1546" t="s">
        <v>131</v>
      </c>
      <c r="F217" s="1546" t="s">
        <v>130</v>
      </c>
      <c r="G217" s="1546"/>
      <c r="H217" s="1546"/>
      <c r="I217" s="1545"/>
      <c r="J217" s="1545">
        <v>0</v>
      </c>
      <c r="K217" s="1545">
        <v>0</v>
      </c>
      <c r="L217" s="1545"/>
      <c r="M217" s="1545">
        <v>0</v>
      </c>
      <c r="N217" s="1545">
        <v>0</v>
      </c>
      <c r="O217" s="1545"/>
      <c r="P217" s="1545">
        <v>0</v>
      </c>
      <c r="Q217" s="1545">
        <v>0</v>
      </c>
    </row>
    <row r="218" spans="3:17">
      <c r="C218" s="1457"/>
      <c r="D218" s="1457"/>
      <c r="E218" s="1457" t="s">
        <v>132</v>
      </c>
      <c r="F218" s="1457" t="s">
        <v>130</v>
      </c>
      <c r="G218" s="1457"/>
      <c r="H218" s="1457"/>
      <c r="I218" s="1545">
        <v>7.0000000000000007E-2</v>
      </c>
      <c r="J218" s="1545">
        <v>0</v>
      </c>
      <c r="K218" s="1545">
        <v>7.0000000000000007E-2</v>
      </c>
      <c r="L218" s="1545">
        <v>0.10299999999999999</v>
      </c>
      <c r="M218" s="1545">
        <v>0</v>
      </c>
      <c r="N218" s="1545">
        <v>0.10299999999999999</v>
      </c>
      <c r="O218" s="1545">
        <v>7.8E-2</v>
      </c>
      <c r="P218" s="1545">
        <v>0</v>
      </c>
      <c r="Q218" s="1545">
        <v>7.8E-2</v>
      </c>
    </row>
    <row r="219" spans="3:17">
      <c r="C219" s="1457"/>
      <c r="D219" s="1457"/>
      <c r="E219" s="1457" t="s">
        <v>133</v>
      </c>
      <c r="F219" s="1457" t="s">
        <v>130</v>
      </c>
      <c r="G219" s="1457"/>
      <c r="H219" s="1457"/>
      <c r="I219" s="1545">
        <v>5.0000000000000001E-3</v>
      </c>
      <c r="J219" s="1545">
        <v>0</v>
      </c>
      <c r="K219" s="1545">
        <v>5.0000000000000001E-3</v>
      </c>
      <c r="L219" s="1545">
        <v>1.2999999999999999E-2</v>
      </c>
      <c r="M219" s="1545">
        <v>0</v>
      </c>
      <c r="N219" s="1545">
        <v>1.26E-2</v>
      </c>
      <c r="O219" s="1545">
        <v>8.0000000000000002E-3</v>
      </c>
      <c r="P219" s="1545">
        <v>0</v>
      </c>
      <c r="Q219" s="1545">
        <v>8.0000000000000002E-3</v>
      </c>
    </row>
    <row r="220" spans="3:17">
      <c r="C220" s="1457"/>
      <c r="D220" s="1457" t="s">
        <v>201</v>
      </c>
      <c r="E220" s="1457" t="s">
        <v>126</v>
      </c>
      <c r="F220" s="1457" t="s">
        <v>200</v>
      </c>
      <c r="G220" s="1457"/>
      <c r="H220" s="1457"/>
      <c r="I220" s="1545">
        <v>0.35199999999999998</v>
      </c>
      <c r="J220" s="1545">
        <v>0</v>
      </c>
      <c r="K220" s="1545">
        <v>0</v>
      </c>
      <c r="L220" s="1545">
        <v>0.86499999999999999</v>
      </c>
      <c r="M220" s="1545">
        <v>0</v>
      </c>
      <c r="N220" s="1545">
        <v>0</v>
      </c>
      <c r="O220" s="1545">
        <v>0.95799999999999996</v>
      </c>
      <c r="P220" s="1545">
        <v>0</v>
      </c>
      <c r="Q220" s="1545">
        <v>0</v>
      </c>
    </row>
    <row r="221" spans="3:17">
      <c r="C221" s="1457"/>
      <c r="D221" s="1457"/>
      <c r="E221" s="1457" t="s">
        <v>128</v>
      </c>
      <c r="F221" s="1457" t="s">
        <v>200</v>
      </c>
      <c r="G221" s="1457"/>
      <c r="H221" s="1457"/>
      <c r="I221" s="1545">
        <v>0</v>
      </c>
      <c r="J221" s="1545">
        <v>0</v>
      </c>
      <c r="K221" s="1545">
        <v>0.35199999999999998</v>
      </c>
      <c r="L221" s="1545">
        <v>0</v>
      </c>
      <c r="M221" s="1545">
        <v>0</v>
      </c>
      <c r="N221" s="1545">
        <v>0.86499999999999999</v>
      </c>
      <c r="O221" s="1545">
        <v>0</v>
      </c>
      <c r="P221" s="1545">
        <v>0</v>
      </c>
      <c r="Q221" s="1545">
        <v>0.95799999999999996</v>
      </c>
    </row>
    <row r="222" spans="3:17">
      <c r="C222" s="1457"/>
      <c r="D222" s="1457"/>
      <c r="E222" s="1457" t="s">
        <v>129</v>
      </c>
      <c r="F222" s="1457" t="s">
        <v>130</v>
      </c>
      <c r="G222" s="1457"/>
      <c r="H222" s="1457"/>
      <c r="I222" s="1545">
        <v>0.105</v>
      </c>
      <c r="J222" s="1545">
        <v>0</v>
      </c>
      <c r="K222" s="1545">
        <v>0.105</v>
      </c>
      <c r="L222" s="1545">
        <v>5.0000000000000001E-3</v>
      </c>
      <c r="M222" s="1545">
        <v>0</v>
      </c>
      <c r="N222" s="1545">
        <v>5.0000000000000001E-3</v>
      </c>
      <c r="O222" s="1545">
        <v>7.8E-2</v>
      </c>
      <c r="P222" s="1545">
        <v>0</v>
      </c>
      <c r="Q222" s="1545">
        <v>7.8E-2</v>
      </c>
    </row>
    <row r="223" spans="3:17">
      <c r="C223" s="1546"/>
      <c r="D223" s="1546"/>
      <c r="E223" s="1546" t="s">
        <v>131</v>
      </c>
      <c r="F223" s="1546" t="s">
        <v>130</v>
      </c>
      <c r="G223" s="1546"/>
      <c r="H223" s="1546"/>
      <c r="I223" s="1545"/>
      <c r="J223" s="1545">
        <v>0</v>
      </c>
      <c r="K223" s="1545">
        <v>0</v>
      </c>
      <c r="L223" s="1545"/>
      <c r="M223" s="1545">
        <v>0</v>
      </c>
      <c r="N223" s="1545">
        <v>0</v>
      </c>
      <c r="O223" s="1545"/>
      <c r="P223" s="1545">
        <v>0</v>
      </c>
      <c r="Q223" s="1545">
        <v>0</v>
      </c>
    </row>
    <row r="224" spans="3:17">
      <c r="C224" s="1457"/>
      <c r="D224" s="1457"/>
      <c r="E224" s="1457" t="s">
        <v>132</v>
      </c>
      <c r="F224" s="1457" t="s">
        <v>130</v>
      </c>
      <c r="G224" s="1457"/>
      <c r="H224" s="1457"/>
      <c r="I224" s="1545">
        <v>4.4999999999999998E-2</v>
      </c>
      <c r="J224" s="1545">
        <v>0</v>
      </c>
      <c r="K224" s="1545">
        <v>4.4999999999999998E-2</v>
      </c>
      <c r="L224" s="1547">
        <v>0.112</v>
      </c>
      <c r="M224" s="1545">
        <v>0</v>
      </c>
      <c r="N224" s="1547">
        <v>0.112</v>
      </c>
      <c r="O224" s="1545">
        <v>0.11</v>
      </c>
      <c r="P224" s="1545">
        <v>0</v>
      </c>
      <c r="Q224" s="1545">
        <v>0.11</v>
      </c>
    </row>
    <row r="225" spans="3:17">
      <c r="C225" s="1457"/>
      <c r="D225" s="1457"/>
      <c r="E225" s="1457" t="s">
        <v>133</v>
      </c>
      <c r="F225" s="1457" t="s">
        <v>130</v>
      </c>
      <c r="G225" s="1457"/>
      <c r="H225" s="1457"/>
      <c r="I225" s="1545">
        <v>2E-3</v>
      </c>
      <c r="J225" s="1545">
        <v>0</v>
      </c>
      <c r="K225" s="1545">
        <v>2.3999999999999998E-3</v>
      </c>
      <c r="L225" s="1547">
        <v>1.4999999999999999E-2</v>
      </c>
      <c r="M225" s="1545">
        <v>0</v>
      </c>
      <c r="N225" s="1547">
        <v>1.47E-2</v>
      </c>
      <c r="O225" s="1545">
        <v>1.2E-2</v>
      </c>
      <c r="P225" s="1545">
        <v>0</v>
      </c>
      <c r="Q225" s="1545">
        <v>1.167E-2</v>
      </c>
    </row>
    <row r="226" spans="3:17">
      <c r="C226" s="1457"/>
      <c r="D226" s="1457" t="s">
        <v>202</v>
      </c>
      <c r="E226" s="1457" t="s">
        <v>126</v>
      </c>
      <c r="F226" s="1457" t="s">
        <v>203</v>
      </c>
      <c r="G226" s="1457"/>
      <c r="H226" s="1457"/>
      <c r="I226" s="1545">
        <v>0.34200000000000003</v>
      </c>
      <c r="J226" s="1545">
        <v>0</v>
      </c>
      <c r="K226" s="1545">
        <v>0</v>
      </c>
      <c r="L226" s="1547">
        <v>0.88800000000000001</v>
      </c>
      <c r="M226" s="1545">
        <v>0</v>
      </c>
      <c r="N226" s="1547">
        <v>0</v>
      </c>
      <c r="O226" s="1545">
        <v>0.307</v>
      </c>
      <c r="P226" s="1545">
        <v>0</v>
      </c>
      <c r="Q226" s="1545">
        <v>0</v>
      </c>
    </row>
    <row r="227" spans="3:17">
      <c r="C227" s="1457"/>
      <c r="D227" s="1457"/>
      <c r="E227" s="1457" t="s">
        <v>128</v>
      </c>
      <c r="F227" s="1457" t="s">
        <v>200</v>
      </c>
      <c r="G227" s="1457"/>
      <c r="H227" s="1457"/>
      <c r="I227" s="1545">
        <v>0</v>
      </c>
      <c r="J227" s="1545">
        <v>0</v>
      </c>
      <c r="K227" s="1545">
        <v>0.34200000000000003</v>
      </c>
      <c r="L227" s="1547">
        <v>0</v>
      </c>
      <c r="M227" s="1545">
        <v>0</v>
      </c>
      <c r="N227" s="1547">
        <v>0.88800000000000001</v>
      </c>
      <c r="O227" s="1545">
        <v>0</v>
      </c>
      <c r="P227" s="1545">
        <v>0</v>
      </c>
      <c r="Q227" s="1545">
        <v>0.307</v>
      </c>
    </row>
    <row r="228" spans="3:17">
      <c r="C228" s="1457"/>
      <c r="D228" s="1457"/>
      <c r="E228" s="1457" t="s">
        <v>129</v>
      </c>
      <c r="F228" s="1457" t="s">
        <v>130</v>
      </c>
      <c r="G228" s="1457"/>
      <c r="H228" s="1457"/>
      <c r="I228" s="1545">
        <v>7.1999999999999995E-2</v>
      </c>
      <c r="J228" s="1545">
        <v>0</v>
      </c>
      <c r="K228" s="1545">
        <v>7.1999999999999995E-2</v>
      </c>
      <c r="L228" s="1547">
        <v>1.7000000000000001E-2</v>
      </c>
      <c r="M228" s="1545">
        <v>0</v>
      </c>
      <c r="N228" s="1547">
        <v>1.7000000000000001E-2</v>
      </c>
      <c r="O228" s="1545">
        <v>7.0999999999999994E-2</v>
      </c>
      <c r="P228" s="1545">
        <v>0</v>
      </c>
      <c r="Q228" s="1545">
        <v>7.0999999999999994E-2</v>
      </c>
    </row>
    <row r="229" spans="3:17">
      <c r="C229" s="1546"/>
      <c r="D229" s="1546"/>
      <c r="E229" s="1546" t="s">
        <v>131</v>
      </c>
      <c r="F229" s="1546" t="s">
        <v>130</v>
      </c>
      <c r="G229" s="1546"/>
      <c r="H229" s="1546"/>
      <c r="I229" s="1545"/>
      <c r="J229" s="1545">
        <v>0</v>
      </c>
      <c r="K229" s="1545">
        <v>0</v>
      </c>
      <c r="L229" s="1547"/>
      <c r="M229" s="1545">
        <v>0</v>
      </c>
      <c r="N229" s="1547">
        <v>0</v>
      </c>
      <c r="O229" s="1545"/>
      <c r="P229" s="1545">
        <v>0</v>
      </c>
      <c r="Q229" s="1545">
        <v>0</v>
      </c>
    </row>
    <row r="230" spans="3:17">
      <c r="C230" s="1457"/>
      <c r="D230" s="1457"/>
      <c r="E230" s="1457" t="s">
        <v>132</v>
      </c>
      <c r="F230" s="1457" t="s">
        <v>130</v>
      </c>
      <c r="G230" s="1457"/>
      <c r="H230" s="1457"/>
      <c r="I230" s="1545">
        <v>2.4E-2</v>
      </c>
      <c r="J230" s="1545">
        <v>0</v>
      </c>
      <c r="K230" s="1545">
        <v>2.4E-2</v>
      </c>
      <c r="L230" s="1547">
        <v>0.11799999999999999</v>
      </c>
      <c r="M230" s="1545">
        <v>0</v>
      </c>
      <c r="N230" s="1547">
        <v>0.11799999999999999</v>
      </c>
      <c r="O230" s="1545">
        <v>5.2999999999999999E-2</v>
      </c>
      <c r="P230" s="1545">
        <v>0</v>
      </c>
      <c r="Q230" s="1545">
        <v>5.2999999999999999E-2</v>
      </c>
    </row>
    <row r="231" spans="3:17">
      <c r="C231" s="1457"/>
      <c r="D231" s="1457"/>
      <c r="E231" s="1457" t="s">
        <v>133</v>
      </c>
      <c r="F231" s="1457" t="s">
        <v>130</v>
      </c>
      <c r="G231" s="1457"/>
      <c r="H231" s="1457"/>
      <c r="I231" s="1545">
        <v>2E-3</v>
      </c>
      <c r="J231" s="1545">
        <v>0</v>
      </c>
      <c r="K231" s="1545">
        <v>1.8600000000000001E-3</v>
      </c>
      <c r="L231" s="1547">
        <v>1.4999999999999999E-2</v>
      </c>
      <c r="M231" s="1545">
        <v>0</v>
      </c>
      <c r="N231" s="1547">
        <v>1.4800000000000001E-2</v>
      </c>
      <c r="O231" s="1545">
        <v>5.0000000000000001E-3</v>
      </c>
      <c r="P231" s="1545">
        <v>0</v>
      </c>
      <c r="Q231" s="1545">
        <v>4.8300000000000001E-3</v>
      </c>
    </row>
    <row r="232" spans="3:17">
      <c r="C232" s="1457"/>
      <c r="D232" s="1457" t="s">
        <v>204</v>
      </c>
      <c r="E232" s="1457" t="s">
        <v>126</v>
      </c>
      <c r="F232" s="1457" t="s">
        <v>200</v>
      </c>
      <c r="G232" s="1457"/>
      <c r="H232" s="1457"/>
      <c r="I232" s="1545">
        <v>0.34200000000000003</v>
      </c>
      <c r="J232" s="1545">
        <v>0</v>
      </c>
      <c r="K232" s="1545">
        <v>0</v>
      </c>
      <c r="L232" s="1547">
        <v>0.88800000000000001</v>
      </c>
      <c r="M232" s="1545">
        <v>0</v>
      </c>
      <c r="N232" s="1547">
        <v>0</v>
      </c>
      <c r="O232" s="1545">
        <v>0.307</v>
      </c>
      <c r="P232" s="1545">
        <v>0</v>
      </c>
      <c r="Q232" s="1545">
        <v>0</v>
      </c>
    </row>
    <row r="233" spans="3:17">
      <c r="C233" s="1457"/>
      <c r="D233" s="1457"/>
      <c r="E233" s="1457" t="s">
        <v>128</v>
      </c>
      <c r="F233" s="1457" t="s">
        <v>200</v>
      </c>
      <c r="G233" s="1457"/>
      <c r="H233" s="1457"/>
      <c r="I233" s="1545">
        <v>0</v>
      </c>
      <c r="J233" s="1545">
        <v>0</v>
      </c>
      <c r="K233" s="1545">
        <v>0.34200000000000003</v>
      </c>
      <c r="L233" s="1547">
        <v>0</v>
      </c>
      <c r="M233" s="1545">
        <v>0</v>
      </c>
      <c r="N233" s="1547">
        <v>0.88800000000000001</v>
      </c>
      <c r="O233" s="1545">
        <v>0</v>
      </c>
      <c r="P233" s="1545">
        <v>0</v>
      </c>
      <c r="Q233" s="1545">
        <v>0.307</v>
      </c>
    </row>
    <row r="234" spans="3:17">
      <c r="C234" s="1457"/>
      <c r="D234" s="1457"/>
      <c r="E234" s="1457" t="s">
        <v>129</v>
      </c>
      <c r="F234" s="1457" t="s">
        <v>130</v>
      </c>
      <c r="G234" s="1457"/>
      <c r="H234" s="1457"/>
      <c r="I234" s="1545">
        <v>7.1999999999999995E-2</v>
      </c>
      <c r="J234" s="1545">
        <v>0</v>
      </c>
      <c r="K234" s="1545">
        <v>7.1999999999999995E-2</v>
      </c>
      <c r="L234" s="1547">
        <v>1.7000000000000001E-2</v>
      </c>
      <c r="M234" s="1545">
        <v>0</v>
      </c>
      <c r="N234" s="1547">
        <v>1.7000000000000001E-2</v>
      </c>
      <c r="O234" s="1545">
        <v>7.0999999999999994E-2</v>
      </c>
      <c r="P234" s="1545">
        <v>0</v>
      </c>
      <c r="Q234" s="1545">
        <v>7.0999999999999994E-2</v>
      </c>
    </row>
    <row r="235" spans="3:17">
      <c r="C235" s="1546"/>
      <c r="D235" s="1546"/>
      <c r="E235" s="1546" t="s">
        <v>131</v>
      </c>
      <c r="F235" s="1546" t="s">
        <v>130</v>
      </c>
      <c r="G235" s="1546"/>
      <c r="H235" s="1546"/>
      <c r="I235" s="1545"/>
      <c r="J235" s="1545">
        <v>0</v>
      </c>
      <c r="K235" s="1545">
        <v>0</v>
      </c>
      <c r="L235" s="1547"/>
      <c r="M235" s="1545">
        <v>0</v>
      </c>
      <c r="N235" s="1547">
        <v>0</v>
      </c>
      <c r="O235" s="1545"/>
      <c r="P235" s="1545">
        <v>0</v>
      </c>
      <c r="Q235" s="1545">
        <v>0</v>
      </c>
    </row>
    <row r="236" spans="3:17">
      <c r="C236" s="1457"/>
      <c r="D236" s="1457"/>
      <c r="E236" s="1457" t="s">
        <v>132</v>
      </c>
      <c r="F236" s="1457" t="s">
        <v>130</v>
      </c>
      <c r="G236" s="1457"/>
      <c r="H236" s="1457"/>
      <c r="I236" s="1545">
        <v>2.4E-2</v>
      </c>
      <c r="J236" s="1545">
        <v>0</v>
      </c>
      <c r="K236" s="1545">
        <v>2.4E-2</v>
      </c>
      <c r="L236" s="1547">
        <v>0.11799999999999999</v>
      </c>
      <c r="M236" s="1545">
        <v>0</v>
      </c>
      <c r="N236" s="1547">
        <v>0.11799999999999999</v>
      </c>
      <c r="O236" s="1545">
        <v>5.2999999999999999E-2</v>
      </c>
      <c r="P236" s="1545">
        <v>0</v>
      </c>
      <c r="Q236" s="1545">
        <v>5.2999999999999999E-2</v>
      </c>
    </row>
    <row r="237" spans="3:17">
      <c r="C237" s="1457"/>
      <c r="D237" s="1457"/>
      <c r="E237" s="1457" t="s">
        <v>133</v>
      </c>
      <c r="F237" s="1457" t="s">
        <v>130</v>
      </c>
      <c r="G237" s="1457"/>
      <c r="H237" s="1457"/>
      <c r="I237" s="1545">
        <v>2E-3</v>
      </c>
      <c r="J237" s="1545">
        <v>0</v>
      </c>
      <c r="K237" s="1545">
        <v>1.8600000000000001E-3</v>
      </c>
      <c r="L237" s="1547">
        <v>1.4999999999999999E-2</v>
      </c>
      <c r="M237" s="1545">
        <v>0</v>
      </c>
      <c r="N237" s="1547">
        <v>1.4800000000000001E-2</v>
      </c>
      <c r="O237" s="1545">
        <v>5.0000000000000001E-3</v>
      </c>
      <c r="P237" s="1545">
        <v>0</v>
      </c>
      <c r="Q237" s="1545">
        <v>4.8300000000000001E-3</v>
      </c>
    </row>
    <row r="238" spans="3:17">
      <c r="C238" s="1457"/>
      <c r="D238" s="1457" t="s">
        <v>205</v>
      </c>
      <c r="E238" s="1457" t="s">
        <v>126</v>
      </c>
      <c r="F238" s="1457" t="s">
        <v>200</v>
      </c>
      <c r="G238" s="1457"/>
      <c r="H238" s="1457"/>
      <c r="I238" s="1545">
        <v>0.34499999999999997</v>
      </c>
      <c r="J238" s="1545">
        <v>0</v>
      </c>
      <c r="K238" s="1545">
        <v>0</v>
      </c>
      <c r="L238" s="1545">
        <v>0.88800000000000001</v>
      </c>
      <c r="M238" s="1545">
        <v>0</v>
      </c>
      <c r="N238" s="1545">
        <v>0</v>
      </c>
      <c r="O238" s="1545">
        <v>0.86199999999999999</v>
      </c>
      <c r="P238" s="1545">
        <v>0</v>
      </c>
      <c r="Q238" s="1545">
        <v>0</v>
      </c>
    </row>
    <row r="239" spans="3:17">
      <c r="C239" s="1457"/>
      <c r="D239" s="1457"/>
      <c r="E239" s="1457" t="s">
        <v>128</v>
      </c>
      <c r="F239" s="1457" t="s">
        <v>200</v>
      </c>
      <c r="G239" s="1457"/>
      <c r="H239" s="1457"/>
      <c r="I239" s="1545">
        <v>0</v>
      </c>
      <c r="J239" s="1545">
        <v>0</v>
      </c>
      <c r="K239" s="1545">
        <v>0.34499999999999997</v>
      </c>
      <c r="L239" s="1545">
        <v>0</v>
      </c>
      <c r="M239" s="1545">
        <v>0</v>
      </c>
      <c r="N239" s="1545">
        <v>0.88800000000000001</v>
      </c>
      <c r="O239" s="1545">
        <v>0</v>
      </c>
      <c r="P239" s="1545">
        <v>0</v>
      </c>
      <c r="Q239" s="1545">
        <v>0.86199999999999999</v>
      </c>
    </row>
    <row r="240" spans="3:17">
      <c r="C240" s="1457"/>
      <c r="D240" s="1457"/>
      <c r="E240" s="1457" t="s">
        <v>129</v>
      </c>
      <c r="F240" s="1457" t="s">
        <v>130</v>
      </c>
      <c r="G240" s="1457"/>
      <c r="H240" s="1457"/>
      <c r="I240" s="1545">
        <v>0.13900000000000001</v>
      </c>
      <c r="J240" s="1545">
        <v>0</v>
      </c>
      <c r="K240" s="1545">
        <v>0.13900000000000001</v>
      </c>
      <c r="L240" s="1545">
        <v>1.7000000000000001E-2</v>
      </c>
      <c r="M240" s="1545">
        <v>0</v>
      </c>
      <c r="N240" s="1545">
        <v>1.7000000000000001E-2</v>
      </c>
      <c r="O240" s="1545">
        <v>5.8999999999999997E-2</v>
      </c>
      <c r="P240" s="1545">
        <v>0</v>
      </c>
      <c r="Q240" s="1545">
        <v>5.8999999999999997E-2</v>
      </c>
    </row>
    <row r="241" spans="3:17">
      <c r="C241" s="1546"/>
      <c r="D241" s="1546"/>
      <c r="E241" s="1546" t="s">
        <v>131</v>
      </c>
      <c r="F241" s="1546" t="s">
        <v>130</v>
      </c>
      <c r="G241" s="1546"/>
      <c r="H241" s="1546"/>
      <c r="I241" s="1545"/>
      <c r="J241" s="1545">
        <v>0</v>
      </c>
      <c r="K241" s="1545">
        <v>0</v>
      </c>
      <c r="L241" s="1545"/>
      <c r="M241" s="1545">
        <v>0</v>
      </c>
      <c r="N241" s="1545">
        <v>0</v>
      </c>
      <c r="O241" s="1545"/>
      <c r="P241" s="1545">
        <v>0</v>
      </c>
      <c r="Q241" s="1545">
        <v>0</v>
      </c>
    </row>
    <row r="242" spans="3:17">
      <c r="C242" s="1457"/>
      <c r="D242" s="1457"/>
      <c r="E242" s="1457" t="s">
        <v>132</v>
      </c>
      <c r="F242" s="1457" t="s">
        <v>130</v>
      </c>
      <c r="G242" s="1457"/>
      <c r="H242" s="1457"/>
      <c r="I242" s="1545">
        <v>0.04</v>
      </c>
      <c r="J242" s="1545">
        <v>0</v>
      </c>
      <c r="K242" s="1545">
        <v>0.04</v>
      </c>
      <c r="L242" s="1545">
        <v>0.11799999999999999</v>
      </c>
      <c r="M242" s="1545">
        <v>0</v>
      </c>
      <c r="N242" s="1545">
        <v>0.11799999999999999</v>
      </c>
      <c r="O242" s="1545">
        <v>0.1</v>
      </c>
      <c r="P242" s="1545">
        <v>0</v>
      </c>
      <c r="Q242" s="1545">
        <v>0.1</v>
      </c>
    </row>
    <row r="243" spans="3:17">
      <c r="C243" s="1457"/>
      <c r="D243" s="1457"/>
      <c r="E243" s="1457" t="s">
        <v>133</v>
      </c>
      <c r="F243" s="1457" t="s">
        <v>130</v>
      </c>
      <c r="G243" s="1457"/>
      <c r="H243" s="1457"/>
      <c r="I243" s="1545">
        <v>4.0000000000000001E-3</v>
      </c>
      <c r="J243" s="1545">
        <v>0</v>
      </c>
      <c r="K243" s="1545">
        <v>4.3499999999999997E-3</v>
      </c>
      <c r="L243" s="1545">
        <v>1.4999999999999999E-2</v>
      </c>
      <c r="M243" s="1545">
        <v>0</v>
      </c>
      <c r="N243" s="1545">
        <v>1.4800000000000001E-2</v>
      </c>
      <c r="O243" s="1545">
        <v>1.2E-2</v>
      </c>
      <c r="P243" s="1545">
        <v>0</v>
      </c>
      <c r="Q243" s="1545">
        <v>1.227E-2</v>
      </c>
    </row>
    <row r="244" spans="3:17">
      <c r="C244" s="1457"/>
      <c r="D244" s="1457" t="s">
        <v>535</v>
      </c>
      <c r="E244" s="1457" t="s">
        <v>126</v>
      </c>
      <c r="F244" s="1457" t="s">
        <v>200</v>
      </c>
      <c r="G244" s="1457"/>
      <c r="H244" s="1457"/>
      <c r="I244" s="1545">
        <v>0.35399999999999998</v>
      </c>
      <c r="J244" s="1545">
        <v>0</v>
      </c>
      <c r="K244" s="1545">
        <v>0</v>
      </c>
      <c r="L244" s="1545">
        <v>0.77</v>
      </c>
      <c r="M244" s="1545">
        <v>0</v>
      </c>
      <c r="N244" s="1545">
        <v>0</v>
      </c>
      <c r="O244" s="1545">
        <v>0.66900000000000004</v>
      </c>
      <c r="P244" s="1545">
        <v>0</v>
      </c>
      <c r="Q244" s="1545">
        <v>0</v>
      </c>
    </row>
    <row r="245" spans="3:17">
      <c r="C245" s="1457"/>
      <c r="D245" s="1457"/>
      <c r="E245" s="1457" t="s">
        <v>128</v>
      </c>
      <c r="F245" s="1457" t="s">
        <v>200</v>
      </c>
      <c r="G245" s="1457"/>
      <c r="H245" s="1457"/>
      <c r="I245" s="1545">
        <v>0</v>
      </c>
      <c r="J245" s="1545">
        <v>0</v>
      </c>
      <c r="K245" s="1545">
        <v>0.35399999999999998</v>
      </c>
      <c r="L245" s="1545">
        <v>0</v>
      </c>
      <c r="M245" s="1545">
        <v>0</v>
      </c>
      <c r="N245" s="1545">
        <v>0.77</v>
      </c>
      <c r="O245" s="1545">
        <v>0</v>
      </c>
      <c r="P245" s="1545">
        <v>0</v>
      </c>
      <c r="Q245" s="1545">
        <v>0.66900000000000004</v>
      </c>
    </row>
    <row r="246" spans="3:17">
      <c r="C246" s="1457"/>
      <c r="D246" s="1457"/>
      <c r="E246" s="1457" t="s">
        <v>129</v>
      </c>
      <c r="F246" s="1457" t="s">
        <v>130</v>
      </c>
      <c r="G246" s="1457"/>
      <c r="H246" s="1457"/>
      <c r="I246" s="1545">
        <v>8.7999999999999995E-2</v>
      </c>
      <c r="J246" s="1545">
        <v>0</v>
      </c>
      <c r="K246" s="1545">
        <v>8.7999999999999995E-2</v>
      </c>
      <c r="L246" s="1545">
        <v>0.01</v>
      </c>
      <c r="M246" s="1545">
        <v>0</v>
      </c>
      <c r="N246" s="1545">
        <v>0.01</v>
      </c>
      <c r="O246" s="1545">
        <v>7.6999999999999999E-2</v>
      </c>
      <c r="P246" s="1545">
        <v>0</v>
      </c>
      <c r="Q246" s="1545">
        <v>7.6999999999999999E-2</v>
      </c>
    </row>
    <row r="247" spans="3:17">
      <c r="C247" s="1546"/>
      <c r="D247" s="1546"/>
      <c r="E247" s="1546" t="s">
        <v>131</v>
      </c>
      <c r="F247" s="1546" t="s">
        <v>130</v>
      </c>
      <c r="G247" s="1546"/>
      <c r="H247" s="1546"/>
      <c r="I247" s="1545"/>
      <c r="J247" s="1545">
        <v>0</v>
      </c>
      <c r="K247" s="1545">
        <v>0</v>
      </c>
      <c r="L247" s="1545"/>
      <c r="M247" s="1545">
        <v>0</v>
      </c>
      <c r="N247" s="1545">
        <v>0</v>
      </c>
      <c r="O247" s="1545"/>
      <c r="P247" s="1545">
        <v>0</v>
      </c>
      <c r="Q247" s="1545">
        <v>0</v>
      </c>
    </row>
    <row r="248" spans="3:17">
      <c r="C248" s="1457"/>
      <c r="D248" s="1457"/>
      <c r="E248" s="1457" t="s">
        <v>132</v>
      </c>
      <c r="F248" s="1457" t="s">
        <v>130</v>
      </c>
      <c r="G248" s="1457"/>
      <c r="H248" s="1457"/>
      <c r="I248" s="1545">
        <v>3.1E-2</v>
      </c>
      <c r="J248" s="1545">
        <v>0</v>
      </c>
      <c r="K248" s="1545">
        <v>3.1E-2</v>
      </c>
      <c r="L248" s="1545">
        <v>0.108</v>
      </c>
      <c r="M248" s="1545">
        <v>0</v>
      </c>
      <c r="N248" s="1545">
        <v>0.108</v>
      </c>
      <c r="O248" s="1545">
        <v>0.08</v>
      </c>
      <c r="P248" s="1545">
        <v>0</v>
      </c>
      <c r="Q248" s="1545">
        <v>0.08</v>
      </c>
    </row>
    <row r="249" spans="3:17">
      <c r="C249" s="1457"/>
      <c r="D249" s="1457"/>
      <c r="E249" s="1457" t="s">
        <v>133</v>
      </c>
      <c r="F249" s="1457" t="s">
        <v>130</v>
      </c>
      <c r="G249" s="1457"/>
      <c r="H249" s="1457"/>
      <c r="I249" s="1545">
        <v>2E-3</v>
      </c>
      <c r="J249" s="1545">
        <v>0</v>
      </c>
      <c r="K249" s="1545">
        <v>2.0999999999999999E-3</v>
      </c>
      <c r="L249" s="1545">
        <v>8.9999999999999993E-3</v>
      </c>
      <c r="M249" s="1545">
        <v>0</v>
      </c>
      <c r="N249" s="1545">
        <v>9.1500000000000001E-3</v>
      </c>
      <c r="O249" s="1545">
        <v>7.0000000000000001E-3</v>
      </c>
      <c r="P249" s="1545">
        <v>0</v>
      </c>
      <c r="Q249" s="1545">
        <v>6.6899999999999998E-3</v>
      </c>
    </row>
    <row r="250" spans="3:17">
      <c r="C250" s="1457"/>
      <c r="D250" s="1457" t="s">
        <v>206</v>
      </c>
      <c r="E250" s="1457" t="s">
        <v>126</v>
      </c>
      <c r="F250" s="1457" t="s">
        <v>200</v>
      </c>
      <c r="G250" s="1457"/>
      <c r="H250" s="1457"/>
      <c r="I250" s="1545">
        <v>0.317</v>
      </c>
      <c r="J250" s="1545">
        <v>0</v>
      </c>
      <c r="K250" s="1545">
        <v>0</v>
      </c>
      <c r="L250" s="1545">
        <v>0.76600000000000001</v>
      </c>
      <c r="M250" s="1545">
        <v>0</v>
      </c>
      <c r="N250" s="1545">
        <v>0</v>
      </c>
      <c r="O250" s="1545">
        <v>0.81200000000000006</v>
      </c>
      <c r="P250" s="1545">
        <v>0</v>
      </c>
      <c r="Q250" s="1545">
        <v>0</v>
      </c>
    </row>
    <row r="251" spans="3:17">
      <c r="C251" s="1457"/>
      <c r="D251" s="1457"/>
      <c r="E251" s="1457" t="s">
        <v>128</v>
      </c>
      <c r="F251" s="1457" t="s">
        <v>200</v>
      </c>
      <c r="G251" s="1457"/>
      <c r="H251" s="1457"/>
      <c r="I251" s="1545">
        <v>0</v>
      </c>
      <c r="J251" s="1545">
        <v>0</v>
      </c>
      <c r="K251" s="1545">
        <v>0.317</v>
      </c>
      <c r="L251" s="1545">
        <v>0</v>
      </c>
      <c r="M251" s="1545">
        <v>0</v>
      </c>
      <c r="N251" s="1545">
        <v>0.76600000000000001</v>
      </c>
      <c r="O251" s="1545">
        <v>0</v>
      </c>
      <c r="P251" s="1545">
        <v>0</v>
      </c>
      <c r="Q251" s="1545">
        <v>0.81200000000000006</v>
      </c>
    </row>
    <row r="252" spans="3:17">
      <c r="C252" s="1457"/>
      <c r="D252" s="1457"/>
      <c r="E252" s="1457" t="s">
        <v>129</v>
      </c>
      <c r="F252" s="1457" t="s">
        <v>130</v>
      </c>
      <c r="G252" s="1457"/>
      <c r="H252" s="1457"/>
      <c r="I252" s="1545">
        <v>7.3999999999999996E-2</v>
      </c>
      <c r="J252" s="1545">
        <v>0</v>
      </c>
      <c r="K252" s="1545">
        <v>7.3999999999999996E-2</v>
      </c>
      <c r="L252" s="1545">
        <v>1.2E-2</v>
      </c>
      <c r="M252" s="1545">
        <v>0</v>
      </c>
      <c r="N252" s="1545">
        <v>1.2E-2</v>
      </c>
      <c r="O252" s="1545">
        <v>0.66</v>
      </c>
      <c r="P252" s="1545">
        <v>0</v>
      </c>
      <c r="Q252" s="1545">
        <v>6.6000000000000003E-2</v>
      </c>
    </row>
    <row r="253" spans="3:17">
      <c r="C253" s="1546"/>
      <c r="D253" s="1546"/>
      <c r="E253" s="1546" t="s">
        <v>131</v>
      </c>
      <c r="F253" s="1546" t="s">
        <v>130</v>
      </c>
      <c r="G253" s="1546"/>
      <c r="H253" s="1546"/>
      <c r="I253" s="1545"/>
      <c r="J253" s="1545">
        <v>0</v>
      </c>
      <c r="K253" s="1545">
        <v>0</v>
      </c>
      <c r="L253" s="1545"/>
      <c r="M253" s="1545">
        <v>0</v>
      </c>
      <c r="N253" s="1545">
        <v>0</v>
      </c>
      <c r="O253" s="1545"/>
      <c r="P253" s="1545">
        <v>0</v>
      </c>
      <c r="Q253" s="1545">
        <v>0</v>
      </c>
    </row>
    <row r="254" spans="3:17">
      <c r="C254" s="1457"/>
      <c r="D254" s="1457"/>
      <c r="E254" s="1457" t="s">
        <v>132</v>
      </c>
      <c r="F254" s="1457" t="s">
        <v>130</v>
      </c>
      <c r="G254" s="1457"/>
      <c r="H254" s="1457"/>
      <c r="I254" s="1545">
        <v>3.4000000000000002E-2</v>
      </c>
      <c r="J254" s="1545">
        <v>0</v>
      </c>
      <c r="K254" s="1545">
        <v>3.4000000000000002E-2</v>
      </c>
      <c r="L254" s="1545">
        <v>9.6000000000000002E-2</v>
      </c>
      <c r="M254" s="1545">
        <v>0</v>
      </c>
      <c r="N254" s="1545">
        <v>9.6000000000000002E-2</v>
      </c>
      <c r="O254" s="1545">
        <v>8.8999999999999996E-2</v>
      </c>
      <c r="P254" s="1545">
        <v>0</v>
      </c>
      <c r="Q254" s="1545">
        <v>8.8999999999999996E-2</v>
      </c>
    </row>
    <row r="255" spans="3:17">
      <c r="C255" s="1457"/>
      <c r="D255" s="1457"/>
      <c r="E255" s="1457" t="s">
        <v>133</v>
      </c>
      <c r="F255" s="1457" t="s">
        <v>130</v>
      </c>
      <c r="G255" s="1457"/>
      <c r="H255" s="1457"/>
      <c r="I255" s="1545">
        <v>2E-3</v>
      </c>
      <c r="J255" s="1545">
        <v>0</v>
      </c>
      <c r="K255" s="1545">
        <v>2E-3</v>
      </c>
      <c r="L255" s="1545">
        <v>1.2999999999999999E-2</v>
      </c>
      <c r="M255" s="1545">
        <v>0</v>
      </c>
      <c r="N255" s="1545">
        <v>1.2999999999999999E-2</v>
      </c>
      <c r="O255" s="1545">
        <v>0.01</v>
      </c>
      <c r="P255" s="1545">
        <v>0</v>
      </c>
      <c r="Q255" s="1545">
        <v>9.6900000000000007E-3</v>
      </c>
    </row>
    <row r="256" spans="3:17">
      <c r="C256" s="1457"/>
      <c r="D256" s="1457" t="s">
        <v>531</v>
      </c>
      <c r="E256" s="1457" t="s">
        <v>126</v>
      </c>
      <c r="F256" s="1457" t="s">
        <v>200</v>
      </c>
      <c r="G256" s="1457"/>
      <c r="H256" s="1457"/>
      <c r="I256" s="1545">
        <v>0.436</v>
      </c>
      <c r="J256" s="1545">
        <v>0</v>
      </c>
      <c r="K256" s="1545">
        <v>0</v>
      </c>
      <c r="L256" s="1545">
        <v>0.999</v>
      </c>
      <c r="M256" s="1545">
        <v>0</v>
      </c>
      <c r="N256" s="1545">
        <v>0</v>
      </c>
      <c r="O256" s="1545">
        <v>0.81599999999999995</v>
      </c>
      <c r="P256" s="1545">
        <v>0</v>
      </c>
      <c r="Q256" s="1545">
        <v>0</v>
      </c>
    </row>
    <row r="257" spans="3:17">
      <c r="C257" s="1457"/>
      <c r="D257" s="1457"/>
      <c r="E257" s="1457" t="s">
        <v>128</v>
      </c>
      <c r="F257" s="1457" t="s">
        <v>200</v>
      </c>
      <c r="G257" s="1457"/>
      <c r="H257" s="1457"/>
      <c r="I257" s="1545">
        <v>0</v>
      </c>
      <c r="J257" s="1545">
        <v>0</v>
      </c>
      <c r="K257" s="1545">
        <v>0.436</v>
      </c>
      <c r="L257" s="1545">
        <v>0</v>
      </c>
      <c r="M257" s="1545">
        <v>0</v>
      </c>
      <c r="N257" s="1545">
        <v>0.999</v>
      </c>
      <c r="O257" s="1545">
        <v>0</v>
      </c>
      <c r="P257" s="1545">
        <v>0</v>
      </c>
      <c r="Q257" s="1545">
        <v>0.81599999999999995</v>
      </c>
    </row>
    <row r="258" spans="3:17">
      <c r="C258" s="1457"/>
      <c r="D258" s="1457"/>
      <c r="E258" s="1457" t="s">
        <v>129</v>
      </c>
      <c r="F258" s="1457" t="s">
        <v>130</v>
      </c>
      <c r="G258" s="1457"/>
      <c r="H258" s="1457"/>
      <c r="I258" s="1545">
        <v>0.10299999999999999</v>
      </c>
      <c r="J258" s="1545">
        <v>0</v>
      </c>
      <c r="K258" s="1545">
        <v>0.10299999999999999</v>
      </c>
      <c r="L258" s="1545">
        <v>4.0000000000000001E-3</v>
      </c>
      <c r="M258" s="1545">
        <v>0</v>
      </c>
      <c r="N258" s="1545">
        <v>4.0000000000000001E-3</v>
      </c>
      <c r="O258" s="1545">
        <v>8.4000000000000005E-2</v>
      </c>
      <c r="P258" s="1545">
        <v>0</v>
      </c>
      <c r="Q258" s="1545">
        <v>8.4000000000000005E-2</v>
      </c>
    </row>
    <row r="259" spans="3:17">
      <c r="C259" s="1546"/>
      <c r="D259" s="1546"/>
      <c r="E259" s="1546" t="s">
        <v>131</v>
      </c>
      <c r="F259" s="1546" t="s">
        <v>130</v>
      </c>
      <c r="G259" s="1546"/>
      <c r="H259" s="1546"/>
      <c r="I259" s="1545"/>
      <c r="J259" s="1545">
        <v>0</v>
      </c>
      <c r="K259" s="1545">
        <v>0</v>
      </c>
      <c r="L259" s="1545"/>
      <c r="M259" s="1545">
        <v>0</v>
      </c>
      <c r="N259" s="1545">
        <v>0</v>
      </c>
      <c r="O259" s="1545"/>
      <c r="P259" s="1545">
        <v>0</v>
      </c>
      <c r="Q259" s="1545">
        <v>0</v>
      </c>
    </row>
    <row r="260" spans="3:17">
      <c r="C260" s="1457"/>
      <c r="D260" s="1457"/>
      <c r="E260" s="1457" t="s">
        <v>132</v>
      </c>
      <c r="F260" s="1457" t="s">
        <v>130</v>
      </c>
      <c r="G260" s="1457"/>
      <c r="H260" s="1457"/>
      <c r="I260" s="1545">
        <v>3.4000000000000002E-2</v>
      </c>
      <c r="J260" s="1545">
        <v>0</v>
      </c>
      <c r="K260" s="1545">
        <v>3.4000000000000002E-2</v>
      </c>
      <c r="L260" s="1545">
        <v>0.111</v>
      </c>
      <c r="M260" s="1545">
        <v>0</v>
      </c>
      <c r="N260" s="1545">
        <v>0.111</v>
      </c>
      <c r="O260" s="1545">
        <v>9.2999999999999999E-2</v>
      </c>
      <c r="P260" s="1545">
        <v>0</v>
      </c>
      <c r="Q260" s="1545">
        <v>9.2999999999999999E-2</v>
      </c>
    </row>
    <row r="261" spans="3:17">
      <c r="C261" s="1457"/>
      <c r="D261" s="1457"/>
      <c r="E261" s="1457" t="s">
        <v>133</v>
      </c>
      <c r="F261" s="1457" t="s">
        <v>130</v>
      </c>
      <c r="G261" s="1457"/>
      <c r="H261" s="1457"/>
      <c r="I261" s="1545">
        <v>5.0000000000000001E-3</v>
      </c>
      <c r="J261" s="1545">
        <v>0</v>
      </c>
      <c r="K261" s="1545">
        <v>4.7099999999999998E-3</v>
      </c>
      <c r="L261" s="1545">
        <v>1.4E-2</v>
      </c>
      <c r="M261" s="1545">
        <v>0</v>
      </c>
      <c r="N261" s="1545">
        <v>1.434E-2</v>
      </c>
      <c r="O261" s="1545">
        <v>1.2E-2</v>
      </c>
      <c r="P261" s="1545">
        <v>0</v>
      </c>
      <c r="Q261" s="1545">
        <v>1.248E-2</v>
      </c>
    </row>
    <row r="262" spans="3:17">
      <c r="C262" s="1457"/>
      <c r="D262" s="1457" t="s">
        <v>816</v>
      </c>
      <c r="E262" s="1457" t="s">
        <v>126</v>
      </c>
      <c r="F262" s="1457" t="s">
        <v>200</v>
      </c>
      <c r="G262" s="1457"/>
      <c r="H262" s="1457"/>
      <c r="I262" s="1545">
        <v>0.32300000000000001</v>
      </c>
      <c r="J262" s="1545">
        <v>0</v>
      </c>
      <c r="K262" s="1545">
        <v>0</v>
      </c>
      <c r="L262" s="1545">
        <v>0.73399999999999999</v>
      </c>
      <c r="M262" s="1545">
        <v>0</v>
      </c>
      <c r="N262" s="1545">
        <v>0</v>
      </c>
      <c r="O262" s="1545">
        <v>0.75</v>
      </c>
      <c r="P262" s="1545">
        <v>0</v>
      </c>
      <c r="Q262" s="1545">
        <v>0</v>
      </c>
    </row>
    <row r="263" spans="3:17">
      <c r="C263" s="1457"/>
      <c r="D263" s="1457"/>
      <c r="E263" s="1457" t="s">
        <v>128</v>
      </c>
      <c r="F263" s="1457" t="s">
        <v>200</v>
      </c>
      <c r="G263" s="1457"/>
      <c r="H263" s="1457"/>
      <c r="I263" s="1545">
        <v>0</v>
      </c>
      <c r="J263" s="1545">
        <v>0</v>
      </c>
      <c r="K263" s="1545">
        <v>0.32300000000000001</v>
      </c>
      <c r="L263" s="1545">
        <v>0</v>
      </c>
      <c r="M263" s="1545">
        <v>0</v>
      </c>
      <c r="N263" s="1545">
        <v>0.73399999999999999</v>
      </c>
      <c r="O263" s="1545">
        <v>0</v>
      </c>
      <c r="P263" s="1545">
        <v>0</v>
      </c>
      <c r="Q263" s="1545">
        <v>0.75</v>
      </c>
    </row>
    <row r="264" spans="3:17">
      <c r="C264" s="1457"/>
      <c r="D264" s="1457"/>
      <c r="E264" s="1457" t="s">
        <v>129</v>
      </c>
      <c r="F264" s="1457" t="s">
        <v>130</v>
      </c>
      <c r="G264" s="1457"/>
      <c r="H264" s="1457"/>
      <c r="I264" s="1545">
        <v>4.8000000000000001E-2</v>
      </c>
      <c r="J264" s="1545">
        <v>0</v>
      </c>
      <c r="K264" s="1545">
        <v>4.8000000000000001E-2</v>
      </c>
      <c r="L264" s="1545">
        <v>1.2E-2</v>
      </c>
      <c r="M264" s="1545">
        <v>0</v>
      </c>
      <c r="N264" s="1545">
        <v>1.2E-2</v>
      </c>
      <c r="O264" s="1545">
        <v>5.1999999999999998E-2</v>
      </c>
      <c r="P264" s="1545">
        <v>0</v>
      </c>
      <c r="Q264" s="1545">
        <v>5.1999999999999998E-2</v>
      </c>
    </row>
    <row r="265" spans="3:17">
      <c r="C265" s="1546"/>
      <c r="D265" s="1546"/>
      <c r="E265" s="1546" t="s">
        <v>131</v>
      </c>
      <c r="F265" s="1546" t="s">
        <v>130</v>
      </c>
      <c r="G265" s="1546"/>
      <c r="H265" s="1546"/>
      <c r="I265" s="1545"/>
      <c r="J265" s="1545">
        <v>0</v>
      </c>
      <c r="K265" s="1545">
        <v>0</v>
      </c>
      <c r="L265" s="1545"/>
      <c r="M265" s="1545">
        <v>0</v>
      </c>
      <c r="N265" s="1545">
        <v>0</v>
      </c>
      <c r="O265" s="1545"/>
      <c r="P265" s="1545">
        <v>0</v>
      </c>
      <c r="Q265" s="1545">
        <v>0</v>
      </c>
    </row>
    <row r="266" spans="3:17">
      <c r="C266" s="1457"/>
      <c r="D266" s="1457"/>
      <c r="E266" s="1457" t="s">
        <v>132</v>
      </c>
      <c r="F266" s="1457" t="s">
        <v>130</v>
      </c>
      <c r="G266" s="1457"/>
      <c r="H266" s="1457"/>
      <c r="I266" s="1545">
        <v>1.9E-2</v>
      </c>
      <c r="J266" s="1545">
        <v>0</v>
      </c>
      <c r="K266" s="1545">
        <v>1.9E-2</v>
      </c>
      <c r="L266" s="1545">
        <v>0.1</v>
      </c>
      <c r="M266" s="1545">
        <v>0</v>
      </c>
      <c r="N266" s="1545">
        <v>0.1</v>
      </c>
      <c r="O266" s="1545">
        <v>0.13600000000000001</v>
      </c>
      <c r="P266" s="1545">
        <v>0</v>
      </c>
      <c r="Q266" s="1545">
        <v>0.13600000000000001</v>
      </c>
    </row>
    <row r="267" spans="3:17">
      <c r="C267" s="1457"/>
      <c r="D267" s="1457"/>
      <c r="E267" s="1457" t="s">
        <v>133</v>
      </c>
      <c r="F267" s="1457" t="s">
        <v>130</v>
      </c>
      <c r="G267" s="1457"/>
      <c r="H267" s="1457"/>
      <c r="I267" s="1545">
        <v>2E-3</v>
      </c>
      <c r="J267" s="1545">
        <v>0</v>
      </c>
      <c r="K267" s="1545">
        <v>1.98E-3</v>
      </c>
      <c r="L267" s="1545">
        <v>1.2999999999999999E-2</v>
      </c>
      <c r="M267" s="1545">
        <v>0</v>
      </c>
      <c r="N267" s="1545">
        <v>1.329E-2</v>
      </c>
      <c r="O267" s="1545">
        <v>0.125</v>
      </c>
      <c r="P267" s="1545">
        <v>0</v>
      </c>
      <c r="Q267" s="1545">
        <v>0.12509999999999999</v>
      </c>
    </row>
    <row r="268" spans="3:17">
      <c r="C268" s="1485" t="s">
        <v>253</v>
      </c>
      <c r="D268" s="1485"/>
      <c r="E268" s="1457"/>
      <c r="F268" s="1457"/>
      <c r="G268" s="1457"/>
      <c r="H268" s="1457"/>
      <c r="I268" s="1457"/>
      <c r="J268" s="1456"/>
      <c r="K268" s="1456"/>
      <c r="L268" s="1456"/>
      <c r="M268" s="1456"/>
      <c r="N268" s="1456"/>
      <c r="O268" s="1456"/>
      <c r="P268" s="1456"/>
      <c r="Q268" s="1456"/>
    </row>
    <row r="269" spans="3:17">
      <c r="C269" s="1457"/>
      <c r="D269" s="1485" t="s">
        <v>582</v>
      </c>
      <c r="E269" s="1457"/>
      <c r="F269" s="1457"/>
      <c r="G269" s="1457"/>
      <c r="H269" s="1457"/>
      <c r="I269" s="1540">
        <v>25</v>
      </c>
      <c r="J269" s="1456" t="s">
        <v>961</v>
      </c>
      <c r="K269" s="1456"/>
      <c r="L269" s="1456"/>
      <c r="M269" s="1456"/>
      <c r="N269" s="1456"/>
      <c r="O269" s="1456"/>
      <c r="P269" s="1456"/>
      <c r="Q269" s="1456"/>
    </row>
    <row r="270" spans="3:17" hidden="1">
      <c r="C270" s="1457"/>
      <c r="D270" s="1495" t="s">
        <v>154</v>
      </c>
      <c r="E270" s="1457"/>
      <c r="F270" s="1457"/>
      <c r="G270" s="1457"/>
      <c r="H270" s="1457"/>
      <c r="I270" s="1540"/>
      <c r="J270" s="1456"/>
      <c r="K270" s="1456"/>
      <c r="L270" s="1456"/>
      <c r="M270" s="1456"/>
      <c r="N270" s="1456"/>
      <c r="O270" s="1456"/>
      <c r="P270" s="1456"/>
      <c r="Q270" s="1456"/>
    </row>
    <row r="271" spans="3:17">
      <c r="C271" s="1457"/>
      <c r="D271" s="1485" t="s">
        <v>581</v>
      </c>
      <c r="E271" s="1457"/>
      <c r="F271" s="1485"/>
      <c r="G271" s="1457"/>
      <c r="H271" s="1457"/>
      <c r="I271" s="1540">
        <v>18</v>
      </c>
      <c r="J271" s="1456" t="s">
        <v>961</v>
      </c>
      <c r="K271" s="1456"/>
      <c r="L271" s="1456"/>
      <c r="M271" s="1456"/>
      <c r="N271" s="1456"/>
      <c r="O271" s="1456"/>
      <c r="P271" s="1456"/>
      <c r="Q271" s="1456"/>
    </row>
    <row r="272" spans="3:17">
      <c r="C272" s="1457"/>
      <c r="D272" s="1485" t="s">
        <v>155</v>
      </c>
      <c r="E272" s="1457"/>
      <c r="F272" s="1485"/>
      <c r="G272" s="1457"/>
      <c r="H272" s="1457"/>
      <c r="I272" s="1540">
        <v>15</v>
      </c>
      <c r="J272" s="1456" t="s">
        <v>961</v>
      </c>
      <c r="K272" s="1456"/>
      <c r="L272" s="1456"/>
      <c r="M272" s="1456"/>
      <c r="N272" s="1456"/>
      <c r="O272" s="1456"/>
      <c r="P272" s="1456"/>
      <c r="Q272" s="1456"/>
    </row>
    <row r="273" spans="3:17">
      <c r="C273" s="1457"/>
      <c r="D273" s="1485"/>
      <c r="E273" s="1457"/>
      <c r="F273" s="1457"/>
      <c r="G273" s="1457"/>
      <c r="H273" s="1457"/>
      <c r="I273" s="1457"/>
      <c r="J273" s="1457"/>
      <c r="K273" s="1456"/>
      <c r="L273" s="1456"/>
      <c r="M273" s="1456"/>
      <c r="N273" s="1456"/>
      <c r="O273" s="1456"/>
      <c r="P273" s="1456"/>
      <c r="Q273" s="1456"/>
    </row>
    <row r="274" spans="3:17">
      <c r="C274" s="1457" t="s">
        <v>254</v>
      </c>
      <c r="D274" s="1457"/>
      <c r="E274" s="1457"/>
      <c r="F274" s="1457"/>
      <c r="G274" s="1457"/>
      <c r="H274" s="1457"/>
      <c r="I274" s="1457"/>
      <c r="J274" s="1457"/>
      <c r="K274" s="1457"/>
      <c r="L274" s="1457"/>
      <c r="M274" s="1457"/>
      <c r="N274" s="1457"/>
      <c r="O274" s="1457"/>
      <c r="P274" s="1457"/>
      <c r="Q274" s="1457"/>
    </row>
    <row r="275" spans="3:17">
      <c r="C275" s="1457"/>
      <c r="D275" s="1457" t="s">
        <v>582</v>
      </c>
      <c r="E275" s="1457"/>
      <c r="F275" s="1457"/>
      <c r="G275" s="1457"/>
      <c r="H275" s="1457"/>
      <c r="I275" s="1539">
        <v>0.01</v>
      </c>
      <c r="J275" s="1457" t="s">
        <v>255</v>
      </c>
      <c r="K275" s="1457"/>
      <c r="L275" s="1457"/>
      <c r="M275" s="1457"/>
      <c r="N275" s="1457"/>
      <c r="O275" s="1457"/>
      <c r="P275" s="1457"/>
      <c r="Q275" s="1457"/>
    </row>
    <row r="276" spans="3:17">
      <c r="C276" s="1457"/>
      <c r="D276" s="1457" t="s">
        <v>581</v>
      </c>
      <c r="E276" s="1457"/>
      <c r="F276" s="1457"/>
      <c r="G276" s="1457"/>
      <c r="H276" s="1457"/>
      <c r="I276" s="1539">
        <v>0.01</v>
      </c>
      <c r="J276" s="1457" t="s">
        <v>255</v>
      </c>
      <c r="K276" s="1457"/>
      <c r="L276" s="1457"/>
      <c r="M276" s="1457"/>
      <c r="N276" s="1457"/>
      <c r="O276" s="1457"/>
      <c r="P276" s="1457"/>
      <c r="Q276" s="1457"/>
    </row>
    <row r="277" spans="3:17">
      <c r="C277" s="1457"/>
      <c r="D277" s="1457" t="s">
        <v>155</v>
      </c>
      <c r="E277" s="1457"/>
      <c r="F277" s="1457"/>
      <c r="G277" s="1457"/>
      <c r="H277" s="1457"/>
      <c r="I277" s="1539">
        <v>0.02</v>
      </c>
      <c r="J277" s="1457" t="s">
        <v>255</v>
      </c>
      <c r="K277" s="1457"/>
      <c r="L277" s="1457"/>
      <c r="M277" s="1457"/>
      <c r="N277" s="1457"/>
      <c r="O277" s="1457"/>
      <c r="P277" s="1457"/>
      <c r="Q277" s="1457"/>
    </row>
    <row r="278" spans="3:17"/>
    <row r="279" spans="3:17" ht="9" hidden="1" customHeight="1"/>
    <row r="280" spans="3:17" hidden="1"/>
    <row r="281" spans="3:17"/>
    <row r="282" spans="3:17"/>
    <row r="283" spans="3:17"/>
    <row r="284" spans="3:17"/>
    <row r="285" spans="3:17"/>
    <row r="286" spans="3:17"/>
    <row r="287" spans="3:17"/>
    <row r="288" spans="3:17"/>
    <row r="289"/>
    <row r="290"/>
    <row r="291"/>
    <row r="292"/>
    <row r="293"/>
    <row r="294"/>
    <row r="295"/>
    <row r="296"/>
    <row r="297"/>
    <row r="298"/>
    <row r="299"/>
    <row r="300"/>
    <row r="301"/>
    <row r="302"/>
  </sheetData>
  <sheetProtection password="CC47" sheet="1" objects="1" scenarios="1"/>
  <phoneticPr fontId="20"/>
  <conditionalFormatting sqref="D4 D63 D6">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7" fitToHeight="2" orientation="portrait" verticalDpi="300" r:id="rId1"/>
  <headerFooter alignWithMargins="0">
    <oddHeader>&amp;L&amp;F&amp;R&amp;A</oddHeader>
    <oddFooter>&amp;C&amp;P/&amp;N</oddFooter>
  </headerFooter>
  <rowBreaks count="2" manualBreakCount="2">
    <brk id="146" max="17" man="1"/>
    <brk id="198" max="17" man="1"/>
  </rowBreaks>
  <drawing r:id="rId2"/>
</worksheet>
</file>

<file path=xl/worksheets/sheet27.xml><?xml version="1.0" encoding="utf-8"?>
<worksheet xmlns="http://schemas.openxmlformats.org/spreadsheetml/2006/main" xmlns:r="http://schemas.openxmlformats.org/officeDocument/2006/relationships">
  <sheetPr codeName="Sheet16">
    <pageSetUpPr fitToPage="1"/>
  </sheetPr>
  <dimension ref="A1:S38"/>
  <sheetViews>
    <sheetView showGridLines="0" workbookViewId="0">
      <selection activeCell="H1" sqref="H1"/>
    </sheetView>
  </sheetViews>
  <sheetFormatPr defaultColWidth="0" defaultRowHeight="0" customHeight="1" zeroHeight="1"/>
  <cols>
    <col min="1" max="1" width="1.125" style="185" customWidth="1"/>
    <col min="2" max="18" width="8.75" style="185" customWidth="1"/>
    <col min="19" max="19" width="1.5" style="185" customWidth="1"/>
    <col min="20" max="16384" width="8.75" style="185" hidden="1"/>
  </cols>
  <sheetData>
    <row r="1" spans="2:18" ht="13.5" customHeight="1">
      <c r="B1" s="1787"/>
      <c r="C1" s="1787"/>
      <c r="D1" s="1787"/>
      <c r="E1" s="1787"/>
      <c r="F1" s="1787"/>
      <c r="G1" s="1787"/>
      <c r="H1" s="1787"/>
      <c r="I1" s="1787"/>
      <c r="J1" s="1787"/>
      <c r="K1" s="1787"/>
      <c r="L1" s="1787"/>
      <c r="M1" s="1787"/>
      <c r="N1" s="1787"/>
      <c r="O1" s="1787"/>
      <c r="P1" s="1787"/>
      <c r="Q1" s="1787"/>
      <c r="R1" s="1787"/>
    </row>
    <row r="2" spans="2:18" ht="13.5" customHeight="1">
      <c r="B2" s="1787"/>
      <c r="C2" s="1787"/>
      <c r="D2" s="1787"/>
      <c r="E2" s="1787"/>
      <c r="F2" s="1787"/>
      <c r="G2" s="1787"/>
      <c r="H2" s="1787"/>
      <c r="I2" s="1787"/>
      <c r="J2" s="1787"/>
      <c r="K2" s="1787"/>
      <c r="L2" s="1787"/>
      <c r="M2" s="1787"/>
      <c r="N2" s="1787"/>
      <c r="O2" s="1787"/>
      <c r="P2" s="1787"/>
      <c r="Q2" s="1787"/>
      <c r="R2" s="1787"/>
    </row>
    <row r="3" spans="2:18" ht="13.5" customHeight="1">
      <c r="B3" s="1787"/>
      <c r="C3" s="1787"/>
      <c r="D3" s="1787"/>
      <c r="E3" s="1787"/>
      <c r="F3" s="1787"/>
      <c r="G3" s="1787"/>
      <c r="H3" s="1787"/>
      <c r="I3" s="1787"/>
      <c r="J3" s="1787"/>
      <c r="K3" s="1787"/>
      <c r="L3" s="1787"/>
      <c r="M3" s="1787"/>
      <c r="N3" s="1787"/>
      <c r="O3" s="1787"/>
      <c r="P3" s="1787"/>
      <c r="Q3" s="1787"/>
      <c r="R3" s="1787"/>
    </row>
    <row r="4" spans="2:18" ht="13.5" customHeight="1">
      <c r="B4" s="1787"/>
      <c r="C4" s="1787"/>
      <c r="D4" s="1787"/>
      <c r="E4" s="1787"/>
      <c r="F4" s="1787"/>
      <c r="G4" s="1787"/>
      <c r="H4" s="1787"/>
      <c r="I4" s="1787"/>
      <c r="J4" s="1787"/>
      <c r="K4" s="1787"/>
      <c r="L4" s="1787"/>
      <c r="M4" s="1787"/>
      <c r="N4" s="1787"/>
      <c r="O4" s="1787"/>
      <c r="P4" s="1787"/>
      <c r="Q4" s="1787"/>
      <c r="R4" s="1787"/>
    </row>
    <row r="5" spans="2:18" ht="13.5" customHeight="1">
      <c r="B5" s="1787"/>
      <c r="C5" s="1787"/>
      <c r="D5" s="1787"/>
      <c r="E5" s="1787"/>
      <c r="F5" s="1787"/>
      <c r="G5" s="1787"/>
      <c r="H5" s="1787"/>
      <c r="I5" s="1787"/>
      <c r="J5" s="1787"/>
      <c r="K5" s="1787"/>
      <c r="L5" s="1787"/>
      <c r="M5" s="1787"/>
      <c r="N5" s="1787"/>
      <c r="O5" s="1787"/>
      <c r="P5" s="1787"/>
      <c r="Q5" s="1787"/>
      <c r="R5" s="1787"/>
    </row>
    <row r="6" spans="2:18" ht="13.5" customHeight="1">
      <c r="B6" s="1787"/>
      <c r="C6" s="1787"/>
      <c r="D6" s="1787"/>
      <c r="E6" s="1787"/>
      <c r="F6" s="1787"/>
      <c r="G6" s="1787"/>
      <c r="H6" s="1787"/>
      <c r="I6" s="1787"/>
      <c r="J6" s="1787"/>
      <c r="K6" s="1787"/>
      <c r="L6" s="1787"/>
      <c r="M6" s="1787"/>
      <c r="N6" s="1787"/>
      <c r="O6" s="1787"/>
      <c r="P6" s="1787"/>
      <c r="Q6" s="1787"/>
      <c r="R6" s="1787"/>
    </row>
    <row r="7" spans="2:18" ht="13.5" customHeight="1">
      <c r="B7" s="1787"/>
      <c r="C7" s="1787"/>
      <c r="D7" s="1787"/>
      <c r="E7" s="1787"/>
      <c r="F7" s="1787"/>
      <c r="G7" s="1787"/>
      <c r="H7" s="1787"/>
      <c r="I7" s="1787"/>
      <c r="J7" s="1787"/>
      <c r="K7" s="1787"/>
      <c r="L7" s="1787"/>
      <c r="M7" s="1787"/>
      <c r="N7" s="1787"/>
      <c r="O7" s="1787"/>
      <c r="P7" s="1787"/>
      <c r="Q7" s="1787"/>
      <c r="R7" s="1787"/>
    </row>
    <row r="8" spans="2:18" ht="13.5" customHeight="1">
      <c r="B8" s="1787"/>
      <c r="C8" s="1787"/>
      <c r="D8" s="1787"/>
      <c r="E8" s="1787"/>
      <c r="F8" s="1787"/>
      <c r="G8" s="1787"/>
      <c r="H8" s="1787"/>
      <c r="I8" s="1787"/>
      <c r="J8" s="1787"/>
      <c r="K8" s="1787"/>
      <c r="L8" s="1787"/>
      <c r="M8" s="1787"/>
      <c r="N8" s="1787"/>
      <c r="O8" s="1787"/>
      <c r="P8" s="1787"/>
      <c r="Q8" s="1787"/>
      <c r="R8" s="1787"/>
    </row>
    <row r="9" spans="2:18" ht="13.5" customHeight="1">
      <c r="B9" s="1787"/>
      <c r="C9" s="1787"/>
      <c r="D9" s="1787"/>
      <c r="E9" s="1787"/>
      <c r="F9" s="1787"/>
      <c r="G9" s="1787"/>
      <c r="H9" s="1787"/>
      <c r="I9" s="1787"/>
      <c r="J9" s="1787"/>
      <c r="K9" s="1787"/>
      <c r="L9" s="1787"/>
      <c r="M9" s="1787"/>
      <c r="N9" s="1787"/>
      <c r="O9" s="1787"/>
      <c r="P9" s="1787"/>
      <c r="Q9" s="1787"/>
      <c r="R9" s="1787"/>
    </row>
    <row r="10" spans="2:18" ht="13.5" customHeight="1">
      <c r="B10" s="1787"/>
      <c r="C10" s="1787"/>
      <c r="D10" s="1787"/>
      <c r="E10" s="1787"/>
      <c r="F10" s="1787"/>
      <c r="G10" s="1787"/>
      <c r="H10" s="1787"/>
      <c r="I10" s="1787"/>
      <c r="J10" s="1787"/>
      <c r="K10" s="1787"/>
      <c r="L10" s="1787"/>
      <c r="M10" s="1787"/>
      <c r="N10" s="1787"/>
      <c r="O10" s="1787"/>
      <c r="P10" s="1787"/>
      <c r="Q10" s="1787"/>
      <c r="R10" s="1787"/>
    </row>
    <row r="11" spans="2:18" ht="13.5" customHeight="1">
      <c r="B11" s="1787"/>
      <c r="C11" s="1787"/>
      <c r="D11" s="1787"/>
      <c r="E11" s="1787"/>
      <c r="F11" s="1787"/>
      <c r="G11" s="1787"/>
      <c r="H11" s="1787"/>
      <c r="I11" s="1787"/>
      <c r="J11" s="1787"/>
      <c r="K11" s="1787"/>
      <c r="L11" s="1787"/>
      <c r="M11" s="1787"/>
      <c r="N11" s="1787"/>
      <c r="O11" s="1787"/>
      <c r="P11" s="1787"/>
      <c r="Q11" s="1787"/>
      <c r="R11" s="1787"/>
    </row>
    <row r="12" spans="2:18" ht="13.5" customHeight="1">
      <c r="B12" s="1787"/>
      <c r="C12" s="1787"/>
      <c r="D12" s="1787"/>
      <c r="E12" s="1787"/>
      <c r="F12" s="1787"/>
      <c r="G12" s="1787"/>
      <c r="H12" s="1787"/>
      <c r="I12" s="1787"/>
      <c r="J12" s="1787"/>
      <c r="K12" s="1787"/>
      <c r="L12" s="1787"/>
      <c r="M12" s="1787"/>
      <c r="N12" s="1787"/>
      <c r="O12" s="1787"/>
      <c r="P12" s="1787"/>
      <c r="Q12" s="1787"/>
      <c r="R12" s="1787"/>
    </row>
    <row r="13" spans="2:18" ht="18.75">
      <c r="B13" s="1787"/>
      <c r="C13" s="1787"/>
      <c r="D13" s="1787"/>
      <c r="E13" s="1788"/>
      <c r="F13" s="1787"/>
      <c r="G13" s="1787"/>
      <c r="H13" s="1787"/>
      <c r="I13" s="1787"/>
      <c r="J13" s="1787"/>
      <c r="K13" s="1787"/>
      <c r="L13" s="1787"/>
      <c r="M13" s="1787"/>
      <c r="N13" s="1787"/>
      <c r="O13" s="1787"/>
      <c r="P13" s="1787"/>
      <c r="Q13" s="1787"/>
      <c r="R13" s="1787"/>
    </row>
    <row r="14" spans="2:18" ht="13.5" customHeight="1">
      <c r="B14" s="1787"/>
      <c r="C14" s="1787"/>
      <c r="D14" s="1787"/>
      <c r="E14" s="1787"/>
      <c r="F14" s="1787"/>
      <c r="G14" s="1787"/>
      <c r="H14" s="1787"/>
      <c r="I14" s="1787"/>
      <c r="J14" s="1787"/>
      <c r="K14" s="1787"/>
      <c r="L14" s="1787"/>
      <c r="M14" s="1787"/>
      <c r="N14" s="1787"/>
      <c r="O14" s="1787"/>
      <c r="P14" s="1787"/>
      <c r="Q14" s="1787"/>
      <c r="R14" s="1787"/>
    </row>
    <row r="15" spans="2:18" ht="13.5" customHeight="1">
      <c r="B15" s="1787"/>
      <c r="C15" s="1787"/>
      <c r="D15" s="1787"/>
      <c r="E15" s="1787"/>
      <c r="F15" s="1787"/>
      <c r="G15" s="1787"/>
      <c r="H15" s="1787"/>
      <c r="I15" s="1787"/>
      <c r="J15" s="1787"/>
      <c r="K15" s="1787"/>
      <c r="L15" s="1787"/>
      <c r="M15" s="1787"/>
      <c r="N15" s="1787"/>
      <c r="O15" s="1787"/>
      <c r="P15" s="1787"/>
      <c r="Q15" s="1787"/>
      <c r="R15" s="1787"/>
    </row>
    <row r="16" spans="2:18" ht="13.5" customHeight="1">
      <c r="B16" s="1787"/>
      <c r="C16" s="1787"/>
      <c r="D16" s="1787"/>
      <c r="E16" s="1787"/>
      <c r="F16" s="1787"/>
      <c r="G16" s="1787"/>
      <c r="H16" s="1787"/>
      <c r="I16" s="1787"/>
      <c r="J16" s="1787"/>
      <c r="K16" s="1787"/>
      <c r="L16" s="1787"/>
      <c r="M16" s="1787"/>
      <c r="N16" s="1787"/>
      <c r="O16" s="1787"/>
      <c r="P16" s="1787"/>
      <c r="Q16" s="1787"/>
      <c r="R16" s="1787"/>
    </row>
    <row r="17" spans="2:18" ht="13.5" customHeight="1">
      <c r="B17" s="1787"/>
      <c r="C17" s="1787"/>
      <c r="D17" s="1787"/>
      <c r="E17" s="1787"/>
      <c r="F17" s="1787"/>
      <c r="G17" s="1787"/>
      <c r="H17" s="1787"/>
      <c r="I17" s="1787"/>
      <c r="J17" s="1787"/>
      <c r="K17" s="1787"/>
      <c r="L17" s="1787"/>
      <c r="M17" s="1787"/>
      <c r="N17" s="1787"/>
      <c r="O17" s="1787"/>
      <c r="P17" s="1787"/>
      <c r="Q17" s="1787"/>
      <c r="R17" s="1787"/>
    </row>
    <row r="18" spans="2:18" ht="13.5" customHeight="1">
      <c r="B18" s="1787"/>
      <c r="C18" s="1787"/>
      <c r="D18" s="1787"/>
      <c r="E18" s="1787"/>
      <c r="F18" s="1787"/>
      <c r="G18" s="1787"/>
      <c r="H18" s="1787"/>
      <c r="I18" s="1787"/>
      <c r="J18" s="1787"/>
      <c r="K18" s="1787"/>
      <c r="L18" s="1787"/>
      <c r="M18" s="1787"/>
      <c r="N18" s="1787"/>
      <c r="O18" s="1787"/>
      <c r="P18" s="1787"/>
      <c r="Q18" s="1787"/>
      <c r="R18" s="1787"/>
    </row>
    <row r="19" spans="2:18" ht="13.5" customHeight="1">
      <c r="B19" s="1787"/>
      <c r="C19" s="1787"/>
      <c r="D19" s="1787"/>
      <c r="E19" s="1787"/>
      <c r="F19" s="1787"/>
      <c r="G19" s="1787"/>
      <c r="H19" s="1787"/>
      <c r="I19" s="1787"/>
      <c r="J19" s="1787"/>
      <c r="K19" s="1787"/>
      <c r="L19" s="1787"/>
      <c r="M19" s="1787"/>
      <c r="N19" s="1787"/>
      <c r="O19" s="1787"/>
      <c r="P19" s="1787"/>
      <c r="Q19" s="1787"/>
      <c r="R19" s="1787"/>
    </row>
    <row r="20" spans="2:18" ht="13.5" customHeight="1">
      <c r="B20" s="1787"/>
      <c r="C20" s="1787"/>
      <c r="D20" s="1787"/>
      <c r="E20" s="1787"/>
      <c r="F20" s="1787"/>
      <c r="G20" s="1787"/>
      <c r="H20" s="1787"/>
      <c r="I20" s="1787"/>
      <c r="J20" s="1787"/>
      <c r="K20" s="1787"/>
      <c r="L20" s="1787"/>
      <c r="M20" s="1787"/>
      <c r="N20" s="1787"/>
      <c r="O20" s="1787"/>
      <c r="P20" s="1787"/>
      <c r="Q20" s="1787"/>
      <c r="R20" s="1787"/>
    </row>
    <row r="21" spans="2:18" ht="13.5" customHeight="1">
      <c r="B21" s="1787"/>
      <c r="C21" s="1787"/>
      <c r="D21" s="1787"/>
      <c r="E21" s="1787"/>
      <c r="F21" s="1787"/>
      <c r="G21" s="1787"/>
      <c r="H21" s="1787"/>
      <c r="I21" s="1787"/>
      <c r="J21" s="1787"/>
      <c r="K21" s="1787"/>
      <c r="L21" s="1787"/>
      <c r="M21" s="1787"/>
      <c r="N21" s="1787"/>
      <c r="O21" s="1787"/>
      <c r="P21" s="1787"/>
      <c r="Q21" s="1787"/>
      <c r="R21" s="1787"/>
    </row>
    <row r="22" spans="2:18" ht="13.5" customHeight="1">
      <c r="B22" s="1787"/>
      <c r="C22" s="1787"/>
      <c r="D22" s="1787"/>
      <c r="E22" s="1787"/>
      <c r="F22" s="1787"/>
      <c r="G22" s="1787"/>
      <c r="H22" s="1787"/>
      <c r="I22" s="1787"/>
      <c r="J22" s="1787"/>
      <c r="K22" s="1787"/>
      <c r="L22" s="1787"/>
      <c r="M22" s="1787"/>
      <c r="N22" s="1787"/>
      <c r="O22" s="1787"/>
      <c r="P22" s="1787"/>
      <c r="Q22" s="1787"/>
      <c r="R22" s="1787"/>
    </row>
    <row r="23" spans="2:18" ht="13.5" customHeight="1">
      <c r="B23" s="1787"/>
      <c r="C23" s="1787"/>
      <c r="D23" s="1787"/>
      <c r="E23" s="1787"/>
      <c r="F23" s="1787"/>
      <c r="G23" s="1787"/>
      <c r="H23" s="1787"/>
      <c r="I23" s="1787"/>
      <c r="J23" s="1787"/>
      <c r="K23" s="1787"/>
      <c r="L23" s="1787"/>
      <c r="M23" s="1787"/>
      <c r="N23" s="1787"/>
      <c r="O23" s="1787"/>
      <c r="P23" s="1787"/>
      <c r="Q23" s="1787"/>
      <c r="R23" s="1787"/>
    </row>
    <row r="24" spans="2:18" ht="13.5" customHeight="1">
      <c r="B24" s="1787"/>
      <c r="C24" s="1787"/>
      <c r="D24" s="1787"/>
      <c r="E24" s="1787"/>
      <c r="F24" s="1787"/>
      <c r="G24" s="1787"/>
      <c r="H24" s="1787"/>
      <c r="I24" s="1787"/>
      <c r="J24" s="1787"/>
      <c r="K24" s="1787"/>
      <c r="L24" s="1787"/>
      <c r="M24" s="1787"/>
      <c r="N24" s="1787"/>
      <c r="O24" s="1787"/>
      <c r="P24" s="1787"/>
      <c r="Q24" s="1787"/>
      <c r="R24" s="1787"/>
    </row>
    <row r="25" spans="2:18" ht="13.5" customHeight="1">
      <c r="B25" s="1787"/>
      <c r="C25" s="1787"/>
      <c r="D25" s="1787"/>
      <c r="E25" s="1787"/>
      <c r="F25" s="1787"/>
      <c r="G25" s="1787"/>
      <c r="H25" s="1787"/>
      <c r="I25" s="1787"/>
      <c r="J25" s="1787"/>
      <c r="K25" s="1787"/>
      <c r="L25" s="1787"/>
      <c r="M25" s="1787"/>
      <c r="N25" s="1787"/>
      <c r="O25" s="1787"/>
      <c r="P25" s="1787"/>
      <c r="Q25" s="1787"/>
      <c r="R25" s="1787"/>
    </row>
    <row r="26" spans="2:18" ht="13.5" customHeight="1">
      <c r="B26" s="1787"/>
      <c r="C26" s="1787"/>
      <c r="D26" s="1787"/>
      <c r="E26" s="1787"/>
      <c r="F26" s="1787"/>
      <c r="G26" s="1787"/>
      <c r="H26" s="1787"/>
      <c r="I26" s="1787"/>
      <c r="J26" s="1787"/>
      <c r="K26" s="1787"/>
      <c r="L26" s="1787"/>
      <c r="M26" s="1787"/>
      <c r="N26" s="1787"/>
      <c r="O26" s="1787"/>
      <c r="P26" s="1787"/>
      <c r="Q26" s="1787"/>
      <c r="R26" s="1787"/>
    </row>
    <row r="27" spans="2:18" ht="13.5" customHeight="1">
      <c r="B27" s="1787"/>
      <c r="C27" s="1787"/>
      <c r="D27" s="1787"/>
      <c r="E27" s="1787"/>
      <c r="F27" s="1787"/>
      <c r="G27" s="1787"/>
      <c r="H27" s="1787"/>
      <c r="I27" s="1787"/>
      <c r="J27" s="1787"/>
      <c r="K27" s="1787"/>
      <c r="L27" s="1787"/>
      <c r="M27" s="1787"/>
      <c r="N27" s="1787"/>
      <c r="O27" s="1787"/>
      <c r="P27" s="1787"/>
      <c r="Q27" s="1787"/>
      <c r="R27" s="1787"/>
    </row>
    <row r="28" spans="2:18" ht="13.5" customHeight="1">
      <c r="B28" s="1787"/>
      <c r="C28" s="1787"/>
      <c r="D28" s="1787"/>
      <c r="E28" s="1787"/>
      <c r="F28" s="1787"/>
      <c r="G28" s="1787"/>
      <c r="H28" s="1787"/>
      <c r="I28" s="1787"/>
      <c r="J28" s="1787"/>
      <c r="K28" s="1787"/>
      <c r="L28" s="1787"/>
      <c r="M28" s="1787"/>
      <c r="N28" s="1787"/>
      <c r="O28" s="1787"/>
      <c r="P28" s="1787"/>
      <c r="Q28" s="1787"/>
      <c r="R28" s="1787"/>
    </row>
    <row r="29" spans="2:18" ht="13.5" customHeight="1">
      <c r="B29" s="1787"/>
      <c r="C29" s="1787"/>
      <c r="D29" s="1787"/>
      <c r="E29" s="1787"/>
      <c r="F29" s="1787"/>
      <c r="G29" s="1787"/>
      <c r="H29" s="1787"/>
      <c r="I29" s="1787"/>
      <c r="J29" s="1787"/>
      <c r="K29" s="1787"/>
      <c r="L29" s="1787"/>
      <c r="M29" s="1787"/>
      <c r="N29" s="1787"/>
      <c r="O29" s="1787"/>
      <c r="P29" s="1787"/>
      <c r="Q29" s="1787"/>
      <c r="R29" s="1787"/>
    </row>
    <row r="30" spans="2:18" ht="13.5" customHeight="1">
      <c r="B30" s="1787"/>
      <c r="C30" s="1787"/>
      <c r="D30" s="1787"/>
      <c r="E30" s="1787"/>
      <c r="F30" s="1787"/>
      <c r="G30" s="1787"/>
      <c r="H30" s="1787"/>
      <c r="I30" s="1787"/>
      <c r="J30" s="1787"/>
      <c r="K30" s="1787"/>
      <c r="L30" s="1787"/>
      <c r="M30" s="1787"/>
      <c r="N30" s="1787"/>
      <c r="O30" s="1787"/>
      <c r="P30" s="1787"/>
      <c r="Q30" s="1787"/>
      <c r="R30" s="1787"/>
    </row>
    <row r="31" spans="2:18" ht="13.5" customHeight="1">
      <c r="B31" s="1787"/>
      <c r="C31" s="1787"/>
      <c r="D31" s="1787"/>
      <c r="E31" s="1787"/>
      <c r="F31" s="1787"/>
      <c r="G31" s="1787"/>
      <c r="H31" s="1787"/>
      <c r="I31" s="1787"/>
      <c r="J31" s="1787"/>
      <c r="K31" s="1787"/>
      <c r="L31" s="1787"/>
      <c r="M31" s="1787"/>
      <c r="N31" s="1787"/>
      <c r="O31" s="1787"/>
      <c r="P31" s="1787"/>
      <c r="Q31" s="1787"/>
      <c r="R31" s="1787"/>
    </row>
    <row r="32" spans="2:18" ht="13.5" customHeight="1">
      <c r="B32" s="1787"/>
      <c r="C32" s="1787"/>
      <c r="D32" s="1787"/>
      <c r="E32" s="1787"/>
      <c r="F32" s="1787"/>
      <c r="G32" s="1787"/>
      <c r="H32" s="1787"/>
      <c r="I32" s="1787"/>
      <c r="J32" s="1787"/>
      <c r="K32" s="1787"/>
      <c r="L32" s="1787"/>
      <c r="M32" s="1787"/>
      <c r="N32" s="1787"/>
      <c r="O32" s="1787"/>
      <c r="P32" s="1787"/>
      <c r="Q32" s="1787"/>
      <c r="R32" s="1787"/>
    </row>
    <row r="33" spans="2:18" ht="13.5" customHeight="1">
      <c r="B33" s="1787"/>
      <c r="C33" s="1787"/>
      <c r="D33" s="1787"/>
      <c r="E33" s="1787"/>
      <c r="F33" s="1787"/>
      <c r="G33" s="1787"/>
      <c r="H33" s="1787"/>
      <c r="I33" s="1787"/>
      <c r="J33" s="1787"/>
      <c r="K33" s="1787"/>
      <c r="L33" s="1787"/>
      <c r="M33" s="1787"/>
      <c r="N33" s="1787"/>
      <c r="O33" s="1787"/>
      <c r="P33" s="1787"/>
      <c r="Q33" s="1787"/>
      <c r="R33" s="1787"/>
    </row>
    <row r="34" spans="2:18" ht="13.5" customHeight="1">
      <c r="B34" s="1787"/>
      <c r="C34" s="1787"/>
      <c r="D34" s="1787"/>
      <c r="E34" s="1787"/>
      <c r="F34" s="1787"/>
      <c r="G34" s="1787"/>
      <c r="H34" s="1787"/>
      <c r="I34" s="1787"/>
      <c r="J34" s="1787"/>
      <c r="K34" s="1787"/>
      <c r="L34" s="1787"/>
      <c r="M34" s="1787"/>
      <c r="N34" s="1787"/>
      <c r="O34" s="1787"/>
      <c r="P34" s="1787"/>
      <c r="Q34" s="1787"/>
      <c r="R34" s="1787"/>
    </row>
    <row r="35" spans="2:18" ht="13.5" customHeight="1">
      <c r="B35" s="1787"/>
      <c r="C35" s="1787"/>
      <c r="D35" s="1787"/>
      <c r="E35" s="1787"/>
      <c r="F35" s="1787"/>
      <c r="G35" s="1787"/>
      <c r="H35" s="1787"/>
      <c r="I35" s="1787"/>
      <c r="J35" s="1787"/>
      <c r="K35" s="1787"/>
      <c r="L35" s="1787"/>
      <c r="M35" s="1787"/>
      <c r="N35" s="1787"/>
      <c r="O35" s="1787"/>
      <c r="P35" s="1787"/>
      <c r="Q35" s="1787"/>
      <c r="R35" s="1787"/>
    </row>
    <row r="36" spans="2:18" ht="13.5" customHeight="1">
      <c r="B36" s="1787"/>
      <c r="C36" s="1787"/>
      <c r="D36" s="1787"/>
      <c r="E36" s="1787"/>
      <c r="F36" s="1787"/>
      <c r="G36" s="1787"/>
      <c r="H36" s="1787"/>
      <c r="I36" s="1787"/>
      <c r="J36" s="1787"/>
      <c r="K36" s="1787"/>
      <c r="L36" s="1787"/>
      <c r="M36" s="1787"/>
      <c r="N36" s="1787"/>
      <c r="O36" s="1787"/>
      <c r="P36" s="1787"/>
      <c r="Q36" s="1787"/>
      <c r="R36" s="1787"/>
    </row>
    <row r="37" spans="2:18" ht="13.5" customHeight="1">
      <c r="G37" s="1787"/>
      <c r="H37" s="1787"/>
      <c r="I37" s="1787"/>
      <c r="J37" s="1787"/>
      <c r="K37" s="1787"/>
      <c r="L37" s="1787"/>
      <c r="M37" s="1787"/>
      <c r="N37" s="1787"/>
      <c r="O37" s="1787"/>
      <c r="P37" s="1787"/>
      <c r="Q37" s="1787"/>
      <c r="R37" s="1787"/>
    </row>
    <row r="38" spans="2:18" ht="13.5" hidden="1" customHeight="1">
      <c r="J38" s="1787"/>
      <c r="K38" s="1787"/>
      <c r="L38" s="1787"/>
      <c r="M38" s="1787"/>
      <c r="N38" s="1787"/>
      <c r="O38" s="1787"/>
      <c r="P38" s="1787"/>
      <c r="Q38" s="1787"/>
      <c r="R38" s="1787"/>
    </row>
  </sheetData>
  <sheetProtection password="CC47" sheet="1" objects="1" scenarios="1"/>
  <phoneticPr fontId="20"/>
  <printOptions horizontalCentered="1"/>
  <pageMargins left="0.59055118110236227" right="0.59055118110236227" top="0.78740157480314965" bottom="0.59055118110236227" header="0.51181102362204722" footer="0.51181102362204722"/>
  <pageSetup paperSize="9" scale="60" orientation="portrait" verticalDpi="4294967293"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sheetPr codeName="Sheet24">
    <pageSetUpPr fitToPage="1"/>
  </sheetPr>
  <dimension ref="A1:AP214"/>
  <sheetViews>
    <sheetView showGridLines="0" workbookViewId="0">
      <selection activeCell="Q1" sqref="Q1:Q1048576"/>
    </sheetView>
  </sheetViews>
  <sheetFormatPr defaultColWidth="0" defaultRowHeight="0" customHeight="1" zeroHeight="1"/>
  <cols>
    <col min="1" max="1" width="0.75" style="686" customWidth="1"/>
    <col min="2" max="2" width="2.125" style="702" customWidth="1"/>
    <col min="3" max="3" width="13.375" style="702" customWidth="1"/>
    <col min="4" max="4" width="5.375" style="703" customWidth="1"/>
    <col min="5" max="5" width="9.75" style="1073" customWidth="1"/>
    <col min="6" max="6" width="6.25" style="1048" customWidth="1"/>
    <col min="7" max="7" width="6.5" style="1048" customWidth="1"/>
    <col min="8" max="8" width="12.875" style="1048" customWidth="1"/>
    <col min="9" max="9" width="7.125" style="1049" customWidth="1"/>
    <col min="10" max="10" width="12.125" style="1049" customWidth="1"/>
    <col min="11" max="11" width="11.875" style="1048" customWidth="1"/>
    <col min="12" max="12" width="10.75" style="1048" customWidth="1"/>
    <col min="13" max="13" width="11.875" style="1051" customWidth="1"/>
    <col min="14" max="15" width="11.375" style="1051" customWidth="1"/>
    <col min="16" max="16" width="0.75" style="686" customWidth="1"/>
    <col min="17" max="17" width="3.875" style="686" hidden="1" customWidth="1"/>
    <col min="18" max="18" width="20.625" style="695" hidden="1" customWidth="1"/>
    <col min="19" max="19" width="18.625" style="1034" hidden="1" customWidth="1"/>
    <col min="20" max="20" width="15.25" style="695" hidden="1" customWidth="1"/>
    <col min="21" max="21" width="19.25" style="695" hidden="1" customWidth="1"/>
    <col min="22" max="22" width="18.625" style="695" hidden="1" customWidth="1"/>
    <col min="23" max="23" width="11.125" style="695" hidden="1" customWidth="1"/>
    <col min="24" max="24" width="20.5" style="695" hidden="1" customWidth="1"/>
    <col min="25" max="25" width="18.625" style="695" hidden="1" customWidth="1"/>
    <col min="26" max="26" width="23" style="695" hidden="1" customWidth="1"/>
    <col min="27" max="27" width="4.5" style="695" hidden="1" customWidth="1"/>
    <col min="28" max="28" width="5" style="695" hidden="1" customWidth="1"/>
    <col min="29" max="31" width="5" style="1035" hidden="1" customWidth="1"/>
    <col min="32" max="32" width="5.125" style="1035" hidden="1" customWidth="1"/>
    <col min="33" max="16384" width="9" style="1035" hidden="1"/>
  </cols>
  <sheetData>
    <row r="1" spans="1:28" s="684" customFormat="1" ht="6" customHeight="1" thickBot="1">
      <c r="A1" s="676"/>
      <c r="B1" s="677"/>
      <c r="C1" s="678"/>
      <c r="D1" s="679"/>
      <c r="E1" s="680"/>
      <c r="F1" s="681"/>
      <c r="G1" s="681"/>
      <c r="H1" s="681"/>
      <c r="I1" s="682"/>
      <c r="J1" s="682"/>
      <c r="K1" s="681"/>
      <c r="L1" s="683"/>
      <c r="M1" s="680"/>
      <c r="N1" s="680"/>
      <c r="O1" s="676"/>
      <c r="P1" s="676"/>
      <c r="Q1" s="676"/>
      <c r="S1" s="685"/>
    </row>
    <row r="2" spans="1:28" s="695" customFormat="1" ht="18.75" customHeight="1" thickTop="1">
      <c r="A2" s="686"/>
      <c r="B2" s="687"/>
      <c r="C2" s="688"/>
      <c r="D2" s="689"/>
      <c r="E2" s="690"/>
      <c r="F2" s="691"/>
      <c r="G2" s="691"/>
      <c r="H2" s="691"/>
      <c r="I2" s="692"/>
      <c r="J2" s="693"/>
      <c r="K2" s="693"/>
      <c r="L2" s="693"/>
      <c r="M2" s="693"/>
      <c r="N2" s="691"/>
      <c r="O2" s="527"/>
      <c r="P2" s="686"/>
      <c r="Q2" s="2891" t="s">
        <v>439</v>
      </c>
      <c r="R2" s="694"/>
      <c r="S2" s="694"/>
      <c r="T2" s="694"/>
      <c r="U2" s="694"/>
      <c r="V2" s="694"/>
      <c r="W2" s="694"/>
      <c r="X2" s="694"/>
      <c r="Y2" s="694"/>
      <c r="Z2" s="694"/>
      <c r="AA2" s="694"/>
      <c r="AB2" s="694"/>
    </row>
    <row r="3" spans="1:28" s="695" customFormat="1" ht="18.75" customHeight="1">
      <c r="A3" s="686"/>
      <c r="B3" s="687"/>
      <c r="C3" s="688"/>
      <c r="D3" s="689"/>
      <c r="E3" s="690"/>
      <c r="F3" s="691"/>
      <c r="G3" s="691"/>
      <c r="H3" s="691"/>
      <c r="I3" s="692"/>
      <c r="J3" s="693"/>
      <c r="K3" s="693"/>
      <c r="L3" s="693"/>
      <c r="M3" s="693"/>
      <c r="N3" s="691"/>
      <c r="O3" s="526"/>
      <c r="P3" s="686"/>
      <c r="Q3" s="2892"/>
      <c r="R3" s="694"/>
      <c r="S3" s="694"/>
      <c r="T3" s="694"/>
      <c r="U3" s="694"/>
      <c r="V3" s="694"/>
      <c r="W3" s="694"/>
      <c r="X3" s="694"/>
      <c r="Y3" s="694"/>
      <c r="Z3" s="694"/>
      <c r="AA3" s="694"/>
      <c r="AB3" s="694"/>
    </row>
    <row r="4" spans="1:28" s="695" customFormat="1" ht="18.75" customHeight="1">
      <c r="A4" s="686"/>
      <c r="B4" s="687"/>
      <c r="C4" s="688"/>
      <c r="D4" s="689"/>
      <c r="E4" s="690"/>
      <c r="F4" s="691"/>
      <c r="G4" s="691"/>
      <c r="H4" s="691"/>
      <c r="I4" s="696"/>
      <c r="J4" s="693"/>
      <c r="K4" s="693"/>
      <c r="L4" s="693"/>
      <c r="M4" s="693"/>
      <c r="N4" s="691"/>
      <c r="O4" s="527"/>
      <c r="P4" s="686"/>
      <c r="Q4" s="2892"/>
      <c r="R4" s="694"/>
      <c r="S4" s="694"/>
      <c r="T4" s="694"/>
      <c r="U4" s="694"/>
      <c r="V4" s="694"/>
      <c r="W4" s="694"/>
      <c r="X4" s="694"/>
      <c r="Y4" s="694"/>
      <c r="Z4" s="694"/>
      <c r="AA4" s="694"/>
      <c r="AB4" s="694"/>
    </row>
    <row r="5" spans="1:28" s="695" customFormat="1" ht="13.5" customHeight="1" thickBot="1">
      <c r="A5" s="686"/>
      <c r="B5" s="697"/>
      <c r="C5" s="698"/>
      <c r="D5" s="689"/>
      <c r="E5" s="690"/>
      <c r="F5" s="691"/>
      <c r="G5" s="691"/>
      <c r="H5" s="691"/>
      <c r="I5" s="699"/>
      <c r="J5" s="700" t="s">
        <v>456</v>
      </c>
      <c r="K5" s="2894" t="str">
        <f>メイン!C6</f>
        <v>CASBEE京都-改修（2015年版）</v>
      </c>
      <c r="L5" s="2895"/>
      <c r="M5" s="700" t="s">
        <v>938</v>
      </c>
      <c r="N5" s="2894" t="str">
        <f>メイン!C5</f>
        <v>CASBEE京都-改修2015（v.1.0）</v>
      </c>
      <c r="O5" s="2896"/>
      <c r="P5" s="686"/>
      <c r="Q5" s="2893"/>
      <c r="R5" s="694"/>
      <c r="S5" s="694"/>
      <c r="T5" s="694"/>
      <c r="U5" s="694"/>
      <c r="V5" s="694"/>
      <c r="W5" s="694"/>
      <c r="X5" s="694"/>
      <c r="Y5" s="694"/>
      <c r="Z5" s="694"/>
      <c r="AA5" s="694"/>
      <c r="AB5" s="694"/>
    </row>
    <row r="6" spans="1:28" s="695" customFormat="1" ht="6" customHeight="1" thickTop="1" thickBot="1">
      <c r="A6" s="686"/>
      <c r="B6" s="701"/>
      <c r="C6" s="702"/>
      <c r="D6" s="703"/>
      <c r="E6" s="704"/>
      <c r="F6" s="705"/>
      <c r="G6" s="705"/>
      <c r="H6" s="705"/>
      <c r="I6" s="706"/>
      <c r="J6" s="707"/>
      <c r="K6" s="707"/>
      <c r="L6" s="708"/>
      <c r="M6" s="704"/>
      <c r="N6" s="704"/>
      <c r="O6" s="704"/>
      <c r="P6" s="686"/>
      <c r="Q6" s="686"/>
      <c r="R6" s="694"/>
      <c r="S6" s="694"/>
      <c r="T6" s="694"/>
      <c r="U6" s="694"/>
      <c r="V6" s="694"/>
      <c r="W6" s="694"/>
      <c r="X6" s="694"/>
      <c r="Y6" s="694"/>
      <c r="Z6" s="694"/>
      <c r="AA6" s="694"/>
      <c r="AB6" s="694"/>
    </row>
    <row r="7" spans="1:28" s="695" customFormat="1" ht="18" customHeight="1" thickBot="1">
      <c r="A7" s="686"/>
      <c r="B7" s="709" t="s">
        <v>939</v>
      </c>
      <c r="C7" s="710"/>
      <c r="D7" s="711"/>
      <c r="E7" s="710"/>
      <c r="F7" s="710"/>
      <c r="G7" s="710"/>
      <c r="H7" s="712"/>
      <c r="I7" s="713"/>
      <c r="J7" s="713"/>
      <c r="K7" s="1080"/>
      <c r="L7" s="1081" t="s">
        <v>940</v>
      </c>
      <c r="M7" s="710"/>
      <c r="N7" s="710"/>
      <c r="O7" s="715"/>
      <c r="P7" s="686"/>
      <c r="Q7" s="686"/>
      <c r="R7" s="716" t="s">
        <v>941</v>
      </c>
      <c r="S7" s="694"/>
      <c r="T7" s="694"/>
      <c r="U7" s="716" t="s">
        <v>942</v>
      </c>
      <c r="V7" s="694"/>
      <c r="W7" s="694"/>
      <c r="X7" s="694"/>
      <c r="Y7" s="694"/>
      <c r="Z7" s="694"/>
      <c r="AA7" s="694"/>
      <c r="AB7" s="694"/>
    </row>
    <row r="8" spans="1:28" s="695" customFormat="1" ht="18" customHeight="1">
      <c r="A8" s="686"/>
      <c r="B8" s="1082" t="s">
        <v>943</v>
      </c>
      <c r="C8" s="1083"/>
      <c r="D8" s="1084">
        <f>メイン!C11</f>
        <v>0</v>
      </c>
      <c r="E8" s="1083"/>
      <c r="F8" s="1083"/>
      <c r="G8" s="1085"/>
      <c r="H8" s="721" t="s">
        <v>944</v>
      </c>
      <c r="I8" s="722"/>
      <c r="J8" s="723" t="str">
        <f>メイン!C22</f>
        <v>地上12F</v>
      </c>
      <c r="K8" s="724"/>
      <c r="L8" s="1086"/>
      <c r="M8" s="726"/>
      <c r="N8" s="726"/>
      <c r="O8" s="727"/>
      <c r="P8" s="686"/>
      <c r="Q8" s="686"/>
      <c r="R8" s="728" t="s">
        <v>427</v>
      </c>
      <c r="S8" s="728" t="e">
        <f>スコア表示!AN8</f>
        <v>#DIV/0!</v>
      </c>
      <c r="T8" s="694"/>
      <c r="U8" s="729"/>
      <c r="V8" s="729" t="s">
        <v>945</v>
      </c>
      <c r="W8" s="730" t="s">
        <v>428</v>
      </c>
      <c r="X8" s="730">
        <v>4</v>
      </c>
      <c r="Y8" s="730">
        <v>2</v>
      </c>
      <c r="Z8" s="731" t="s">
        <v>429</v>
      </c>
      <c r="AA8" s="732" t="s">
        <v>430</v>
      </c>
      <c r="AB8" s="694"/>
    </row>
    <row r="9" spans="1:28" s="695" customFormat="1" ht="18" customHeight="1">
      <c r="A9" s="686"/>
      <c r="B9" s="733" t="s">
        <v>946</v>
      </c>
      <c r="C9" s="734"/>
      <c r="D9" s="735">
        <f>メイン!H12</f>
        <v>0</v>
      </c>
      <c r="E9" s="734"/>
      <c r="F9" s="736"/>
      <c r="H9" s="737" t="s">
        <v>947</v>
      </c>
      <c r="I9" s="738"/>
      <c r="J9" s="739" t="str">
        <f>メイン!C23</f>
        <v>S造</v>
      </c>
      <c r="K9" s="740"/>
      <c r="L9" s="741"/>
      <c r="O9" s="742"/>
      <c r="P9" s="686"/>
      <c r="Q9" s="686"/>
      <c r="R9" s="728" t="s">
        <v>431</v>
      </c>
      <c r="S9" s="728" t="e">
        <f>スコア表示!AN116</f>
        <v>#VALUE!</v>
      </c>
      <c r="U9" s="743" t="s">
        <v>432</v>
      </c>
      <c r="V9" s="729" t="s">
        <v>433</v>
      </c>
      <c r="W9" s="730">
        <v>5</v>
      </c>
      <c r="X9" s="730">
        <v>4</v>
      </c>
      <c r="Y9" s="730">
        <v>2</v>
      </c>
      <c r="Z9" s="744" t="e">
        <f>V45</f>
        <v>#DIV/0!</v>
      </c>
      <c r="AA9" s="732">
        <v>3</v>
      </c>
    </row>
    <row r="10" spans="1:28" s="695" customFormat="1" ht="18" customHeight="1">
      <c r="A10" s="686"/>
      <c r="B10" s="733" t="s">
        <v>948</v>
      </c>
      <c r="C10" s="745"/>
      <c r="D10" s="735">
        <f>メイン!C14</f>
        <v>0</v>
      </c>
      <c r="E10" s="745"/>
      <c r="F10" s="745"/>
      <c r="H10" s="721" t="s">
        <v>949</v>
      </c>
      <c r="I10" s="722"/>
      <c r="J10" s="746">
        <f>メイン!C24</f>
        <v>0</v>
      </c>
      <c r="K10" s="736" t="s">
        <v>950</v>
      </c>
      <c r="L10" s="747"/>
      <c r="N10" s="748"/>
      <c r="O10" s="749"/>
      <c r="P10" s="686"/>
      <c r="Q10" s="686"/>
      <c r="R10" s="731" t="s">
        <v>951</v>
      </c>
      <c r="S10" s="750" t="e">
        <f>25*(S8-1)</f>
        <v>#DIV/0!</v>
      </c>
      <c r="U10" s="743" t="s">
        <v>952</v>
      </c>
      <c r="V10" s="751" t="s">
        <v>953</v>
      </c>
      <c r="W10" s="730">
        <v>5</v>
      </c>
      <c r="X10" s="730">
        <v>4</v>
      </c>
      <c r="Y10" s="730">
        <v>2</v>
      </c>
      <c r="Z10" s="744" t="e">
        <f>Y45</f>
        <v>#DIV/0!</v>
      </c>
      <c r="AA10" s="732">
        <v>3</v>
      </c>
    </row>
    <row r="11" spans="1:28" s="695" customFormat="1" ht="18" customHeight="1">
      <c r="A11" s="686"/>
      <c r="B11" s="752" t="s">
        <v>434</v>
      </c>
      <c r="C11" s="718"/>
      <c r="D11" s="753" t="str">
        <f>IF(メイン!H13="","",メイン!H13)</f>
        <v>６地域</v>
      </c>
      <c r="E11" s="718"/>
      <c r="F11" s="754"/>
      <c r="G11" s="720"/>
      <c r="H11" s="737" t="s">
        <v>954</v>
      </c>
      <c r="I11" s="738"/>
      <c r="J11" s="755">
        <f>メイン!C25</f>
        <v>0</v>
      </c>
      <c r="K11" s="756" t="s">
        <v>955</v>
      </c>
      <c r="L11" s="747"/>
      <c r="M11" s="757" t="s">
        <v>956</v>
      </c>
      <c r="N11" s="748"/>
      <c r="O11" s="749"/>
      <c r="P11" s="686"/>
      <c r="Q11" s="686"/>
      <c r="R11" s="731" t="s">
        <v>957</v>
      </c>
      <c r="S11" s="750" t="e">
        <f>25*(5-S9)</f>
        <v>#VALUE!</v>
      </c>
      <c r="U11" s="743" t="s">
        <v>958</v>
      </c>
      <c r="V11" s="758" t="s">
        <v>567</v>
      </c>
      <c r="W11" s="730">
        <v>5</v>
      </c>
      <c r="X11" s="730">
        <v>4</v>
      </c>
      <c r="Y11" s="730">
        <v>2</v>
      </c>
      <c r="Z11" s="744" t="e">
        <f>Y56</f>
        <v>#DIV/0!</v>
      </c>
      <c r="AA11" s="732">
        <v>3</v>
      </c>
    </row>
    <row r="12" spans="1:28" s="695" customFormat="1" ht="18" customHeight="1">
      <c r="A12" s="686"/>
      <c r="B12" s="759" t="s">
        <v>959</v>
      </c>
      <c r="C12" s="760"/>
      <c r="D12" s="761" t="str">
        <f>メイン!C21</f>
        <v/>
      </c>
      <c r="E12" s="760"/>
      <c r="F12" s="760"/>
      <c r="G12" s="762"/>
      <c r="H12" s="721" t="s">
        <v>973</v>
      </c>
      <c r="I12" s="778"/>
      <c r="J12" s="790">
        <f>メイン!C39</f>
        <v>0</v>
      </c>
      <c r="K12" s="780"/>
      <c r="L12" s="747"/>
      <c r="M12" s="767" t="s">
        <v>962</v>
      </c>
      <c r="N12" s="748"/>
      <c r="O12" s="749"/>
      <c r="P12" s="686"/>
      <c r="Q12" s="686"/>
      <c r="R12" s="731" t="s">
        <v>963</v>
      </c>
      <c r="S12" s="731" t="e">
        <f>S10/S11</f>
        <v>#DIV/0!</v>
      </c>
      <c r="U12" s="743" t="s">
        <v>964</v>
      </c>
      <c r="V12" s="758" t="s">
        <v>965</v>
      </c>
      <c r="W12" s="730">
        <v>5</v>
      </c>
      <c r="X12" s="730">
        <v>4</v>
      </c>
      <c r="Y12" s="730">
        <v>2</v>
      </c>
      <c r="Z12" s="744" t="e">
        <f>V56</f>
        <v>#DIV/0!</v>
      </c>
      <c r="AA12" s="732">
        <v>3</v>
      </c>
    </row>
    <row r="13" spans="1:28" s="695" customFormat="1" ht="18" customHeight="1">
      <c r="A13" s="686"/>
      <c r="B13" s="768" t="s">
        <v>972</v>
      </c>
      <c r="C13" s="804"/>
      <c r="D13" s="2897">
        <f>メイン!C15</f>
        <v>0</v>
      </c>
      <c r="E13" s="2921"/>
      <c r="F13" s="770"/>
      <c r="G13" s="771"/>
      <c r="H13" s="721" t="s">
        <v>978</v>
      </c>
      <c r="I13" s="778"/>
      <c r="J13" s="786">
        <f>メイン!C40</f>
        <v>0</v>
      </c>
      <c r="K13" s="787"/>
      <c r="L13" s="747"/>
      <c r="M13" s="767" t="s">
        <v>47</v>
      </c>
      <c r="O13" s="749"/>
      <c r="P13" s="686"/>
      <c r="Q13" s="686"/>
      <c r="R13" s="743" t="s">
        <v>48</v>
      </c>
      <c r="S13" s="774" t="e">
        <f>ROUNDDOWN(S12,1)</f>
        <v>#DIV/0!</v>
      </c>
      <c r="U13" s="743" t="s">
        <v>49</v>
      </c>
      <c r="V13" s="758" t="s">
        <v>50</v>
      </c>
      <c r="W13" s="730">
        <v>5</v>
      </c>
      <c r="X13" s="730">
        <v>4</v>
      </c>
      <c r="Y13" s="730">
        <v>2</v>
      </c>
      <c r="Z13" s="744" t="e">
        <f>S56</f>
        <v>#DIV/0!</v>
      </c>
      <c r="AA13" s="732">
        <v>3</v>
      </c>
    </row>
    <row r="14" spans="1:28" s="695" customFormat="1" ht="18" customHeight="1">
      <c r="A14" s="686"/>
      <c r="B14" s="772" t="s">
        <v>51</v>
      </c>
      <c r="C14" s="799"/>
      <c r="D14" s="1087">
        <f>メイン!C26</f>
        <v>0</v>
      </c>
      <c r="E14" s="754" t="s">
        <v>961</v>
      </c>
      <c r="F14" s="799"/>
      <c r="G14" s="720"/>
      <c r="H14" s="721" t="s">
        <v>982</v>
      </c>
      <c r="J14" s="790">
        <f>メイン!C41</f>
        <v>0</v>
      </c>
      <c r="L14" s="747"/>
      <c r="O14" s="749"/>
      <c r="P14" s="686"/>
      <c r="Q14" s="686"/>
      <c r="S14" s="781"/>
      <c r="U14" s="743" t="s">
        <v>52</v>
      </c>
      <c r="V14" s="751" t="s">
        <v>975</v>
      </c>
      <c r="W14" s="730">
        <v>5</v>
      </c>
      <c r="X14" s="730">
        <v>4</v>
      </c>
      <c r="Y14" s="730">
        <v>2</v>
      </c>
      <c r="Z14" s="744" t="e">
        <f>IF(S45=0,1,S45)</f>
        <v>#DIV/0!</v>
      </c>
      <c r="AA14" s="732">
        <v>3</v>
      </c>
    </row>
    <row r="15" spans="1:28" s="695" customFormat="1" ht="18" customHeight="1">
      <c r="A15" s="686"/>
      <c r="B15" s="721" t="s">
        <v>976</v>
      </c>
      <c r="C15" s="782"/>
      <c r="D15" s="783"/>
      <c r="E15" s="784">
        <f>メイン!H17</f>
        <v>0</v>
      </c>
      <c r="F15" s="785" t="s">
        <v>977</v>
      </c>
      <c r="H15" s="737" t="s">
        <v>985</v>
      </c>
      <c r="I15" s="799"/>
      <c r="J15" s="800">
        <f>メイン!C42</f>
        <v>0</v>
      </c>
      <c r="K15" s="799"/>
      <c r="L15" s="747"/>
      <c r="M15" s="748"/>
      <c r="N15" s="748"/>
      <c r="O15" s="749"/>
      <c r="P15" s="686"/>
      <c r="Q15" s="686"/>
      <c r="R15" s="731" t="s">
        <v>53</v>
      </c>
      <c r="S15" s="788" t="e">
        <f>IF(AND($S$10&gt;=50,$S$12&gt;=3),1,IF(S13&lt;0.5,1,IF(S13&lt;1,2,IF(S13&lt;1.5,3,IF(S13&lt;3,4,4))))/5)</f>
        <v>#DIV/0!</v>
      </c>
      <c r="V15" s="789"/>
      <c r="Z15" s="789"/>
    </row>
    <row r="16" spans="1:28" s="695" customFormat="1" ht="18" customHeight="1">
      <c r="A16" s="686"/>
      <c r="B16" s="721" t="s">
        <v>980</v>
      </c>
      <c r="C16" s="782"/>
      <c r="D16" s="783"/>
      <c r="E16" s="784">
        <f>メイン!C18</f>
        <v>0</v>
      </c>
      <c r="F16" s="785" t="s">
        <v>981</v>
      </c>
      <c r="H16" s="763" t="s">
        <v>989</v>
      </c>
      <c r="I16" s="804"/>
      <c r="J16" s="2873" t="str">
        <f>IF(メイン!C27=0,"",メイン!C27)</f>
        <v/>
      </c>
      <c r="K16" s="2874"/>
      <c r="L16" s="747"/>
      <c r="M16" s="748"/>
      <c r="N16" s="748"/>
      <c r="O16" s="749"/>
      <c r="P16" s="686"/>
      <c r="Q16" s="686"/>
      <c r="R16" s="731" t="s">
        <v>54</v>
      </c>
      <c r="S16" s="788" t="e">
        <f>1-S15</f>
        <v>#DIV/0!</v>
      </c>
      <c r="T16" s="789"/>
      <c r="U16" s="794"/>
      <c r="V16" s="789"/>
      <c r="W16" s="789"/>
      <c r="X16" s="789"/>
      <c r="Y16" s="789"/>
      <c r="Z16" s="789"/>
      <c r="AA16" s="789"/>
      <c r="AB16" s="789"/>
    </row>
    <row r="17" spans="1:28" s="695" customFormat="1" ht="18" customHeight="1" thickBot="1">
      <c r="A17" s="686"/>
      <c r="B17" s="1088" t="s">
        <v>984</v>
      </c>
      <c r="C17" s="1089"/>
      <c r="D17" s="1090"/>
      <c r="E17" s="1091">
        <f>メイン!C19</f>
        <v>0</v>
      </c>
      <c r="F17" s="1092" t="s">
        <v>977</v>
      </c>
      <c r="G17" s="1093"/>
      <c r="H17" s="741"/>
      <c r="J17" s="2876"/>
      <c r="K17" s="2877"/>
      <c r="L17" s="1094"/>
      <c r="M17" s="1095"/>
      <c r="N17" s="1096"/>
      <c r="O17" s="1097"/>
      <c r="P17" s="686"/>
      <c r="Q17" s="686"/>
      <c r="R17" s="789"/>
      <c r="S17" s="789"/>
      <c r="T17" s="789"/>
      <c r="U17" s="789"/>
      <c r="V17" s="789"/>
      <c r="W17" s="789"/>
      <c r="X17" s="789"/>
      <c r="Y17" s="789"/>
      <c r="Z17" s="789"/>
      <c r="AA17" s="789"/>
      <c r="AB17" s="789"/>
    </row>
    <row r="18" spans="1:28" s="695" customFormat="1" ht="18" hidden="1" customHeight="1">
      <c r="A18" s="686"/>
      <c r="B18" s="741"/>
      <c r="D18" s="1098"/>
      <c r="E18" s="1099"/>
      <c r="F18" s="1099"/>
      <c r="G18" s="1100"/>
      <c r="I18"/>
      <c r="J18" s="2879"/>
      <c r="K18" s="2884"/>
      <c r="L18" s="1101"/>
      <c r="M18" s="1102"/>
      <c r="N18" s="1103"/>
      <c r="O18" s="1104"/>
      <c r="P18" s="686"/>
      <c r="Q18" s="686"/>
      <c r="R18" s="807"/>
      <c r="S18" s="808"/>
      <c r="T18" s="789"/>
      <c r="U18" s="789"/>
      <c r="V18" s="808"/>
      <c r="W18" s="809"/>
      <c r="X18" s="789"/>
      <c r="Y18" s="789"/>
      <c r="Z18" s="789"/>
      <c r="AA18" s="789"/>
      <c r="AB18" s="789"/>
    </row>
    <row r="19" spans="1:28" s="695" customFormat="1" ht="18" hidden="1" customHeight="1">
      <c r="A19" s="686"/>
      <c r="B19" s="1105"/>
      <c r="C19" s="1106"/>
      <c r="D19" s="1107"/>
      <c r="E19" s="1099"/>
      <c r="F19" s="1099"/>
      <c r="G19" s="1100"/>
      <c r="H19"/>
      <c r="I19"/>
      <c r="J19"/>
      <c r="K19" s="1108"/>
      <c r="L19" s="1101"/>
      <c r="M19" s="1102"/>
      <c r="N19" s="1103"/>
      <c r="O19" s="1104"/>
      <c r="P19" s="686"/>
      <c r="Q19" s="686"/>
      <c r="R19" s="807"/>
      <c r="S19" s="808"/>
      <c r="T19" s="789"/>
      <c r="U19" s="789"/>
      <c r="V19" s="808"/>
      <c r="W19" s="809"/>
      <c r="X19" s="789"/>
      <c r="Y19" s="789"/>
      <c r="Z19" s="789"/>
      <c r="AA19" s="789"/>
      <c r="AB19" s="789"/>
    </row>
    <row r="20" spans="1:28" s="695" customFormat="1" ht="18" hidden="1" customHeight="1" thickBot="1">
      <c r="A20" s="686"/>
      <c r="B20" s="1109"/>
      <c r="C20" s="1110"/>
      <c r="D20" s="1111"/>
      <c r="E20" s="1112"/>
      <c r="F20" s="1112"/>
      <c r="G20" s="1113"/>
      <c r="H20"/>
      <c r="I20"/>
      <c r="J20"/>
      <c r="K20" s="1114"/>
      <c r="L20" s="1115"/>
      <c r="M20" s="1116"/>
      <c r="N20" s="1096"/>
      <c r="O20" s="1097"/>
      <c r="P20" s="686"/>
      <c r="Q20" s="686"/>
      <c r="R20" s="807"/>
      <c r="S20" s="808"/>
      <c r="T20" s="789"/>
      <c r="U20" s="789"/>
      <c r="V20" s="808"/>
      <c r="W20" s="809"/>
      <c r="X20" s="789"/>
      <c r="Y20" s="789"/>
      <c r="Z20" s="789"/>
      <c r="AA20" s="789"/>
      <c r="AB20" s="789"/>
    </row>
    <row r="21" spans="1:28" s="695" customFormat="1" ht="8.25" customHeight="1" thickBot="1">
      <c r="A21" s="686"/>
      <c r="B21" s="817"/>
      <c r="C21" s="818"/>
      <c r="D21" s="817"/>
      <c r="E21" s="819"/>
      <c r="F21" s="819"/>
      <c r="G21" s="819"/>
      <c r="H21" s="819"/>
      <c r="I21" s="820"/>
      <c r="J21" s="821"/>
      <c r="K21" s="822"/>
      <c r="L21" s="819"/>
      <c r="M21" s="819"/>
      <c r="N21" s="819"/>
      <c r="O21" s="819"/>
      <c r="P21" s="686"/>
      <c r="Q21" s="686"/>
      <c r="R21" s="807"/>
      <c r="S21" s="808"/>
      <c r="T21" s="789"/>
      <c r="U21" s="789"/>
      <c r="V21" s="808"/>
      <c r="W21" s="809"/>
      <c r="X21" s="789"/>
      <c r="Y21" s="789"/>
      <c r="Z21" s="789"/>
      <c r="AA21" s="789"/>
      <c r="AB21" s="789"/>
    </row>
    <row r="22" spans="1:28" s="695" customFormat="1" ht="19.5" thickBot="1">
      <c r="A22" s="686"/>
      <c r="B22" s="823" t="s">
        <v>993</v>
      </c>
      <c r="C22" s="824"/>
      <c r="D22" s="825"/>
      <c r="E22" s="826"/>
      <c r="F22" s="826"/>
      <c r="G22" s="826"/>
      <c r="H22" s="714" t="s">
        <v>333</v>
      </c>
      <c r="I22" s="828"/>
      <c r="J22" s="829"/>
      <c r="K22" s="829"/>
      <c r="L22" s="827" t="s">
        <v>334</v>
      </c>
      <c r="M22" s="828"/>
      <c r="N22" s="829"/>
      <c r="O22" s="830"/>
      <c r="P22" s="686"/>
      <c r="Q22" s="686"/>
      <c r="R22" s="731" t="s">
        <v>994</v>
      </c>
      <c r="S22" s="729" t="s">
        <v>995</v>
      </c>
      <c r="T22" s="729" t="s">
        <v>996</v>
      </c>
      <c r="U22" s="729" t="s">
        <v>997</v>
      </c>
      <c r="AB22" s="789"/>
    </row>
    <row r="23" spans="1:28" s="695" customFormat="1" ht="15" customHeight="1">
      <c r="A23" s="686"/>
      <c r="B23" s="741"/>
      <c r="H23" s="831"/>
      <c r="I23" s="832"/>
      <c r="J23" s="832"/>
      <c r="K23" s="832"/>
      <c r="L23" s="833"/>
      <c r="M23" s="834"/>
      <c r="O23" s="835"/>
      <c r="R23" s="731" t="s">
        <v>998</v>
      </c>
      <c r="S23" s="744"/>
      <c r="T23" s="836" t="e">
        <f>S11</f>
        <v>#VALUE!</v>
      </c>
      <c r="U23" s="836">
        <v>0</v>
      </c>
      <c r="V23" s="789"/>
      <c r="W23" s="729" t="s">
        <v>999</v>
      </c>
      <c r="X23" s="729"/>
      <c r="Y23" s="789"/>
      <c r="Z23" s="729" t="s">
        <v>1000</v>
      </c>
      <c r="AA23" s="729"/>
      <c r="AB23" s="789"/>
    </row>
    <row r="24" spans="1:28" s="695" customFormat="1" ht="15" customHeight="1">
      <c r="A24" s="686"/>
      <c r="B24" s="741"/>
      <c r="C24" s="781" t="e">
        <f>S13</f>
        <v>#DIV/0!</v>
      </c>
      <c r="H24" s="837"/>
      <c r="I24" s="832"/>
      <c r="J24" s="832"/>
      <c r="K24" s="832"/>
      <c r="L24" s="833"/>
      <c r="M24" s="834"/>
      <c r="N24" s="838"/>
      <c r="O24" s="839"/>
      <c r="R24" s="731" t="s">
        <v>1001</v>
      </c>
      <c r="S24" s="744"/>
      <c r="T24" s="836" t="e">
        <f>S10</f>
        <v>#DIV/0!</v>
      </c>
      <c r="U24" s="836">
        <v>0</v>
      </c>
      <c r="V24" s="789"/>
      <c r="W24" s="744">
        <v>50</v>
      </c>
      <c r="X24" s="744">
        <v>50</v>
      </c>
      <c r="Y24" s="789"/>
      <c r="Z24" s="744">
        <v>0</v>
      </c>
      <c r="AA24" s="744">
        <v>100</v>
      </c>
      <c r="AB24" s="789"/>
    </row>
    <row r="25" spans="1:28" s="695" customFormat="1" ht="15" customHeight="1">
      <c r="A25" s="686"/>
      <c r="B25" s="741"/>
      <c r="H25" s="837"/>
      <c r="I25" s="832"/>
      <c r="J25" s="832"/>
      <c r="K25" s="832"/>
      <c r="L25" s="833"/>
      <c r="N25" s="838"/>
      <c r="O25" s="839"/>
      <c r="R25" s="744">
        <v>0</v>
      </c>
      <c r="S25" s="729" t="e">
        <f>T23</f>
        <v>#VALUE!</v>
      </c>
      <c r="T25" s="840" t="e">
        <f>T23</f>
        <v>#VALUE!</v>
      </c>
      <c r="U25" s="840">
        <v>0.1</v>
      </c>
      <c r="V25" s="789"/>
      <c r="W25" s="744">
        <v>0</v>
      </c>
      <c r="X25" s="744">
        <v>100</v>
      </c>
      <c r="Y25" s="789"/>
      <c r="Z25" s="744">
        <v>50</v>
      </c>
      <c r="AA25" s="744">
        <v>50</v>
      </c>
      <c r="AB25" s="789"/>
    </row>
    <row r="26" spans="1:28" s="695" customFormat="1" ht="15" customHeight="1">
      <c r="A26" s="686"/>
      <c r="B26" s="841"/>
      <c r="C26" s="842"/>
      <c r="D26" s="842"/>
      <c r="E26" s="842"/>
      <c r="F26" s="842"/>
      <c r="G26" s="843"/>
      <c r="H26" s="844"/>
      <c r="I26" s="832"/>
      <c r="J26" s="726"/>
      <c r="K26" s="832"/>
      <c r="L26" s="833"/>
      <c r="M26" s="834"/>
      <c r="N26" s="838"/>
      <c r="O26" s="839"/>
      <c r="R26" s="744">
        <v>0</v>
      </c>
      <c r="S26" s="729">
        <v>0</v>
      </c>
      <c r="T26" s="840" t="e">
        <f>T24</f>
        <v>#DIV/0!</v>
      </c>
      <c r="U26" s="840" t="e">
        <f>T24</f>
        <v>#DIV/0!</v>
      </c>
      <c r="V26" s="789"/>
      <c r="W26" s="789"/>
      <c r="X26" s="789"/>
      <c r="Y26" s="789"/>
      <c r="Z26" s="789"/>
      <c r="AA26" s="789"/>
      <c r="AB26" s="789"/>
    </row>
    <row r="27" spans="1:28" s="695" customFormat="1" ht="15" customHeight="1">
      <c r="A27" s="686"/>
      <c r="B27" s="741"/>
      <c r="H27" s="2100" t="str">
        <f>U35</f>
        <v>標準計算</v>
      </c>
      <c r="I27" s="1813"/>
      <c r="J27" s="1813"/>
      <c r="K27" s="1820"/>
      <c r="L27" s="833"/>
      <c r="N27" s="838"/>
      <c r="O27" s="839"/>
      <c r="V27" s="789"/>
      <c r="W27" s="789"/>
      <c r="X27" s="789"/>
      <c r="Y27" s="789"/>
      <c r="Z27" s="789"/>
      <c r="AA27" s="789"/>
      <c r="AB27" s="789"/>
    </row>
    <row r="28" spans="1:28" s="695" customFormat="1" ht="15" customHeight="1">
      <c r="A28" s="686"/>
      <c r="B28" s="741"/>
      <c r="H28" s="2104"/>
      <c r="I28" s="846"/>
      <c r="J28" s="847"/>
      <c r="K28" s="1814"/>
      <c r="L28" s="833"/>
      <c r="N28" s="838"/>
      <c r="O28" s="839"/>
      <c r="R28" s="849" t="s">
        <v>1002</v>
      </c>
      <c r="S28" s="729" t="s">
        <v>1003</v>
      </c>
      <c r="T28" s="850">
        <v>0</v>
      </c>
      <c r="U28" s="850">
        <f>100/6</f>
        <v>16.666666666666668</v>
      </c>
      <c r="V28" s="851">
        <f>U28*2</f>
        <v>33.333333333333336</v>
      </c>
      <c r="W28" s="850">
        <f>U28*3</f>
        <v>50</v>
      </c>
      <c r="X28" s="850">
        <f>U28*4</f>
        <v>66.666666666666671</v>
      </c>
      <c r="Y28" s="850">
        <f>U28*5</f>
        <v>83.333333333333343</v>
      </c>
      <c r="Z28" s="850">
        <v>100</v>
      </c>
      <c r="AA28" s="789"/>
      <c r="AB28" s="789"/>
    </row>
    <row r="29" spans="1:28" s="695" customFormat="1" ht="15" customHeight="1">
      <c r="A29" s="686"/>
      <c r="B29" s="741"/>
      <c r="H29" s="2104"/>
      <c r="I29" s="846"/>
      <c r="J29" s="847"/>
      <c r="K29" s="848"/>
      <c r="L29" s="833"/>
      <c r="N29" s="838"/>
      <c r="O29" s="839"/>
      <c r="R29" s="849"/>
      <c r="S29" s="729" t="s">
        <v>1004</v>
      </c>
      <c r="T29" s="850">
        <v>100</v>
      </c>
      <c r="U29" s="850">
        <v>100</v>
      </c>
      <c r="V29" s="850">
        <v>100</v>
      </c>
      <c r="W29" s="850">
        <v>100</v>
      </c>
      <c r="X29" s="850">
        <v>100</v>
      </c>
      <c r="Y29" s="850">
        <v>100</v>
      </c>
      <c r="Z29" s="850">
        <v>100</v>
      </c>
      <c r="AA29" s="789"/>
      <c r="AB29" s="789"/>
    </row>
    <row r="30" spans="1:28" s="695" customFormat="1" ht="15" customHeight="1">
      <c r="A30" s="686"/>
      <c r="B30" s="741"/>
      <c r="H30" s="2104"/>
      <c r="I30" s="846"/>
      <c r="J30" s="847"/>
      <c r="K30" s="1811"/>
      <c r="L30" s="852"/>
      <c r="M30" s="853"/>
      <c r="N30" s="854"/>
      <c r="O30" s="855"/>
      <c r="R30" s="849">
        <v>3</v>
      </c>
      <c r="S30" s="729" t="s">
        <v>1005</v>
      </c>
      <c r="T30" s="850">
        <v>50</v>
      </c>
      <c r="U30" s="850">
        <f t="shared" ref="U30:V33" si="0">U$28*$R30</f>
        <v>50</v>
      </c>
      <c r="V30" s="850">
        <f t="shared" si="0"/>
        <v>100</v>
      </c>
      <c r="W30" s="850">
        <v>100</v>
      </c>
      <c r="X30" s="850">
        <v>100</v>
      </c>
      <c r="Y30" s="850">
        <v>100</v>
      </c>
      <c r="Z30" s="850">
        <v>100</v>
      </c>
      <c r="AA30" s="789"/>
      <c r="AB30" s="789"/>
    </row>
    <row r="31" spans="1:28" s="695" customFormat="1" ht="15" customHeight="1">
      <c r="A31" s="686"/>
      <c r="B31" s="741"/>
      <c r="H31" s="2104"/>
      <c r="I31" s="846"/>
      <c r="J31" s="847"/>
      <c r="K31" s="1811"/>
      <c r="L31" s="845"/>
      <c r="M31" s="846"/>
      <c r="N31" s="847"/>
      <c r="O31" s="1812"/>
      <c r="R31" s="849">
        <v>1.5</v>
      </c>
      <c r="S31" s="729" t="s">
        <v>1006</v>
      </c>
      <c r="T31" s="850">
        <v>0</v>
      </c>
      <c r="U31" s="850">
        <f t="shared" si="0"/>
        <v>25</v>
      </c>
      <c r="V31" s="850">
        <f t="shared" si="0"/>
        <v>50</v>
      </c>
      <c r="W31" s="850">
        <f t="shared" ref="W31:X33" si="1">W$28*$R31</f>
        <v>75</v>
      </c>
      <c r="X31" s="850">
        <f t="shared" si="1"/>
        <v>100</v>
      </c>
      <c r="Y31" s="850">
        <v>100</v>
      </c>
      <c r="Z31" s="850">
        <v>100</v>
      </c>
      <c r="AA31" s="789"/>
      <c r="AB31" s="789"/>
    </row>
    <row r="32" spans="1:28" s="695" customFormat="1" ht="15" customHeight="1">
      <c r="A32" s="686"/>
      <c r="B32" s="741"/>
      <c r="H32" s="2104"/>
      <c r="I32" s="846"/>
      <c r="J32" s="847"/>
      <c r="K32" s="848"/>
      <c r="L32" s="833"/>
      <c r="N32" s="838"/>
      <c r="O32" s="839"/>
      <c r="R32" s="849">
        <v>1</v>
      </c>
      <c r="S32" s="729" t="s">
        <v>1007</v>
      </c>
      <c r="T32" s="850">
        <v>0</v>
      </c>
      <c r="U32" s="850">
        <f t="shared" si="0"/>
        <v>16.666666666666668</v>
      </c>
      <c r="V32" s="850">
        <f t="shared" si="0"/>
        <v>33.333333333333336</v>
      </c>
      <c r="W32" s="850">
        <f t="shared" si="1"/>
        <v>50</v>
      </c>
      <c r="X32" s="850">
        <f t="shared" si="1"/>
        <v>66.666666666666671</v>
      </c>
      <c r="Y32" s="850">
        <f>Y$28*$R32</f>
        <v>83.333333333333343</v>
      </c>
      <c r="Z32" s="850">
        <f>Z$28*$R32</f>
        <v>100</v>
      </c>
      <c r="AA32" s="789"/>
      <c r="AB32" s="789"/>
    </row>
    <row r="33" spans="1:30" s="695" customFormat="1" ht="15" customHeight="1">
      <c r="A33" s="686"/>
      <c r="B33" s="741"/>
      <c r="H33" s="2104"/>
      <c r="I33" s="846"/>
      <c r="J33" s="847"/>
      <c r="K33" s="848"/>
      <c r="L33" s="833"/>
      <c r="N33" s="838"/>
      <c r="O33" s="839"/>
      <c r="R33" s="849">
        <v>0.5</v>
      </c>
      <c r="S33" s="729" t="s">
        <v>1008</v>
      </c>
      <c r="T33" s="850">
        <v>0</v>
      </c>
      <c r="U33" s="850">
        <f t="shared" si="0"/>
        <v>8.3333333333333339</v>
      </c>
      <c r="V33" s="850">
        <f t="shared" si="0"/>
        <v>16.666666666666668</v>
      </c>
      <c r="W33" s="850">
        <f t="shared" si="1"/>
        <v>25</v>
      </c>
      <c r="X33" s="850">
        <f t="shared" si="1"/>
        <v>33.333333333333336</v>
      </c>
      <c r="Y33" s="850">
        <f>Y$28*$R33</f>
        <v>41.666666666666671</v>
      </c>
      <c r="Z33" s="850">
        <f>Z$28*$R33</f>
        <v>50</v>
      </c>
      <c r="AA33" s="789"/>
      <c r="AB33" s="789"/>
    </row>
    <row r="34" spans="1:30" s="695" customFormat="1" ht="15" customHeight="1" thickBot="1">
      <c r="A34" s="686"/>
      <c r="B34" s="741"/>
      <c r="H34" s="844"/>
      <c r="I34" s="832"/>
      <c r="J34" s="832"/>
      <c r="K34" s="832"/>
      <c r="L34" s="833"/>
      <c r="M34" s="834"/>
      <c r="N34" s="838"/>
      <c r="O34" s="839"/>
      <c r="AA34" s="789"/>
      <c r="AB34" s="789"/>
    </row>
    <row r="35" spans="1:30" s="695" customFormat="1" ht="15" customHeight="1" thickBot="1">
      <c r="A35" s="805"/>
      <c r="B35" s="741"/>
      <c r="H35" s="844"/>
      <c r="I35" s="832"/>
      <c r="J35" s="832"/>
      <c r="K35" s="832"/>
      <c r="L35" s="2913"/>
      <c r="M35" s="2914"/>
      <c r="N35" s="2914"/>
      <c r="O35" s="2915"/>
      <c r="R35" s="731" t="s">
        <v>934</v>
      </c>
      <c r="S35" s="788" t="e">
        <f>IF(T35&lt;=0.3,1,IF(T35&lt;=0.6,0.8,IF(X40&lt;=0.8,0.6,IF(X40&lt;=1,0.4,0.2))))</f>
        <v>#DIV/0!</v>
      </c>
      <c r="T35" s="1815" t="e">
        <f>IF(U35=W35,X41,X42)</f>
        <v>#DIV/0!</v>
      </c>
      <c r="U35" s="858" t="str">
        <f>メイン!C43</f>
        <v>標準計算</v>
      </c>
      <c r="V35" s="1819" t="s">
        <v>830</v>
      </c>
      <c r="W35" s="861" t="s">
        <v>509</v>
      </c>
      <c r="X35" s="861" t="s">
        <v>1839</v>
      </c>
      <c r="AA35" s="789"/>
      <c r="AB35" s="789"/>
    </row>
    <row r="36" spans="1:30" s="695" customFormat="1" ht="15" customHeight="1">
      <c r="A36" s="805"/>
      <c r="B36" s="741"/>
      <c r="H36" s="2885" t="str">
        <f>IF(U35=W35,X35,X36)</f>
        <v>このグラフは，LR3中の「地球温暖化への配慮」の内容を，一般的な建物（参照値）と比べたライフサイクルCO2 排出量の目安で示したものです</v>
      </c>
      <c r="I36" s="2886"/>
      <c r="J36" s="2886"/>
      <c r="K36" s="2887"/>
      <c r="L36" s="2913"/>
      <c r="M36" s="2914"/>
      <c r="N36" s="2914"/>
      <c r="O36" s="2915"/>
      <c r="R36" s="731" t="s">
        <v>983</v>
      </c>
      <c r="S36" s="1816" t="e">
        <f>1-S35</f>
        <v>#DIV/0!</v>
      </c>
      <c r="T36" s="1815"/>
      <c r="U36" s="861" t="s">
        <v>829</v>
      </c>
      <c r="V36" s="1815" t="str">
        <f>IF(U35=W36,V35,"")</f>
        <v/>
      </c>
      <c r="W36" s="861" t="s">
        <v>511</v>
      </c>
      <c r="X36" s="861" t="s">
        <v>1840</v>
      </c>
      <c r="AA36" s="789"/>
      <c r="AB36" s="789"/>
    </row>
    <row r="37" spans="1:30" s="695" customFormat="1" ht="15" customHeight="1">
      <c r="A37" s="805"/>
      <c r="B37" s="741"/>
      <c r="C37" s="862"/>
      <c r="H37" s="2885"/>
      <c r="I37" s="2886"/>
      <c r="J37" s="2886"/>
      <c r="K37" s="2887"/>
      <c r="L37" s="2913"/>
      <c r="M37" s="2914"/>
      <c r="N37" s="2914"/>
      <c r="O37" s="2915"/>
      <c r="AA37" s="789"/>
      <c r="AB37" s="789"/>
    </row>
    <row r="38" spans="1:30" s="695" customFormat="1" ht="15" customHeight="1" thickBot="1">
      <c r="A38" s="805"/>
      <c r="B38" s="810"/>
      <c r="C38" s="812"/>
      <c r="D38" s="812"/>
      <c r="E38" s="812"/>
      <c r="F38" s="812"/>
      <c r="G38" s="812"/>
      <c r="H38" s="2888"/>
      <c r="I38" s="2889"/>
      <c r="J38" s="2889"/>
      <c r="K38" s="2890"/>
      <c r="L38" s="2916"/>
      <c r="M38" s="2917"/>
      <c r="N38" s="2917"/>
      <c r="O38" s="2918"/>
      <c r="R38" s="856" t="s">
        <v>1009</v>
      </c>
      <c r="S38" s="857" t="s">
        <v>1010</v>
      </c>
      <c r="T38" s="857" t="s">
        <v>1011</v>
      </c>
      <c r="U38" s="857" t="s">
        <v>1012</v>
      </c>
      <c r="V38" s="857" t="s">
        <v>451</v>
      </c>
      <c r="W38" s="857" t="s">
        <v>452</v>
      </c>
      <c r="X38" s="857" t="s">
        <v>435</v>
      </c>
      <c r="Y38" s="728" t="s">
        <v>436</v>
      </c>
      <c r="AC38" s="789"/>
      <c r="AD38" s="789"/>
    </row>
    <row r="39" spans="1:30" s="695" customFormat="1" ht="18" customHeight="1" thickBot="1">
      <c r="A39" s="686"/>
      <c r="B39" s="863" t="s">
        <v>1015</v>
      </c>
      <c r="C39" s="864"/>
      <c r="D39" s="865"/>
      <c r="E39" s="864"/>
      <c r="F39" s="864"/>
      <c r="G39" s="864"/>
      <c r="H39" s="866"/>
      <c r="I39" s="867"/>
      <c r="J39" s="864"/>
      <c r="K39" s="864"/>
      <c r="L39" s="864"/>
      <c r="M39" s="868"/>
      <c r="N39" s="868"/>
      <c r="O39" s="869"/>
      <c r="P39" s="686"/>
      <c r="Q39" s="686"/>
      <c r="R39" s="728" t="s">
        <v>437</v>
      </c>
      <c r="S39" s="859" t="e">
        <f>IF($U$35=$W$35,'条件(標準)_前'!D9,'条件(個別)_前'!D9)</f>
        <v>#DIV/0!</v>
      </c>
      <c r="T39" s="859" t="e">
        <f>IF($U$35=$W$35,'条件(標準)_前'!D34,'条件(個別)_前'!D34)</f>
        <v>#DIV/0!</v>
      </c>
      <c r="U39" s="859">
        <f>IF($U$35=$W$35,'条件(標準)_前'!D46,'条件(個別)_前'!D46)</f>
        <v>0</v>
      </c>
      <c r="V39" s="859"/>
      <c r="W39" s="859"/>
      <c r="X39" s="860">
        <v>1</v>
      </c>
      <c r="Y39" s="728" t="e">
        <f>IF(COUNTIF(S39:W39,Z40)&gt;0,Z40,SUM(S39:W39))</f>
        <v>#DIV/0!</v>
      </c>
      <c r="AC39" s="789"/>
      <c r="AD39" s="789"/>
    </row>
    <row r="40" spans="1:30" s="695" customFormat="1" ht="18.75">
      <c r="A40" s="686"/>
      <c r="B40" s="870" t="s">
        <v>1016</v>
      </c>
      <c r="C40" s="871"/>
      <c r="D40" s="871"/>
      <c r="E40" s="872"/>
      <c r="F40" s="871"/>
      <c r="G40" s="871"/>
      <c r="H40" s="871"/>
      <c r="I40" s="871"/>
      <c r="J40" s="871"/>
      <c r="K40" s="873"/>
      <c r="L40" s="874"/>
      <c r="M40" s="875" t="s">
        <v>55</v>
      </c>
      <c r="N40" s="876" t="e">
        <f>スコア表示!T8</f>
        <v>#DIV/0!</v>
      </c>
      <c r="O40" s="877"/>
      <c r="P40" s="686"/>
      <c r="Q40" s="686"/>
      <c r="R40" s="728" t="s">
        <v>935</v>
      </c>
      <c r="S40" s="859" t="e">
        <f>IF($U$35=$W$35,'条件(標準)_前'!E9,'条件(個別)_前'!E9)</f>
        <v>#DIV/0!</v>
      </c>
      <c r="T40" s="859" t="e">
        <f>IF($U$35=$W$35,'条件(標準)_前'!E34,'条件(個別)_前'!E34)</f>
        <v>#DIV/0!</v>
      </c>
      <c r="U40" s="859">
        <f>IF($U$35=$W$35,'条件(標準)_前'!E46,'条件(個別)_前'!E46)</f>
        <v>0</v>
      </c>
      <c r="V40" s="859"/>
      <c r="W40" s="859"/>
      <c r="X40" s="860" t="e">
        <f>IF(Y39=Z40,Z40,Y40/Y39)</f>
        <v>#DIV/0!</v>
      </c>
      <c r="Y40" s="728" t="e">
        <f>IF(COUNTIF(S40:W40,Z41)&gt;0,Z41,SUM(S40:W40))</f>
        <v>#DIV/0!</v>
      </c>
      <c r="Z40" s="695" t="s">
        <v>1013</v>
      </c>
      <c r="AC40" s="789"/>
      <c r="AD40" s="789"/>
    </row>
    <row r="41" spans="1:30" s="695" customFormat="1" ht="15">
      <c r="A41" s="686"/>
      <c r="B41" s="741"/>
      <c r="C41" s="878" t="str">
        <f>スコア表示!B9&amp;" "&amp;スコア表示!D9</f>
        <v>Q1 室内環境</v>
      </c>
      <c r="D41" s="879"/>
      <c r="E41" s="879"/>
      <c r="F41" s="879"/>
      <c r="G41" s="879"/>
      <c r="H41" s="879" t="str">
        <f>"     "&amp;スコア表示!B61&amp;" "&amp;スコア表示!D61</f>
        <v xml:space="preserve">     Q2 サービス性能</v>
      </c>
      <c r="I41" s="879"/>
      <c r="J41" s="805"/>
      <c r="K41" s="805"/>
      <c r="L41" s="880" t="str">
        <f>スコア表示!B109&amp;" "&amp;スコア表示!D109</f>
        <v>Q3 室外環境（敷地内）</v>
      </c>
      <c r="M41" s="880"/>
      <c r="N41" s="805"/>
      <c r="O41" s="881"/>
      <c r="P41" s="686"/>
      <c r="R41" s="728" t="s">
        <v>448</v>
      </c>
      <c r="S41" s="1810"/>
      <c r="T41" s="1810"/>
      <c r="U41" s="1810"/>
      <c r="V41" s="859" t="e">
        <f>IF($U$35=$W$35,'条件(標準)_前'!E9+'条件(標準)_前'!E34+'条件(標準)_前'!E47,'条件(個別)_前'!E9+'条件(個別)_前'!E34+'条件(個別)_前'!E47)</f>
        <v>#DIV/0!</v>
      </c>
      <c r="W41" s="859"/>
      <c r="X41" s="860" t="e">
        <f>IF(Y39=Z41,Z41,Y41/Y39)</f>
        <v>#DIV/0!</v>
      </c>
      <c r="Y41" s="728" t="e">
        <f>IF(COUNTIF(S41:W41,Z42)&gt;0,Z42,SUM(S41:W41))</f>
        <v>#DIV/0!</v>
      </c>
      <c r="Z41" s="695" t="s">
        <v>1013</v>
      </c>
    </row>
    <row r="42" spans="1:30" s="695" customFormat="1" ht="15" customHeight="1">
      <c r="A42" s="686"/>
      <c r="B42" s="741"/>
      <c r="C42" s="882"/>
      <c r="D42" s="883"/>
      <c r="E42" s="884"/>
      <c r="G42" s="879" t="e">
        <f>S45</f>
        <v>#DIV/0!</v>
      </c>
      <c r="I42" s="884"/>
      <c r="K42" s="879" t="e">
        <f>V45</f>
        <v>#DIV/0!</v>
      </c>
      <c r="M42" s="885"/>
      <c r="N42" s="884"/>
      <c r="O42" s="886" t="e">
        <f>Y45</f>
        <v>#DIV/0!</v>
      </c>
      <c r="P42" s="686"/>
      <c r="Q42" s="686"/>
      <c r="R42" s="728" t="s">
        <v>449</v>
      </c>
      <c r="S42" s="1810"/>
      <c r="T42" s="1810"/>
      <c r="U42" s="1810"/>
      <c r="V42" s="1809"/>
      <c r="W42" s="859" t="e">
        <f>IF($U$35=$W$35,'条件(標準)_前'!E9+'条件(標準)_前'!E34+'条件(標準)_前'!E52,'条件(個別)_前'!E9+'条件(個別)_前'!E34+'条件(個別)_前'!E52)</f>
        <v>#DIV/0!</v>
      </c>
      <c r="X42" s="860" t="e">
        <f>IF(Y39=Z42,Z42,Y42/Y39)</f>
        <v>#DIV/0!</v>
      </c>
      <c r="Y42" s="728" t="e">
        <f>IF(COUNTIF(S42:W42,Z42)&gt;0,Z42,SUM(S42:W42))</f>
        <v>#DIV/0!</v>
      </c>
      <c r="Z42" s="695" t="s">
        <v>1013</v>
      </c>
    </row>
    <row r="43" spans="1:30" s="695" customFormat="1" ht="15" customHeight="1">
      <c r="A43" s="686"/>
      <c r="B43" s="741"/>
      <c r="G43" s="705"/>
      <c r="H43" s="705"/>
      <c r="I43" s="706"/>
      <c r="J43" s="706"/>
      <c r="K43" s="705"/>
      <c r="L43" s="805"/>
      <c r="M43" s="805"/>
      <c r="N43" s="805"/>
      <c r="O43" s="881"/>
      <c r="P43" s="686"/>
      <c r="Q43" s="686"/>
      <c r="AA43" s="789"/>
      <c r="AB43" s="789"/>
    </row>
    <row r="44" spans="1:30" s="695" customFormat="1" ht="15" customHeight="1">
      <c r="A44" s="686"/>
      <c r="B44" s="741"/>
      <c r="G44" s="705"/>
      <c r="H44" s="705"/>
      <c r="I44" s="706"/>
      <c r="J44" s="706"/>
      <c r="K44" s="705"/>
      <c r="L44" s="805"/>
      <c r="M44" s="805"/>
      <c r="N44" s="805"/>
      <c r="O44" s="881"/>
      <c r="P44" s="686"/>
      <c r="Q44" s="686"/>
      <c r="R44" s="731"/>
      <c r="S44" s="731" t="s">
        <v>1150</v>
      </c>
      <c r="T44" s="731" t="s">
        <v>56</v>
      </c>
      <c r="U44" s="731"/>
      <c r="V44" s="731" t="s">
        <v>1150</v>
      </c>
      <c r="W44" s="731" t="s">
        <v>56</v>
      </c>
      <c r="X44" s="731"/>
      <c r="Y44" s="731" t="s">
        <v>1150</v>
      </c>
      <c r="Z44" s="731" t="s">
        <v>56</v>
      </c>
      <c r="AA44" s="789"/>
      <c r="AB44" s="789"/>
    </row>
    <row r="45" spans="1:30" s="695" customFormat="1" ht="15" customHeight="1">
      <c r="A45" s="686"/>
      <c r="B45" s="741"/>
      <c r="G45" s="705"/>
      <c r="H45" s="705"/>
      <c r="I45" s="706"/>
      <c r="J45" s="706"/>
      <c r="K45" s="705"/>
      <c r="L45" s="805"/>
      <c r="M45" s="805"/>
      <c r="N45" s="805"/>
      <c r="O45" s="881"/>
      <c r="P45" s="686"/>
      <c r="Q45" s="686"/>
      <c r="R45" s="887" t="s">
        <v>1017</v>
      </c>
      <c r="S45" s="888" t="e">
        <f>スコア表示!T9</f>
        <v>#DIV/0!</v>
      </c>
      <c r="T45" s="888" t="e">
        <f>スコア表示!AN9</f>
        <v>#DIV/0!</v>
      </c>
      <c r="U45" s="729" t="s">
        <v>1018</v>
      </c>
      <c r="V45" s="888" t="e">
        <f>スコア表示!T61</f>
        <v>#DIV/0!</v>
      </c>
      <c r="W45" s="888" t="e">
        <f>スコア表示!AN61</f>
        <v>#DIV/0!</v>
      </c>
      <c r="X45" s="887" t="s">
        <v>1019</v>
      </c>
      <c r="Y45" s="888" t="e">
        <f>スコア表示!T109</f>
        <v>#DIV/0!</v>
      </c>
      <c r="Z45" s="888" t="e">
        <f>スコア表示!AN109</f>
        <v>#DIV/0!</v>
      </c>
      <c r="AA45" s="789"/>
      <c r="AB45" s="789"/>
    </row>
    <row r="46" spans="1:30" s="695" customFormat="1" ht="15" customHeight="1">
      <c r="A46" s="686"/>
      <c r="B46" s="741"/>
      <c r="G46" s="705"/>
      <c r="H46" s="705"/>
      <c r="I46" s="706"/>
      <c r="J46" s="706"/>
      <c r="K46" s="705"/>
      <c r="L46" s="805"/>
      <c r="M46" s="805"/>
      <c r="N46" s="805"/>
      <c r="O46" s="881"/>
      <c r="P46" s="686"/>
      <c r="Q46" s="686"/>
      <c r="AA46" s="789"/>
      <c r="AB46" s="789"/>
    </row>
    <row r="47" spans="1:30" s="695" customFormat="1" ht="15" customHeight="1">
      <c r="A47" s="686"/>
      <c r="B47" s="741"/>
      <c r="G47" s="705"/>
      <c r="H47" s="705"/>
      <c r="I47" s="706"/>
      <c r="J47" s="706"/>
      <c r="K47" s="705"/>
      <c r="L47" s="805"/>
      <c r="M47" s="805"/>
      <c r="N47" s="805"/>
      <c r="O47" s="881"/>
      <c r="P47" s="686"/>
      <c r="Q47" s="686"/>
      <c r="R47" s="731"/>
      <c r="S47" s="731" t="s">
        <v>429</v>
      </c>
      <c r="T47" s="731" t="s">
        <v>438</v>
      </c>
      <c r="U47" s="731"/>
      <c r="V47" s="731" t="s">
        <v>429</v>
      </c>
      <c r="W47" s="731" t="s">
        <v>438</v>
      </c>
      <c r="X47" s="731"/>
      <c r="Y47" s="889" t="s">
        <v>429</v>
      </c>
      <c r="Z47" s="731" t="s">
        <v>438</v>
      </c>
      <c r="AA47" s="789"/>
      <c r="AB47" s="789"/>
    </row>
    <row r="48" spans="1:30" s="695" customFormat="1" ht="15" customHeight="1">
      <c r="A48" s="686"/>
      <c r="B48" s="741"/>
      <c r="G48" s="891"/>
      <c r="H48" s="891"/>
      <c r="I48" s="706"/>
      <c r="J48" s="706"/>
      <c r="K48" s="705"/>
      <c r="L48" s="805"/>
      <c r="M48" s="805"/>
      <c r="N48" s="805"/>
      <c r="O48" s="881"/>
      <c r="P48" s="686"/>
      <c r="Q48" s="686"/>
      <c r="R48" s="890" t="s">
        <v>1020</v>
      </c>
      <c r="S48" s="888" t="e">
        <f>スコア表示!T10</f>
        <v>#DIV/0!</v>
      </c>
      <c r="T48" s="731" t="e">
        <f>IF(S48=0,"N.A.","")</f>
        <v>#DIV/0!</v>
      </c>
      <c r="U48" s="729" t="s">
        <v>1021</v>
      </c>
      <c r="V48" s="888" t="e">
        <f>スコア表示!T62</f>
        <v>#DIV/0!</v>
      </c>
      <c r="W48" s="731" t="e">
        <f>IF(V48=0,"N.A.","")</f>
        <v>#DIV/0!</v>
      </c>
      <c r="X48" s="890" t="s">
        <v>1022</v>
      </c>
      <c r="Y48" s="888">
        <f>スコア表示!T110</f>
        <v>3</v>
      </c>
      <c r="Z48" s="731" t="str">
        <f>IF(Y48=0,"N.A.","")</f>
        <v/>
      </c>
      <c r="AA48" s="789"/>
      <c r="AB48" s="789"/>
    </row>
    <row r="49" spans="1:28" s="695" customFormat="1" ht="15" customHeight="1">
      <c r="A49" s="805"/>
      <c r="B49" s="741"/>
      <c r="G49" s="891"/>
      <c r="H49" s="891"/>
      <c r="I49" s="706"/>
      <c r="J49" s="706"/>
      <c r="K49" s="705"/>
      <c r="L49" s="805"/>
      <c r="M49" s="805"/>
      <c r="N49" s="805"/>
      <c r="O49" s="881"/>
      <c r="P49" s="805"/>
      <c r="Q49" s="686"/>
      <c r="R49" s="890" t="s">
        <v>1023</v>
      </c>
      <c r="S49" s="888" t="e">
        <f>スコア表示!T20</f>
        <v>#DIV/0!</v>
      </c>
      <c r="T49" s="731" t="e">
        <f>IF(S49=0,"N.A.","")</f>
        <v>#DIV/0!</v>
      </c>
      <c r="U49" s="729" t="s">
        <v>1137</v>
      </c>
      <c r="V49" s="888" t="e">
        <f>スコア表示!T75</f>
        <v>#DIV/0!</v>
      </c>
      <c r="W49" s="731" t="e">
        <f>IF(V49=0,"N.A.","")</f>
        <v>#DIV/0!</v>
      </c>
      <c r="X49" s="890" t="s">
        <v>1138</v>
      </c>
      <c r="Y49" s="888">
        <f>スコア表示!T111</f>
        <v>3</v>
      </c>
      <c r="Z49" s="731" t="str">
        <f>IF(Y49=0,"N.A.","")</f>
        <v/>
      </c>
      <c r="AA49" s="789"/>
      <c r="AB49" s="789"/>
    </row>
    <row r="50" spans="1:28" s="695" customFormat="1" ht="15" customHeight="1">
      <c r="A50" s="805"/>
      <c r="B50" s="741"/>
      <c r="G50" s="892"/>
      <c r="H50" s="893"/>
      <c r="I50" s="894"/>
      <c r="J50" s="894"/>
      <c r="K50" s="895"/>
      <c r="L50" s="896"/>
      <c r="M50" s="896"/>
      <c r="N50" s="896"/>
      <c r="O50" s="897"/>
      <c r="P50" s="805"/>
      <c r="Q50" s="686"/>
      <c r="R50" s="890" t="s">
        <v>1139</v>
      </c>
      <c r="S50" s="888" t="e">
        <f>スコア表示!T34</f>
        <v>#DIV/0!</v>
      </c>
      <c r="T50" s="731" t="e">
        <f>IF(S50=0,"N.A.","")</f>
        <v>#DIV/0!</v>
      </c>
      <c r="U50" s="729" t="s">
        <v>1140</v>
      </c>
      <c r="V50" s="888" t="e">
        <f>スコア表示!T97</f>
        <v>#DIV/0!</v>
      </c>
      <c r="W50" s="731" t="e">
        <f>IF(V50=0,"N.A.","")</f>
        <v>#DIV/0!</v>
      </c>
      <c r="X50" s="890" t="s">
        <v>1141</v>
      </c>
      <c r="Y50" s="888" t="e">
        <f>スコア表示!T112</f>
        <v>#DIV/0!</v>
      </c>
      <c r="Z50" s="731" t="e">
        <f>IF(Y50=0,"N.A.","")</f>
        <v>#DIV/0!</v>
      </c>
      <c r="AA50" s="789"/>
      <c r="AB50" s="789"/>
    </row>
    <row r="51" spans="1:28" s="695" customFormat="1" ht="18" customHeight="1">
      <c r="A51" s="898"/>
      <c r="B51" s="899" t="s">
        <v>1143</v>
      </c>
      <c r="C51" s="900"/>
      <c r="D51" s="901"/>
      <c r="E51" s="900"/>
      <c r="F51" s="900"/>
      <c r="G51" s="900"/>
      <c r="H51" s="871"/>
      <c r="I51" s="871"/>
      <c r="J51" s="871"/>
      <c r="K51" s="873"/>
      <c r="L51" s="874"/>
      <c r="M51" s="875" t="s">
        <v>1144</v>
      </c>
      <c r="N51" s="902" t="e">
        <f>スコア表示!T116</f>
        <v>#VALUE!</v>
      </c>
      <c r="O51" s="877"/>
      <c r="P51" s="686"/>
      <c r="Q51" s="686"/>
      <c r="R51" s="890" t="s">
        <v>1142</v>
      </c>
      <c r="S51" s="888" t="e">
        <f>スコア表示!T47</f>
        <v>#DIV/0!</v>
      </c>
      <c r="T51" s="731" t="e">
        <f>IF(S51=0,"N.A.","")</f>
        <v>#DIV/0!</v>
      </c>
      <c r="U51" s="789"/>
      <c r="V51" s="789"/>
      <c r="W51" s="789"/>
      <c r="X51" s="789"/>
      <c r="Y51" s="789"/>
      <c r="Z51" s="789"/>
      <c r="AA51" s="789"/>
      <c r="AB51" s="789"/>
    </row>
    <row r="52" spans="1:28" s="695" customFormat="1" ht="15">
      <c r="A52" s="686"/>
      <c r="B52" s="903"/>
      <c r="C52" s="880" t="str">
        <f>スコア表示!B117&amp;" "&amp;スコア表示!D117</f>
        <v>LR1 エネルギー</v>
      </c>
      <c r="D52" s="880"/>
      <c r="E52" s="904"/>
      <c r="F52" s="880"/>
      <c r="G52" s="880"/>
      <c r="H52" s="880" t="str">
        <f>"     "&amp;スコア表示!B140&amp;" "&amp;スコア表示!D140</f>
        <v xml:space="preserve">     LR2 資源・マテリアル</v>
      </c>
      <c r="I52" s="880"/>
      <c r="J52" s="880"/>
      <c r="K52" s="880"/>
      <c r="L52" s="878" t="str">
        <f>スコア表示!B159&amp;" "&amp;スコア表示!D159</f>
        <v>LR3 敷地外環境</v>
      </c>
      <c r="M52" s="880"/>
      <c r="N52" s="880"/>
      <c r="O52" s="905"/>
      <c r="P52" s="686"/>
      <c r="Q52" s="686"/>
      <c r="R52" s="789"/>
      <c r="S52" s="789"/>
      <c r="T52" s="731"/>
      <c r="U52" s="789"/>
      <c r="V52" s="789"/>
      <c r="W52" s="789"/>
      <c r="X52" s="789"/>
      <c r="Y52" s="789"/>
      <c r="Z52" s="789"/>
      <c r="AA52" s="789"/>
      <c r="AB52" s="789"/>
    </row>
    <row r="53" spans="1:28" s="695" customFormat="1" ht="15">
      <c r="A53" s="805"/>
      <c r="B53" s="725"/>
      <c r="C53" s="882"/>
      <c r="D53" s="883"/>
      <c r="E53" s="884"/>
      <c r="G53" s="879" t="e">
        <f>S56</f>
        <v>#DIV/0!</v>
      </c>
      <c r="I53" s="884"/>
      <c r="K53" s="879" t="e">
        <f>V56</f>
        <v>#DIV/0!</v>
      </c>
      <c r="L53" s="884"/>
      <c r="N53" s="906"/>
      <c r="O53" s="886" t="e">
        <f>Y56</f>
        <v>#DIV/0!</v>
      </c>
      <c r="P53" s="805"/>
      <c r="Q53" s="686"/>
      <c r="R53" s="789"/>
      <c r="S53" s="789"/>
      <c r="T53" s="789"/>
      <c r="U53" s="789"/>
      <c r="V53" s="789"/>
      <c r="W53" s="789"/>
      <c r="X53" s="789"/>
      <c r="Y53" s="789"/>
      <c r="Z53" s="789"/>
      <c r="AA53" s="789"/>
      <c r="AB53" s="789"/>
    </row>
    <row r="54" spans="1:28" s="695" customFormat="1" ht="14.25">
      <c r="A54" s="805"/>
      <c r="B54" s="725"/>
      <c r="C54" s="907"/>
      <c r="D54" s="907"/>
      <c r="E54" s="908"/>
      <c r="F54" s="892"/>
      <c r="G54" s="892"/>
      <c r="H54" s="892"/>
      <c r="I54" s="706"/>
      <c r="J54" s="706"/>
      <c r="K54" s="705"/>
      <c r="L54" s="705"/>
      <c r="M54" s="726"/>
      <c r="N54" s="726"/>
      <c r="O54" s="727"/>
      <c r="P54" s="805"/>
      <c r="Q54" s="686"/>
      <c r="AA54" s="789"/>
      <c r="AB54" s="789"/>
    </row>
    <row r="55" spans="1:28" s="695" customFormat="1" ht="15.75" customHeight="1">
      <c r="A55" s="686"/>
      <c r="B55" s="725"/>
      <c r="C55" s="726"/>
      <c r="D55" s="910"/>
      <c r="E55" s="704"/>
      <c r="F55" s="705"/>
      <c r="G55" s="705"/>
      <c r="H55" s="705"/>
      <c r="I55" s="911"/>
      <c r="J55" s="706"/>
      <c r="K55" s="705"/>
      <c r="L55" s="705"/>
      <c r="M55" s="726"/>
      <c r="N55" s="726"/>
      <c r="O55" s="727"/>
      <c r="P55" s="686"/>
      <c r="Q55" s="686"/>
      <c r="R55" s="731"/>
      <c r="S55" s="731" t="s">
        <v>1145</v>
      </c>
      <c r="T55" s="731" t="s">
        <v>1146</v>
      </c>
      <c r="U55" s="731"/>
      <c r="V55" s="731" t="s">
        <v>1145</v>
      </c>
      <c r="W55" s="731" t="s">
        <v>1146</v>
      </c>
      <c r="X55" s="731"/>
      <c r="Y55" s="731" t="s">
        <v>1145</v>
      </c>
      <c r="Z55" s="731" t="s">
        <v>1146</v>
      </c>
      <c r="AA55" s="789"/>
      <c r="AB55" s="789"/>
    </row>
    <row r="56" spans="1:28" s="695" customFormat="1" ht="15.75" customHeight="1">
      <c r="A56" s="686"/>
      <c r="B56" s="725"/>
      <c r="C56" s="702"/>
      <c r="D56" s="703"/>
      <c r="E56" s="704"/>
      <c r="F56" s="705"/>
      <c r="G56" s="705"/>
      <c r="H56" s="705"/>
      <c r="I56" s="911"/>
      <c r="J56" s="706"/>
      <c r="K56" s="705"/>
      <c r="L56" s="705"/>
      <c r="M56" s="726"/>
      <c r="N56" s="726"/>
      <c r="O56" s="727"/>
      <c r="P56" s="686"/>
      <c r="Q56" s="686"/>
      <c r="R56" s="729" t="s">
        <v>1147</v>
      </c>
      <c r="S56" s="888" t="e">
        <f>スコア表示!T117</f>
        <v>#DIV/0!</v>
      </c>
      <c r="T56" s="888" t="e">
        <f>スコア表示!AN117</f>
        <v>#DIV/0!</v>
      </c>
      <c r="U56" s="729" t="s">
        <v>1148</v>
      </c>
      <c r="V56" s="888" t="e">
        <f>スコア表示!T140</f>
        <v>#DIV/0!</v>
      </c>
      <c r="W56" s="888" t="e">
        <f>スコア表示!AN140</f>
        <v>#DIV/0!</v>
      </c>
      <c r="X56" s="729" t="s">
        <v>1149</v>
      </c>
      <c r="Y56" s="888" t="e">
        <f>スコア表示!T159</f>
        <v>#DIV/0!</v>
      </c>
      <c r="Z56" s="888" t="e">
        <f>スコア表示!AN159</f>
        <v>#DIV/0!</v>
      </c>
      <c r="AA56" s="789"/>
      <c r="AB56" s="789"/>
    </row>
    <row r="57" spans="1:28" s="695" customFormat="1" ht="15.75" customHeight="1">
      <c r="A57" s="686"/>
      <c r="B57" s="913"/>
      <c r="C57" s="702"/>
      <c r="D57" s="703"/>
      <c r="E57" s="704"/>
      <c r="F57" s="705"/>
      <c r="G57" s="705"/>
      <c r="H57" s="705"/>
      <c r="I57" s="911"/>
      <c r="J57" s="706"/>
      <c r="K57" s="705"/>
      <c r="L57" s="705"/>
      <c r="M57" s="726"/>
      <c r="N57" s="726"/>
      <c r="O57" s="727"/>
      <c r="P57" s="686"/>
      <c r="Q57" s="686"/>
      <c r="Y57" s="909"/>
      <c r="AA57" s="789"/>
      <c r="AB57" s="789"/>
    </row>
    <row r="58" spans="1:28" s="695" customFormat="1" ht="15.75" customHeight="1">
      <c r="A58" s="686"/>
      <c r="B58" s="913"/>
      <c r="C58" s="702"/>
      <c r="D58" s="703"/>
      <c r="E58" s="704"/>
      <c r="F58" s="705"/>
      <c r="G58" s="705"/>
      <c r="H58" s="705"/>
      <c r="I58" s="911"/>
      <c r="J58" s="706"/>
      <c r="K58" s="705"/>
      <c r="L58" s="705"/>
      <c r="M58" s="726"/>
      <c r="N58" s="726"/>
      <c r="O58" s="727"/>
      <c r="P58" s="686"/>
      <c r="Q58" s="686"/>
      <c r="R58" s="731"/>
      <c r="S58" s="731" t="s">
        <v>1150</v>
      </c>
      <c r="T58" s="731" t="s">
        <v>1151</v>
      </c>
      <c r="U58" s="731"/>
      <c r="V58" s="731" t="s">
        <v>1150</v>
      </c>
      <c r="W58" s="731" t="s">
        <v>1151</v>
      </c>
      <c r="X58" s="731"/>
      <c r="Y58" s="889" t="s">
        <v>1150</v>
      </c>
      <c r="Z58" s="731" t="s">
        <v>1151</v>
      </c>
      <c r="AA58" s="789"/>
      <c r="AB58" s="789"/>
    </row>
    <row r="59" spans="1:28" s="695" customFormat="1" ht="15.75" customHeight="1">
      <c r="A59" s="686"/>
      <c r="B59" s="913"/>
      <c r="C59" s="702"/>
      <c r="D59" s="703"/>
      <c r="E59" s="704"/>
      <c r="F59" s="705"/>
      <c r="G59" s="705"/>
      <c r="H59" s="705"/>
      <c r="I59" s="911"/>
      <c r="J59" s="706"/>
      <c r="K59" s="705"/>
      <c r="L59" s="705"/>
      <c r="M59" s="726"/>
      <c r="N59" s="726"/>
      <c r="O59" s="727"/>
      <c r="P59" s="686"/>
      <c r="Q59" s="686"/>
      <c r="R59" s="729" t="s">
        <v>1152</v>
      </c>
      <c r="S59" s="888">
        <f>スコア表示!T118</f>
        <v>0</v>
      </c>
      <c r="T59" s="731" t="str">
        <f>IF(S59=0,"N.A.","")</f>
        <v>N.A.</v>
      </c>
      <c r="U59" s="912" t="s">
        <v>1153</v>
      </c>
      <c r="V59" s="888" t="e">
        <f>スコア表示!T141</f>
        <v>#DIV/0!</v>
      </c>
      <c r="W59" s="731" t="e">
        <f>IF(V59=0,"N.A.","")</f>
        <v>#DIV/0!</v>
      </c>
      <c r="X59" s="729" t="s">
        <v>1154</v>
      </c>
      <c r="Y59" s="888" t="e">
        <f>スコア表示!T160</f>
        <v>#DIV/0!</v>
      </c>
      <c r="Z59" s="731" t="e">
        <f>IF(Y59=0,"N.A.","")</f>
        <v>#DIV/0!</v>
      </c>
      <c r="AA59" s="789"/>
      <c r="AB59" s="789"/>
    </row>
    <row r="60" spans="1:28" s="695" customFormat="1" ht="15.75" customHeight="1">
      <c r="A60" s="686"/>
      <c r="B60" s="913"/>
      <c r="C60" s="702"/>
      <c r="D60" s="703"/>
      <c r="E60" s="704"/>
      <c r="F60" s="705"/>
      <c r="G60" s="705"/>
      <c r="H60" s="705"/>
      <c r="I60" s="911"/>
      <c r="J60" s="706"/>
      <c r="K60" s="705"/>
      <c r="L60" s="705"/>
      <c r="M60" s="726"/>
      <c r="N60" s="726"/>
      <c r="O60" s="727"/>
      <c r="P60" s="686"/>
      <c r="Q60" s="686"/>
      <c r="R60" s="729" t="s">
        <v>1155</v>
      </c>
      <c r="S60" s="888" t="e">
        <f>スコア表示!T119</f>
        <v>#DIV/0!</v>
      </c>
      <c r="T60" s="731" t="e">
        <f>IF(S60=0,"N.A.","")</f>
        <v>#DIV/0!</v>
      </c>
      <c r="U60" s="912" t="s">
        <v>0</v>
      </c>
      <c r="V60" s="888" t="e">
        <f>スコア表示!T146</f>
        <v>#DIV/0!</v>
      </c>
      <c r="W60" s="731" t="e">
        <f>IF(V60=0,"N.A.","")</f>
        <v>#DIV/0!</v>
      </c>
      <c r="X60" s="729" t="s">
        <v>1</v>
      </c>
      <c r="Y60" s="888" t="e">
        <f>スコア表示!T161</f>
        <v>#DIV/0!</v>
      </c>
      <c r="Z60" s="731" t="e">
        <f>IF(Y60=0,"N.A.","")</f>
        <v>#DIV/0!</v>
      </c>
      <c r="AA60" s="789"/>
      <c r="AB60" s="789"/>
    </row>
    <row r="61" spans="1:28" s="695" customFormat="1" ht="15.75" customHeight="1" thickBot="1">
      <c r="A61" s="686"/>
      <c r="B61" s="917"/>
      <c r="C61" s="918"/>
      <c r="D61" s="919"/>
      <c r="E61" s="918"/>
      <c r="F61" s="920"/>
      <c r="G61" s="920"/>
      <c r="H61" s="920"/>
      <c r="I61" s="921"/>
      <c r="J61" s="813"/>
      <c r="K61" s="813"/>
      <c r="L61" s="813"/>
      <c r="M61" s="922"/>
      <c r="N61" s="922"/>
      <c r="O61" s="923"/>
      <c r="P61" s="686"/>
      <c r="Q61" s="686"/>
      <c r="R61" s="729" t="s">
        <v>2</v>
      </c>
      <c r="S61" s="888" t="e">
        <f>スコア表示!T124</f>
        <v>#DIV/0!</v>
      </c>
      <c r="T61" s="731" t="e">
        <f>IF(S61=0,"N.A.","")</f>
        <v>#DIV/0!</v>
      </c>
      <c r="U61" s="914" t="s">
        <v>3</v>
      </c>
      <c r="V61" s="915" t="e">
        <f>スコア表示!T153</f>
        <v>#DIV/0!</v>
      </c>
      <c r="W61" s="731" t="e">
        <f>IF(V61=0,"N.A.","")</f>
        <v>#DIV/0!</v>
      </c>
      <c r="X61" s="729" t="s">
        <v>4</v>
      </c>
      <c r="Y61" s="888" t="e">
        <f>スコア表示!T169</f>
        <v>#DIV/0!</v>
      </c>
      <c r="Z61" s="731" t="e">
        <f>IF(Y61=0,"N.A.","")</f>
        <v>#DIV/0!</v>
      </c>
      <c r="AA61" s="789"/>
      <c r="AB61" s="789"/>
    </row>
    <row r="62" spans="1:28" s="695" customFormat="1" ht="6" customHeight="1" thickBot="1">
      <c r="A62" s="686"/>
      <c r="B62" s="925"/>
      <c r="C62" s="911"/>
      <c r="D62" s="926"/>
      <c r="E62" s="704"/>
      <c r="F62" s="705"/>
      <c r="G62" s="705"/>
      <c r="H62" s="705"/>
      <c r="I62" s="706"/>
      <c r="J62" s="706"/>
      <c r="K62" s="705"/>
      <c r="L62" s="705"/>
      <c r="M62" s="726"/>
      <c r="N62" s="726"/>
      <c r="O62" s="726"/>
      <c r="P62" s="686"/>
      <c r="Q62" s="805"/>
      <c r="R62" s="729" t="s">
        <v>5</v>
      </c>
      <c r="S62" s="888" t="e">
        <f>スコア表示!T133</f>
        <v>#DIV/0!</v>
      </c>
      <c r="T62" s="731" t="e">
        <f>IF(S62=0,"N.A.","")</f>
        <v>#DIV/0!</v>
      </c>
      <c r="U62" s="789"/>
      <c r="V62" s="916"/>
      <c r="W62" s="916"/>
      <c r="X62" s="916"/>
      <c r="Y62" s="916"/>
      <c r="Z62" s="916"/>
      <c r="AA62" s="789"/>
      <c r="AB62" s="789"/>
    </row>
    <row r="63" spans="1:28" s="695" customFormat="1" ht="15.75">
      <c r="A63" s="686"/>
      <c r="B63" s="823" t="s">
        <v>6</v>
      </c>
      <c r="C63" s="927"/>
      <c r="D63" s="928"/>
      <c r="E63" s="927"/>
      <c r="F63" s="927"/>
      <c r="G63" s="927"/>
      <c r="H63" s="929"/>
      <c r="I63" s="930"/>
      <c r="J63" s="927"/>
      <c r="K63" s="927"/>
      <c r="L63" s="927"/>
      <c r="M63" s="931"/>
      <c r="N63" s="931"/>
      <c r="O63" s="932"/>
      <c r="P63" s="686"/>
      <c r="Q63" s="805"/>
      <c r="R63" s="789"/>
      <c r="S63" s="789"/>
      <c r="T63" s="789"/>
      <c r="U63" s="789"/>
      <c r="V63" s="916"/>
      <c r="W63" s="916"/>
      <c r="X63" s="916"/>
      <c r="Y63" s="916"/>
      <c r="Z63" s="916"/>
      <c r="AA63" s="789"/>
      <c r="AB63" s="789"/>
    </row>
    <row r="64" spans="1:28" s="695" customFormat="1" ht="14.25">
      <c r="A64" s="686"/>
      <c r="B64" s="933" t="s">
        <v>7</v>
      </c>
      <c r="C64" s="934"/>
      <c r="D64" s="935"/>
      <c r="E64" s="934"/>
      <c r="F64" s="934"/>
      <c r="G64" s="934"/>
      <c r="H64" s="934"/>
      <c r="I64" s="934"/>
      <c r="J64" s="934"/>
      <c r="K64" s="936"/>
      <c r="L64" s="937" t="s">
        <v>8</v>
      </c>
      <c r="M64" s="938"/>
      <c r="N64" s="938"/>
      <c r="O64" s="939"/>
      <c r="P64" s="686"/>
      <c r="Q64" s="805"/>
      <c r="R64" s="924"/>
      <c r="S64" s="789"/>
      <c r="T64" s="789"/>
      <c r="U64" s="789"/>
      <c r="V64" s="916"/>
      <c r="W64" s="916"/>
      <c r="X64" s="916"/>
      <c r="Y64" s="916"/>
      <c r="Z64" s="916"/>
      <c r="AA64" s="789"/>
      <c r="AB64" s="789"/>
    </row>
    <row r="65" spans="1:28" s="695" customFormat="1" ht="52.5" customHeight="1">
      <c r="A65" s="686"/>
      <c r="B65" s="2904" t="str">
        <f>SUBSTITUTE(配慮!C7,"注）　改修における総合的なコンセプトを簡潔に記載してください。
　（省エネ改修，室内環境改善，外装の更新，高耐久化，情報化対応，コンバージョンなど）" &amp; CHAR(10),"")</f>
        <v/>
      </c>
      <c r="C65" s="2905"/>
      <c r="D65" s="2905"/>
      <c r="E65" s="2905"/>
      <c r="F65" s="2905"/>
      <c r="G65" s="2905"/>
      <c r="H65" s="2905"/>
      <c r="I65" s="2905"/>
      <c r="J65" s="2905"/>
      <c r="K65" s="2906"/>
      <c r="L65" s="2907" t="str">
        <f>SUBSTITUTE(配慮!C14,"注）　上記の６つのカテゴリー以外に，改修工事における廃棄物削減・リサイクル，改修による歴史的建造物の延命など，建物自体の環境性能としてＣＡＳＢＥＥで評価し難い環境配慮の取組があれば，ここに記載してください。" &amp; CHAR(10),"")</f>
        <v/>
      </c>
      <c r="M65" s="2908"/>
      <c r="N65" s="2908"/>
      <c r="O65" s="2909"/>
      <c r="P65" s="686"/>
      <c r="Q65" s="805"/>
      <c r="R65" s="789"/>
      <c r="S65" s="789"/>
      <c r="T65" s="789"/>
      <c r="U65" s="789"/>
      <c r="V65" s="916"/>
      <c r="W65" s="916"/>
      <c r="X65" s="916"/>
      <c r="Y65" s="916"/>
      <c r="Z65" s="916"/>
      <c r="AA65" s="789"/>
      <c r="AB65" s="789"/>
    </row>
    <row r="66" spans="1:28" s="695" customFormat="1" ht="15">
      <c r="A66" s="686"/>
      <c r="B66" s="940" t="str">
        <f>配慮!B8</f>
        <v>Q1 
室内環境</v>
      </c>
      <c r="C66" s="938"/>
      <c r="D66" s="938"/>
      <c r="E66" s="938"/>
      <c r="F66" s="938"/>
      <c r="G66" s="941"/>
      <c r="H66" s="942" t="str">
        <f>配慮!B9</f>
        <v>Q2 
サービス性能</v>
      </c>
      <c r="I66" s="943"/>
      <c r="J66" s="943"/>
      <c r="K66" s="944"/>
      <c r="L66" s="945" t="str">
        <f>配慮!B10</f>
        <v>Q3 
室外環境（敷地内）</v>
      </c>
      <c r="M66" s="946"/>
      <c r="N66" s="947"/>
      <c r="O66" s="948"/>
      <c r="P66" s="686"/>
      <c r="Q66" s="805"/>
      <c r="R66" s="789"/>
      <c r="S66" s="789"/>
      <c r="T66" s="789"/>
      <c r="U66" s="789"/>
      <c r="V66" s="789"/>
      <c r="W66" s="789"/>
      <c r="X66" s="789"/>
      <c r="Y66" s="789"/>
      <c r="Z66" s="789"/>
      <c r="AA66" s="789"/>
      <c r="AB66" s="789"/>
    </row>
    <row r="67" spans="1:28" s="695" customFormat="1" ht="50.25" customHeight="1">
      <c r="A67" s="686"/>
      <c r="B67" s="2910" t="str">
        <f>SUBSTITUTE(配慮!C8,"注）　改修における「Q1　室内環境」に対する配慮事項を簡潔に記載してください。" &amp; CHAR(10),"")</f>
        <v/>
      </c>
      <c r="C67" s="2908"/>
      <c r="D67" s="2908"/>
      <c r="E67" s="2908"/>
      <c r="F67" s="2908"/>
      <c r="G67" s="2911"/>
      <c r="H67" s="2912" t="str">
        <f>SUBSTITUTE(配慮!C9,"注）　改修における「Q2　サービス性能」に対する配慮事項を簡潔に記載してください。"&amp;CHAR(10),"")</f>
        <v/>
      </c>
      <c r="I67" s="2908"/>
      <c r="J67" s="2908"/>
      <c r="K67" s="2911"/>
      <c r="L67" s="2912" t="str">
        <f>SUBSTITUTE(配慮!C10,"注）　改修における「Q3　室外環境（敷地内）」に対する配慮事項を簡潔に記載してください。"&amp;CHAR(10),"")</f>
        <v/>
      </c>
      <c r="M67" s="2908"/>
      <c r="N67" s="2908"/>
      <c r="O67" s="2909"/>
      <c r="P67" s="686"/>
      <c r="Q67" s="805"/>
      <c r="R67" s="789"/>
      <c r="S67" s="789"/>
      <c r="T67" s="789"/>
      <c r="U67" s="789"/>
      <c r="V67" s="789"/>
      <c r="W67" s="789"/>
      <c r="X67" s="789"/>
      <c r="Y67" s="789"/>
      <c r="Z67" s="789"/>
      <c r="AA67" s="789"/>
      <c r="AB67" s="789"/>
    </row>
    <row r="68" spans="1:28" s="695" customFormat="1" ht="15">
      <c r="A68" s="686"/>
      <c r="B68" s="949" t="str">
        <f>配慮!B11</f>
        <v>LR1 
エネルギー</v>
      </c>
      <c r="C68" s="950"/>
      <c r="D68" s="935"/>
      <c r="E68" s="935"/>
      <c r="F68" s="935"/>
      <c r="G68" s="951"/>
      <c r="H68" s="952" t="str">
        <f>配慮!B12</f>
        <v>LR2 
資源・マテリアル</v>
      </c>
      <c r="I68" s="938"/>
      <c r="J68" s="938"/>
      <c r="K68" s="941"/>
      <c r="L68" s="953" t="str">
        <f>配慮!B13</f>
        <v>LR3 
敷地外環境</v>
      </c>
      <c r="M68" s="950"/>
      <c r="N68" s="935"/>
      <c r="O68" s="954"/>
      <c r="P68" s="686"/>
      <c r="Q68" s="805"/>
      <c r="R68" s="789"/>
      <c r="S68" s="789"/>
      <c r="T68" s="789"/>
      <c r="U68" s="789"/>
      <c r="V68" s="789"/>
      <c r="W68" s="789"/>
      <c r="X68" s="789"/>
      <c r="Y68" s="789"/>
      <c r="Z68" s="789"/>
      <c r="AA68" s="789"/>
      <c r="AB68" s="789"/>
    </row>
    <row r="69" spans="1:28" s="695" customFormat="1" ht="61.5" customHeight="1" thickBot="1">
      <c r="A69" s="686"/>
      <c r="B69" s="2919" t="str">
        <f>SUBSTITUTE(配慮!C11,"注）　改修における「LR1　エネルギー」に対する配慮事項を簡潔に記載してください。" &amp; CHAR(10),"")</f>
        <v/>
      </c>
      <c r="C69" s="2900"/>
      <c r="D69" s="2900"/>
      <c r="E69" s="2900"/>
      <c r="F69" s="2900"/>
      <c r="G69" s="2920"/>
      <c r="H69" s="2899" t="str">
        <f>SUBSTITUTE(配慮!C12,"注）　改修における「LR2　資源・マテリアル」に対する配慮事項を簡潔に記載してください。"&amp;CHAR(10),"")</f>
        <v/>
      </c>
      <c r="I69" s="2900"/>
      <c r="J69" s="2900"/>
      <c r="K69" s="2920"/>
      <c r="L69" s="2899" t="str">
        <f>SUBSTITUTE(配慮!C13,"注）　改修における「LR3　敷地外環境」に対する配慮事項を簡潔に記載してください。"&amp;CHAR(10),"")</f>
        <v/>
      </c>
      <c r="M69" s="2900"/>
      <c r="N69" s="2900"/>
      <c r="O69" s="2901"/>
      <c r="P69" s="686"/>
      <c r="Q69" s="805"/>
      <c r="R69" s="789"/>
      <c r="S69" s="789"/>
      <c r="T69" s="789"/>
      <c r="U69" s="789"/>
      <c r="V69" s="789"/>
      <c r="W69" s="789"/>
      <c r="X69" s="789"/>
      <c r="Y69" s="789"/>
      <c r="Z69" s="789"/>
      <c r="AA69" s="789"/>
      <c r="AB69" s="789"/>
    </row>
    <row r="70" spans="1:28" s="695" customFormat="1" ht="5.25" customHeight="1">
      <c r="A70" s="686"/>
      <c r="B70" s="686"/>
      <c r="C70" s="686"/>
      <c r="D70" s="686"/>
      <c r="E70" s="686"/>
      <c r="F70" s="686"/>
      <c r="G70" s="686"/>
      <c r="H70" s="686"/>
      <c r="I70" s="686"/>
      <c r="J70" s="686"/>
      <c r="K70" s="686"/>
      <c r="L70" s="686"/>
      <c r="M70" s="686"/>
      <c r="N70" s="686"/>
      <c r="O70" s="686"/>
      <c r="P70" s="686"/>
      <c r="Q70" s="686"/>
      <c r="R70" s="789"/>
      <c r="S70" s="789"/>
      <c r="T70" s="789"/>
      <c r="U70" s="789"/>
      <c r="V70" s="789"/>
      <c r="W70" s="789"/>
      <c r="X70" s="789"/>
      <c r="Y70" s="789"/>
      <c r="Z70" s="789"/>
      <c r="AA70" s="789"/>
      <c r="AB70" s="789"/>
    </row>
    <row r="71" spans="1:28" s="695" customFormat="1" ht="16.5" hidden="1" thickBot="1">
      <c r="A71" s="686"/>
      <c r="B71" s="955" t="s">
        <v>9</v>
      </c>
      <c r="C71" s="956"/>
      <c r="D71" s="957"/>
      <c r="E71" s="956"/>
      <c r="F71" s="956"/>
      <c r="G71" s="956"/>
      <c r="H71" s="956"/>
      <c r="I71" s="956"/>
      <c r="J71" s="958"/>
      <c r="K71" s="959"/>
      <c r="L71" s="959"/>
      <c r="M71" s="959"/>
      <c r="N71" s="960"/>
      <c r="O71" s="961" t="s">
        <v>10</v>
      </c>
      <c r="P71" s="686"/>
      <c r="Q71" s="686"/>
      <c r="R71" s="789"/>
      <c r="S71" s="789"/>
      <c r="T71" s="789"/>
      <c r="U71" s="789"/>
      <c r="V71" s="789"/>
      <c r="W71" s="789"/>
      <c r="X71" s="789"/>
      <c r="Y71" s="789"/>
      <c r="Z71" s="789"/>
      <c r="AA71" s="789"/>
      <c r="AB71" s="789"/>
    </row>
    <row r="72" spans="1:28" s="695" customFormat="1" ht="15.75" hidden="1">
      <c r="A72" s="686"/>
      <c r="B72" s="962" t="s">
        <v>11</v>
      </c>
      <c r="C72" s="963"/>
      <c r="D72" s="964"/>
      <c r="E72" s="963"/>
      <c r="F72" s="963"/>
      <c r="G72" s="963"/>
      <c r="H72" s="963"/>
      <c r="I72" s="963"/>
      <c r="J72" s="965"/>
      <c r="K72" s="966"/>
      <c r="L72" s="967"/>
      <c r="M72" s="967"/>
      <c r="N72" s="965"/>
      <c r="O72" s="968" t="s">
        <v>1841</v>
      </c>
      <c r="P72" s="686"/>
      <c r="Q72" s="686"/>
      <c r="R72" s="789"/>
      <c r="S72" s="789"/>
      <c r="T72" s="789"/>
      <c r="U72" s="789"/>
      <c r="V72" s="789"/>
      <c r="W72" s="789"/>
      <c r="X72" s="789"/>
      <c r="Y72" s="789"/>
      <c r="Z72" s="789"/>
      <c r="AA72" s="789"/>
      <c r="AB72" s="789"/>
    </row>
    <row r="73" spans="1:28" s="695" customFormat="1" ht="14.25" hidden="1">
      <c r="A73" s="686"/>
      <c r="B73" s="969"/>
      <c r="C73" s="970"/>
      <c r="D73" s="971"/>
      <c r="E73" s="972" t="s">
        <v>12</v>
      </c>
      <c r="F73" s="973"/>
      <c r="G73" s="973"/>
      <c r="H73" s="972" t="s">
        <v>13</v>
      </c>
      <c r="I73" s="973"/>
      <c r="J73" s="972" t="s">
        <v>14</v>
      </c>
      <c r="K73" s="974"/>
      <c r="L73" s="972" t="s">
        <v>15</v>
      </c>
      <c r="M73" s="973"/>
      <c r="N73" s="973"/>
      <c r="O73" s="975" t="s">
        <v>16</v>
      </c>
      <c r="P73" s="686"/>
      <c r="Q73" s="686"/>
      <c r="R73" s="789"/>
      <c r="S73" s="789"/>
      <c r="T73" s="789"/>
      <c r="U73" s="789"/>
      <c r="V73" s="789"/>
      <c r="W73" s="789"/>
      <c r="X73" s="789"/>
      <c r="Y73" s="789"/>
      <c r="Z73" s="789"/>
      <c r="AA73" s="789"/>
      <c r="AB73" s="789"/>
    </row>
    <row r="74" spans="1:28" s="695" customFormat="1" ht="14.25" hidden="1">
      <c r="A74" s="686"/>
      <c r="B74" s="976"/>
      <c r="C74" s="977" t="s">
        <v>17</v>
      </c>
      <c r="D74" s="978"/>
      <c r="E74" s="979"/>
      <c r="F74" s="980" t="s">
        <v>18</v>
      </c>
      <c r="G74" s="981"/>
      <c r="H74" s="979"/>
      <c r="I74" s="980" t="s">
        <v>19</v>
      </c>
      <c r="J74" s="982"/>
      <c r="K74" s="980" t="s">
        <v>18</v>
      </c>
      <c r="L74" s="983"/>
      <c r="M74" s="984"/>
      <c r="N74" s="985"/>
      <c r="O74" s="986"/>
      <c r="P74" s="686"/>
      <c r="Q74" s="686"/>
      <c r="R74" s="789"/>
      <c r="S74" s="789"/>
      <c r="T74" s="789"/>
      <c r="U74" s="789"/>
      <c r="V74" s="789"/>
      <c r="W74" s="789"/>
      <c r="X74" s="789"/>
      <c r="Y74" s="789"/>
      <c r="Z74" s="789"/>
      <c r="AA74" s="789"/>
      <c r="AB74" s="789"/>
    </row>
    <row r="75" spans="1:28" s="695" customFormat="1" ht="15.75" hidden="1">
      <c r="A75" s="686"/>
      <c r="B75" s="976"/>
      <c r="C75" s="987" t="s">
        <v>20</v>
      </c>
      <c r="D75" s="988"/>
      <c r="E75" s="989"/>
      <c r="F75" s="892" t="s">
        <v>21</v>
      </c>
      <c r="G75" s="892"/>
      <c r="H75" s="989"/>
      <c r="I75" s="892" t="s">
        <v>22</v>
      </c>
      <c r="J75" s="990"/>
      <c r="K75" s="892" t="s">
        <v>21</v>
      </c>
      <c r="L75" s="991"/>
      <c r="N75" s="992"/>
      <c r="O75" s="993"/>
      <c r="P75" s="686"/>
      <c r="Q75" s="686"/>
      <c r="W75" s="789"/>
      <c r="X75" s="789"/>
      <c r="Y75" s="789"/>
      <c r="Z75" s="789"/>
      <c r="AA75" s="789"/>
      <c r="AB75" s="789"/>
    </row>
    <row r="76" spans="1:28" s="695" customFormat="1" ht="14.25" hidden="1">
      <c r="A76" s="994"/>
      <c r="B76" s="995"/>
      <c r="C76" s="996" t="s">
        <v>23</v>
      </c>
      <c r="D76" s="988"/>
      <c r="E76" s="989"/>
      <c r="F76" s="981" t="s">
        <v>24</v>
      </c>
      <c r="G76" s="981"/>
      <c r="H76" s="989"/>
      <c r="I76" s="981" t="s">
        <v>25</v>
      </c>
      <c r="J76" s="990"/>
      <c r="K76" s="981" t="s">
        <v>24</v>
      </c>
      <c r="L76" s="991"/>
      <c r="N76" s="997"/>
      <c r="O76" s="993"/>
      <c r="P76" s="994"/>
      <c r="Q76" s="686"/>
      <c r="W76" s="789"/>
      <c r="X76" s="789"/>
      <c r="Y76" s="789"/>
      <c r="Z76" s="789"/>
      <c r="AA76" s="789"/>
      <c r="AB76" s="789"/>
    </row>
    <row r="77" spans="1:28" s="695" customFormat="1" ht="15.75" hidden="1">
      <c r="A77" s="686"/>
      <c r="B77" s="976"/>
      <c r="C77" s="998" t="s">
        <v>26</v>
      </c>
      <c r="D77" s="988"/>
      <c r="E77" s="989"/>
      <c r="F77" s="892" t="s">
        <v>21</v>
      </c>
      <c r="G77" s="892"/>
      <c r="H77" s="989"/>
      <c r="I77" s="892" t="s">
        <v>22</v>
      </c>
      <c r="J77" s="990"/>
      <c r="K77" s="892" t="s">
        <v>21</v>
      </c>
      <c r="L77" s="991"/>
      <c r="N77" s="992"/>
      <c r="O77" s="999"/>
      <c r="P77" s="686"/>
      <c r="Q77" s="686"/>
      <c r="W77" s="789"/>
      <c r="X77" s="789"/>
      <c r="Y77" s="789"/>
      <c r="Z77" s="789"/>
      <c r="AA77" s="789"/>
      <c r="AB77" s="789"/>
    </row>
    <row r="78" spans="1:28" s="695" customFormat="1" ht="14.25" hidden="1">
      <c r="A78" s="686"/>
      <c r="B78" s="976"/>
      <c r="C78" s="998" t="s">
        <v>27</v>
      </c>
      <c r="D78" s="988"/>
      <c r="E78" s="989"/>
      <c r="F78" s="513" t="s">
        <v>28</v>
      </c>
      <c r="G78" s="892"/>
      <c r="H78" s="989"/>
      <c r="I78" s="513" t="s">
        <v>29</v>
      </c>
      <c r="J78" s="990"/>
      <c r="K78" s="513" t="s">
        <v>28</v>
      </c>
      <c r="L78" s="991"/>
      <c r="N78" s="992"/>
      <c r="O78" s="727"/>
      <c r="P78" s="686"/>
      <c r="Q78" s="686"/>
      <c r="W78" s="789"/>
      <c r="X78" s="789"/>
      <c r="Y78" s="789"/>
      <c r="Z78" s="789"/>
      <c r="AA78" s="789"/>
      <c r="AB78" s="789"/>
    </row>
    <row r="79" spans="1:28" s="695" customFormat="1" ht="14.25" hidden="1">
      <c r="A79" s="686"/>
      <c r="B79" s="976"/>
      <c r="C79" s="998" t="s">
        <v>30</v>
      </c>
      <c r="D79" s="988"/>
      <c r="E79" s="989"/>
      <c r="F79" s="513" t="s">
        <v>28</v>
      </c>
      <c r="G79" s="892"/>
      <c r="H79" s="989"/>
      <c r="I79" s="513" t="s">
        <v>29</v>
      </c>
      <c r="J79" s="990"/>
      <c r="K79" s="513" t="s">
        <v>28</v>
      </c>
      <c r="L79" s="991"/>
      <c r="N79" s="992"/>
      <c r="O79" s="993"/>
      <c r="P79" s="686"/>
      <c r="Q79" s="686"/>
      <c r="W79" s="789"/>
      <c r="X79" s="789"/>
      <c r="Y79" s="789"/>
      <c r="Z79" s="789"/>
      <c r="AA79" s="789"/>
      <c r="AB79" s="789"/>
    </row>
    <row r="80" spans="1:28" s="695" customFormat="1" ht="15" hidden="1" thickBot="1">
      <c r="A80" s="686"/>
      <c r="B80" s="1000"/>
      <c r="C80" s="1001"/>
      <c r="D80" s="1002"/>
      <c r="E80" s="1003"/>
      <c r="F80" s="1004"/>
      <c r="G80" s="918"/>
      <c r="H80" s="1003"/>
      <c r="I80" s="1004"/>
      <c r="J80" s="1005"/>
      <c r="K80" s="1004"/>
      <c r="L80" s="991"/>
      <c r="N80" s="1006"/>
      <c r="O80" s="1007"/>
      <c r="P80" s="686"/>
      <c r="Q80" s="686"/>
      <c r="W80" s="789"/>
      <c r="X80" s="789"/>
      <c r="Y80" s="789"/>
      <c r="Z80" s="789"/>
      <c r="AA80" s="789"/>
      <c r="AB80" s="789"/>
    </row>
    <row r="81" spans="1:42" s="695" customFormat="1" ht="16.5" hidden="1" thickBot="1">
      <c r="A81" s="686"/>
      <c r="B81" s="211" t="s">
        <v>31</v>
      </c>
      <c r="C81" s="1008"/>
      <c r="D81" s="1009"/>
      <c r="E81" s="1010"/>
      <c r="F81" s="1011"/>
      <c r="G81" s="1011"/>
      <c r="H81" s="1011"/>
      <c r="I81" s="1011"/>
      <c r="J81" s="1011"/>
      <c r="K81" s="1011"/>
      <c r="L81" s="1011"/>
      <c r="M81" s="1011"/>
      <c r="N81" s="1011"/>
      <c r="O81" s="1012"/>
      <c r="P81" s="686"/>
      <c r="Q81" s="686"/>
      <c r="W81" s="789"/>
      <c r="X81" s="789"/>
      <c r="Y81" s="789"/>
      <c r="Z81" s="789"/>
      <c r="AA81" s="789"/>
      <c r="AB81" s="789"/>
    </row>
    <row r="82" spans="1:42" s="695" customFormat="1" ht="15.75" hidden="1">
      <c r="A82" s="686"/>
      <c r="B82" s="1013" t="s">
        <v>32</v>
      </c>
      <c r="C82" s="1014"/>
      <c r="D82" s="1015"/>
      <c r="E82" s="1016"/>
      <c r="F82" s="1017"/>
      <c r="G82" s="1017"/>
      <c r="H82" s="1017"/>
      <c r="I82" s="1015"/>
      <c r="J82" s="1018" t="s">
        <v>33</v>
      </c>
      <c r="K82" s="1019"/>
      <c r="L82" s="1020"/>
      <c r="M82" s="1014"/>
      <c r="N82" s="1014"/>
      <c r="O82" s="1021"/>
      <c r="P82" s="686"/>
      <c r="Q82" s="686"/>
      <c r="W82" s="789"/>
      <c r="X82" s="789"/>
      <c r="Y82" s="789"/>
      <c r="Z82" s="789"/>
      <c r="AA82" s="789"/>
      <c r="AB82" s="789"/>
    </row>
    <row r="83" spans="1:42" s="695" customFormat="1" ht="15" hidden="1">
      <c r="A83" s="686"/>
      <c r="B83" s="1022"/>
      <c r="C83" s="1023" t="s">
        <v>34</v>
      </c>
      <c r="D83" s="1024"/>
      <c r="E83" s="1024"/>
      <c r="F83" s="1024"/>
      <c r="G83" s="1024"/>
      <c r="H83" s="1024"/>
      <c r="I83" s="1024"/>
      <c r="J83" s="1025" t="s">
        <v>35</v>
      </c>
      <c r="L83" s="1026"/>
      <c r="M83" s="832"/>
      <c r="N83" s="832"/>
      <c r="O83" s="1027"/>
      <c r="P83" s="686"/>
      <c r="Q83" s="686"/>
      <c r="W83" s="789"/>
      <c r="X83" s="789"/>
      <c r="Y83" s="789"/>
      <c r="Z83" s="789"/>
      <c r="AA83" s="789"/>
      <c r="AB83" s="789"/>
    </row>
    <row r="84" spans="1:42" s="695" customFormat="1" ht="15" hidden="1">
      <c r="A84" s="686"/>
      <c r="B84" s="1022"/>
      <c r="C84" s="1023"/>
      <c r="D84" s="1024"/>
      <c r="E84" s="1024"/>
      <c r="F84" s="1024"/>
      <c r="G84" s="1024"/>
      <c r="H84" s="1024"/>
      <c r="I84" s="1024"/>
      <c r="J84" s="1025"/>
      <c r="L84" s="1026"/>
      <c r="M84" s="832"/>
      <c r="N84" s="832"/>
      <c r="O84" s="1027"/>
      <c r="P84" s="686"/>
      <c r="Q84" s="686"/>
      <c r="W84" s="789"/>
      <c r="X84" s="789"/>
      <c r="Y84" s="789"/>
      <c r="Z84" s="789"/>
      <c r="AA84" s="789"/>
      <c r="AB84" s="789"/>
    </row>
    <row r="85" spans="1:42" s="695" customFormat="1" ht="15" hidden="1" thickBot="1">
      <c r="A85" s="686"/>
      <c r="B85" s="1028"/>
      <c r="C85" s="1029"/>
      <c r="D85" s="1030"/>
      <c r="E85" s="1030"/>
      <c r="F85" s="1030"/>
      <c r="G85" s="1030"/>
      <c r="H85" s="1030"/>
      <c r="I85" s="1030"/>
      <c r="J85" s="1031"/>
      <c r="K85" s="812"/>
      <c r="L85" s="1032"/>
      <c r="M85" s="1032"/>
      <c r="N85" s="1032"/>
      <c r="O85" s="1033"/>
      <c r="P85" s="686"/>
      <c r="Q85" s="686"/>
      <c r="W85" s="694"/>
      <c r="X85" s="694"/>
      <c r="Y85" s="694"/>
      <c r="Z85" s="694"/>
      <c r="AA85" s="694"/>
      <c r="AB85" s="694"/>
    </row>
    <row r="86" spans="1:42" ht="14.25" hidden="1">
      <c r="B86" s="892"/>
      <c r="C86" s="892"/>
      <c r="D86" s="907"/>
      <c r="E86" s="892"/>
      <c r="F86" s="705"/>
      <c r="G86" s="705"/>
      <c r="H86" s="705"/>
      <c r="I86" s="706"/>
      <c r="J86" s="706"/>
      <c r="K86" s="705"/>
      <c r="L86" s="705"/>
      <c r="M86" s="726"/>
      <c r="N86" s="726"/>
      <c r="O86" s="726"/>
      <c r="S86" s="695"/>
      <c r="W86" s="694"/>
      <c r="X86" s="694"/>
      <c r="Y86" s="694"/>
      <c r="Z86" s="694"/>
      <c r="AA86" s="694"/>
      <c r="AB86" s="694"/>
      <c r="AC86" s="695"/>
      <c r="AD86" s="695"/>
      <c r="AE86" s="695"/>
      <c r="AF86" s="695"/>
      <c r="AG86" s="695"/>
      <c r="AH86" s="695"/>
      <c r="AI86" s="695"/>
      <c r="AJ86" s="695"/>
      <c r="AK86" s="695"/>
      <c r="AL86" s="695"/>
      <c r="AM86" s="695"/>
      <c r="AN86" s="695"/>
      <c r="AO86" s="695"/>
      <c r="AP86" s="695"/>
    </row>
    <row r="87" spans="1:42" ht="14.25" hidden="1">
      <c r="B87" s="1036"/>
      <c r="C87" s="1037"/>
      <c r="D87" s="1038"/>
      <c r="E87" s="1039"/>
      <c r="F87" s="1039"/>
      <c r="G87" s="1039"/>
      <c r="H87" s="1039"/>
      <c r="I87" s="804"/>
      <c r="J87" s="1040"/>
      <c r="K87" s="804"/>
      <c r="L87" s="1041"/>
      <c r="M87" s="804"/>
      <c r="N87" s="1042"/>
      <c r="O87" s="1043"/>
      <c r="R87" s="694"/>
      <c r="S87" s="694"/>
      <c r="T87" s="694"/>
      <c r="U87" s="694"/>
      <c r="V87" s="694"/>
      <c r="W87" s="694"/>
      <c r="X87" s="694"/>
      <c r="Y87" s="694"/>
      <c r="Z87" s="694"/>
      <c r="AA87" s="694"/>
      <c r="AB87" s="694"/>
      <c r="AC87" s="695"/>
      <c r="AD87" s="695"/>
      <c r="AE87" s="695"/>
      <c r="AF87" s="695"/>
      <c r="AG87" s="695"/>
      <c r="AH87" s="695"/>
      <c r="AI87" s="695"/>
      <c r="AJ87" s="695"/>
      <c r="AK87" s="695"/>
      <c r="AL87" s="695"/>
      <c r="AM87" s="695"/>
      <c r="AN87" s="695"/>
      <c r="AO87" s="695"/>
      <c r="AP87" s="695"/>
    </row>
    <row r="88" spans="1:42" ht="14.25" hidden="1">
      <c r="B88" s="1044"/>
      <c r="C88" s="1045" t="s">
        <v>36</v>
      </c>
      <c r="D88" s="1046" t="s">
        <v>37</v>
      </c>
      <c r="E88" s="1047" t="s">
        <v>38</v>
      </c>
      <c r="G88" s="695"/>
      <c r="H88" s="1047" t="s">
        <v>39</v>
      </c>
      <c r="J88" s="1050" t="s">
        <v>40</v>
      </c>
      <c r="L88" s="1050" t="s">
        <v>41</v>
      </c>
      <c r="N88" s="1052" t="s">
        <v>42</v>
      </c>
      <c r="O88" s="1053"/>
      <c r="R88" s="694"/>
      <c r="S88" s="694"/>
      <c r="T88" s="694"/>
      <c r="U88" s="694"/>
      <c r="V88" s="694"/>
      <c r="W88" s="694"/>
      <c r="X88" s="694"/>
      <c r="Y88" s="694"/>
      <c r="Z88" s="694"/>
      <c r="AA88" s="694"/>
      <c r="AB88" s="694"/>
      <c r="AC88" s="695"/>
      <c r="AD88" s="695"/>
      <c r="AE88" s="695"/>
      <c r="AF88" s="695"/>
      <c r="AG88" s="695"/>
      <c r="AH88" s="695"/>
      <c r="AI88" s="695"/>
      <c r="AJ88" s="695"/>
      <c r="AK88" s="695"/>
      <c r="AL88" s="695"/>
      <c r="AM88" s="695"/>
      <c r="AN88" s="695"/>
      <c r="AO88" s="695"/>
      <c r="AP88" s="695"/>
    </row>
    <row r="89" spans="1:42" ht="14.25" hidden="1">
      <c r="A89" s="805"/>
      <c r="B89" s="1044"/>
      <c r="C89" s="1045" t="s">
        <v>43</v>
      </c>
      <c r="D89" s="1054" t="s">
        <v>44</v>
      </c>
      <c r="E89" s="1055"/>
      <c r="F89" s="1056"/>
      <c r="G89" s="1056"/>
      <c r="H89" s="1056"/>
      <c r="I89" s="1057"/>
      <c r="J89" s="1057"/>
      <c r="K89" s="1058"/>
      <c r="L89" s="1058"/>
      <c r="M89" s="726"/>
      <c r="N89" s="726"/>
      <c r="O89" s="1059"/>
      <c r="P89" s="805"/>
      <c r="Q89" s="805"/>
    </row>
    <row r="90" spans="1:42" ht="14.25" hidden="1">
      <c r="B90" s="1060"/>
      <c r="C90" s="1045" t="s">
        <v>45</v>
      </c>
      <c r="D90" s="1061" t="s">
        <v>1842</v>
      </c>
      <c r="E90" s="1062"/>
      <c r="G90" s="1063"/>
      <c r="O90" s="1059"/>
    </row>
    <row r="91" spans="1:42" ht="14.25" hidden="1">
      <c r="B91" s="1060"/>
      <c r="C91" s="1045"/>
      <c r="D91" s="1061" t="s">
        <v>1843</v>
      </c>
      <c r="E91" s="1062"/>
      <c r="G91" s="1063"/>
      <c r="O91" s="1059"/>
    </row>
    <row r="92" spans="1:42" ht="14.25" hidden="1">
      <c r="B92" s="1064"/>
      <c r="C92" s="1065" t="s">
        <v>46</v>
      </c>
      <c r="D92" s="1066" t="s">
        <v>1844</v>
      </c>
      <c r="E92" s="1067"/>
      <c r="F92" s="1068"/>
      <c r="G92" s="1069"/>
      <c r="H92" s="1068"/>
      <c r="I92" s="1070"/>
      <c r="J92" s="1070"/>
      <c r="K92" s="1068"/>
      <c r="L92" s="1068"/>
      <c r="M92" s="1071"/>
      <c r="N92" s="1071"/>
      <c r="O92" s="1072"/>
    </row>
    <row r="93" spans="1:42" ht="14.25">
      <c r="G93" s="1063"/>
      <c r="O93" s="726"/>
    </row>
    <row r="94" spans="1:42" ht="14.25">
      <c r="G94" s="1063"/>
      <c r="L94" s="1063"/>
      <c r="M94" s="726"/>
      <c r="O94" s="726"/>
    </row>
    <row r="95" spans="1:42" ht="14.25">
      <c r="E95" s="1051"/>
      <c r="F95" s="1074"/>
      <c r="G95" s="1063"/>
      <c r="H95" s="1063"/>
      <c r="I95" s="1058"/>
      <c r="L95" s="1063"/>
      <c r="M95" s="726"/>
      <c r="O95" s="726"/>
    </row>
    <row r="96" spans="1:42" ht="14.25">
      <c r="C96" s="1075"/>
      <c r="D96" s="910"/>
      <c r="E96" s="1051"/>
      <c r="F96" s="1074"/>
      <c r="G96" s="1063"/>
      <c r="H96" s="1063"/>
      <c r="I96" s="1058"/>
      <c r="J96" s="1058"/>
      <c r="K96" s="1063"/>
      <c r="L96" s="1063"/>
      <c r="M96" s="726"/>
      <c r="O96" s="726"/>
    </row>
    <row r="97" spans="2:15" ht="14.25">
      <c r="B97" s="1076"/>
      <c r="C97" s="1077"/>
      <c r="D97" s="1078"/>
      <c r="E97" s="1051"/>
      <c r="F97" s="1074"/>
      <c r="G97" s="1056"/>
      <c r="H97" s="1056"/>
      <c r="I97" s="1057"/>
      <c r="J97" s="1057"/>
      <c r="K97" s="1058"/>
      <c r="L97" s="1058"/>
      <c r="M97" s="726"/>
      <c r="O97" s="726"/>
    </row>
    <row r="98" spans="2:15" ht="14.25" hidden="1">
      <c r="B98" s="1076"/>
      <c r="C98" s="1076"/>
      <c r="D98" s="1079"/>
      <c r="G98" s="1056"/>
      <c r="H98" s="1056"/>
      <c r="I98" s="1057"/>
      <c r="J98" s="1057"/>
      <c r="K98" s="1058"/>
      <c r="L98" s="1058"/>
      <c r="M98" s="726"/>
      <c r="N98" s="726"/>
      <c r="O98" s="726"/>
    </row>
    <row r="99" spans="2:15" ht="14.25" hidden="1">
      <c r="E99" s="704"/>
      <c r="F99" s="705"/>
      <c r="G99" s="705"/>
      <c r="H99" s="705"/>
      <c r="I99" s="706"/>
      <c r="J99" s="706"/>
      <c r="K99" s="705"/>
      <c r="L99" s="705"/>
      <c r="M99" s="726"/>
      <c r="N99" s="726"/>
      <c r="O99" s="726"/>
    </row>
    <row r="100" spans="2:15" ht="14.25" hidden="1">
      <c r="E100" s="704"/>
      <c r="F100" s="705"/>
      <c r="G100" s="705"/>
      <c r="H100" s="705"/>
      <c r="I100" s="706"/>
      <c r="J100" s="706"/>
      <c r="K100" s="705"/>
      <c r="L100" s="705"/>
      <c r="M100" s="726"/>
      <c r="N100" s="726"/>
      <c r="O100" s="726"/>
    </row>
    <row r="101" spans="2:15" ht="14.25" hidden="1">
      <c r="E101" s="704"/>
      <c r="F101" s="705"/>
      <c r="G101" s="705"/>
      <c r="H101" s="705"/>
      <c r="I101" s="706"/>
      <c r="J101" s="706"/>
      <c r="K101" s="705"/>
      <c r="L101" s="705"/>
      <c r="M101" s="726"/>
      <c r="N101" s="726"/>
      <c r="O101" s="726"/>
    </row>
    <row r="102" spans="2:15" ht="14.25" hidden="1">
      <c r="E102" s="704"/>
      <c r="F102" s="705"/>
      <c r="G102" s="705"/>
      <c r="H102" s="705"/>
      <c r="I102" s="706"/>
      <c r="J102" s="706"/>
      <c r="K102" s="705"/>
      <c r="L102" s="705"/>
      <c r="M102" s="726"/>
      <c r="N102" s="726"/>
      <c r="O102" s="726"/>
    </row>
    <row r="103" spans="2:15" ht="14.25" hidden="1">
      <c r="E103" s="704"/>
      <c r="F103" s="705"/>
      <c r="G103" s="705"/>
      <c r="H103" s="705"/>
      <c r="I103" s="706"/>
      <c r="J103" s="706"/>
      <c r="K103" s="705"/>
      <c r="L103" s="705"/>
      <c r="M103" s="726"/>
      <c r="N103" s="726"/>
      <c r="O103" s="726"/>
    </row>
    <row r="104" spans="2:15" ht="14.25" hidden="1">
      <c r="E104" s="704"/>
      <c r="F104" s="705"/>
      <c r="G104" s="705"/>
      <c r="H104" s="705"/>
      <c r="I104" s="706"/>
      <c r="J104" s="706"/>
      <c r="K104" s="705"/>
      <c r="L104" s="705"/>
      <c r="M104" s="726"/>
      <c r="N104" s="726"/>
      <c r="O104" s="726"/>
    </row>
    <row r="105" spans="2:15" ht="14.25" hidden="1">
      <c r="E105" s="704"/>
      <c r="F105" s="705"/>
      <c r="G105" s="705"/>
      <c r="H105" s="705"/>
      <c r="I105" s="706"/>
      <c r="J105" s="706"/>
      <c r="K105" s="705"/>
      <c r="L105" s="705"/>
      <c r="M105" s="726"/>
      <c r="N105" s="726"/>
      <c r="O105" s="726"/>
    </row>
    <row r="106" spans="2:15" ht="14.25" hidden="1">
      <c r="E106" s="704"/>
      <c r="F106" s="705"/>
      <c r="G106" s="705"/>
      <c r="H106" s="705"/>
      <c r="I106" s="706"/>
      <c r="J106" s="706"/>
      <c r="K106" s="705"/>
      <c r="L106" s="705"/>
      <c r="M106" s="726"/>
      <c r="N106" s="726"/>
      <c r="O106" s="726"/>
    </row>
    <row r="107" spans="2:15" ht="14.25" hidden="1">
      <c r="E107" s="704"/>
      <c r="F107" s="705"/>
      <c r="G107" s="705"/>
      <c r="H107" s="705"/>
      <c r="I107" s="706"/>
      <c r="J107" s="706"/>
      <c r="K107" s="705"/>
      <c r="L107" s="705"/>
      <c r="M107" s="726"/>
      <c r="N107" s="726"/>
      <c r="O107" s="726"/>
    </row>
    <row r="108" spans="2:15" ht="14.25" hidden="1">
      <c r="E108" s="704"/>
      <c r="F108" s="705"/>
      <c r="G108" s="705"/>
      <c r="H108" s="705"/>
      <c r="I108" s="706"/>
      <c r="J108" s="706"/>
      <c r="K108" s="705"/>
      <c r="L108" s="705"/>
      <c r="M108" s="726"/>
      <c r="N108" s="726"/>
      <c r="O108" s="726"/>
    </row>
    <row r="109" spans="2:15" ht="14.25" hidden="1">
      <c r="E109" s="704"/>
      <c r="F109" s="705"/>
      <c r="G109" s="705"/>
      <c r="H109" s="705"/>
      <c r="I109" s="706"/>
      <c r="J109" s="706"/>
      <c r="K109" s="705"/>
      <c r="L109" s="705"/>
      <c r="M109" s="726"/>
      <c r="N109" s="726"/>
      <c r="O109" s="726"/>
    </row>
    <row r="110" spans="2:15" ht="14.25" hidden="1">
      <c r="E110" s="704"/>
      <c r="F110" s="705"/>
      <c r="G110" s="705"/>
      <c r="H110" s="705"/>
      <c r="I110" s="706"/>
      <c r="J110" s="706"/>
      <c r="K110" s="705"/>
      <c r="L110" s="705"/>
      <c r="M110" s="726"/>
      <c r="N110" s="726"/>
      <c r="O110" s="726"/>
    </row>
    <row r="111" spans="2:15" ht="14.25" hidden="1">
      <c r="E111" s="704"/>
      <c r="F111" s="705"/>
      <c r="G111" s="705"/>
      <c r="H111" s="705"/>
      <c r="I111" s="706"/>
      <c r="J111" s="706"/>
      <c r="K111" s="705"/>
      <c r="L111" s="705"/>
      <c r="M111" s="726"/>
      <c r="N111" s="726"/>
      <c r="O111" s="726"/>
    </row>
    <row r="112" spans="2:15" ht="14.25" hidden="1">
      <c r="E112" s="704"/>
      <c r="F112" s="705"/>
      <c r="G112" s="705"/>
      <c r="H112" s="705"/>
      <c r="I112" s="706"/>
      <c r="J112" s="706"/>
      <c r="K112" s="705"/>
      <c r="L112" s="705"/>
      <c r="M112" s="726"/>
      <c r="N112" s="726"/>
      <c r="O112" s="726"/>
    </row>
    <row r="113" spans="5:15" ht="14.25" hidden="1">
      <c r="E113" s="704"/>
      <c r="F113" s="705"/>
      <c r="G113" s="705"/>
      <c r="H113" s="705"/>
      <c r="I113" s="706"/>
      <c r="J113" s="706"/>
      <c r="K113" s="705"/>
      <c r="L113" s="705"/>
      <c r="M113" s="726"/>
      <c r="N113" s="726"/>
      <c r="O113" s="726"/>
    </row>
    <row r="114" spans="5:15" ht="14.25" hidden="1">
      <c r="E114" s="704"/>
      <c r="F114" s="705"/>
      <c r="G114" s="705"/>
      <c r="H114" s="705"/>
      <c r="I114" s="706"/>
      <c r="J114" s="706"/>
      <c r="K114" s="705"/>
      <c r="L114" s="705"/>
      <c r="M114" s="726"/>
      <c r="N114" s="726"/>
      <c r="O114" s="726"/>
    </row>
    <row r="115" spans="5:15" ht="14.25" hidden="1">
      <c r="E115" s="704"/>
      <c r="F115" s="705"/>
      <c r="G115" s="705"/>
      <c r="H115" s="705"/>
      <c r="I115" s="706"/>
      <c r="J115" s="706"/>
      <c r="K115" s="705"/>
      <c r="L115" s="705"/>
      <c r="M115" s="726"/>
      <c r="N115" s="726"/>
      <c r="O115" s="726"/>
    </row>
    <row r="116" spans="5:15" ht="14.25" hidden="1">
      <c r="E116" s="704"/>
      <c r="F116" s="705"/>
      <c r="G116" s="705"/>
      <c r="H116" s="705"/>
      <c r="I116" s="706"/>
      <c r="J116" s="706"/>
      <c r="K116" s="705"/>
      <c r="L116" s="705"/>
      <c r="M116" s="726"/>
      <c r="N116" s="726"/>
      <c r="O116" s="726"/>
    </row>
    <row r="117" spans="5:15" ht="14.25" hidden="1">
      <c r="E117" s="704"/>
      <c r="F117" s="705"/>
      <c r="G117" s="705"/>
      <c r="H117" s="705"/>
      <c r="I117" s="706"/>
      <c r="J117" s="706"/>
      <c r="K117" s="705"/>
      <c r="L117" s="705"/>
      <c r="M117" s="726"/>
      <c r="N117" s="726"/>
      <c r="O117" s="726"/>
    </row>
    <row r="118" spans="5:15" ht="14.25" hidden="1">
      <c r="E118" s="704"/>
      <c r="F118" s="705"/>
      <c r="G118" s="705"/>
      <c r="H118" s="705"/>
      <c r="I118" s="706"/>
      <c r="J118" s="706"/>
      <c r="K118" s="705"/>
      <c r="L118" s="705"/>
      <c r="M118" s="726"/>
      <c r="N118" s="726"/>
      <c r="O118" s="726"/>
    </row>
    <row r="119" spans="5:15" ht="14.25" hidden="1">
      <c r="E119" s="704"/>
      <c r="F119" s="705"/>
      <c r="G119" s="705"/>
      <c r="H119" s="705"/>
      <c r="I119" s="706"/>
      <c r="J119" s="706"/>
      <c r="K119" s="705"/>
      <c r="L119" s="705"/>
      <c r="M119" s="726"/>
      <c r="N119" s="726"/>
      <c r="O119" s="726"/>
    </row>
    <row r="120" spans="5:15" ht="14.25" hidden="1">
      <c r="E120" s="704"/>
      <c r="F120" s="705"/>
      <c r="G120" s="705"/>
      <c r="H120" s="705"/>
      <c r="I120" s="706"/>
      <c r="J120" s="706"/>
      <c r="K120" s="705"/>
      <c r="L120" s="705"/>
      <c r="M120" s="726"/>
      <c r="N120" s="726"/>
      <c r="O120" s="726"/>
    </row>
    <row r="121" spans="5:15" ht="14.25" hidden="1">
      <c r="E121" s="704"/>
      <c r="F121" s="705"/>
      <c r="G121" s="705"/>
      <c r="H121" s="705"/>
      <c r="I121" s="706"/>
      <c r="J121" s="706"/>
      <c r="K121" s="705"/>
      <c r="L121" s="705"/>
      <c r="M121" s="726"/>
      <c r="N121" s="726"/>
      <c r="O121" s="726"/>
    </row>
    <row r="122" spans="5:15" ht="14.25" hidden="1">
      <c r="E122" s="704"/>
      <c r="F122" s="705"/>
      <c r="G122" s="705"/>
      <c r="H122" s="705"/>
      <c r="I122" s="706"/>
      <c r="J122" s="706"/>
      <c r="K122" s="705"/>
      <c r="L122" s="705"/>
      <c r="M122" s="726"/>
      <c r="N122" s="726"/>
      <c r="O122" s="726"/>
    </row>
    <row r="123" spans="5:15" ht="14.25" hidden="1">
      <c r="E123" s="704"/>
      <c r="F123" s="705"/>
      <c r="G123" s="705"/>
      <c r="H123" s="705"/>
      <c r="I123" s="706"/>
      <c r="J123" s="706"/>
      <c r="K123" s="705"/>
      <c r="L123" s="705"/>
      <c r="M123" s="726"/>
      <c r="N123" s="726"/>
      <c r="O123" s="726"/>
    </row>
    <row r="124" spans="5:15" ht="14.25" hidden="1">
      <c r="E124" s="704"/>
      <c r="F124" s="705"/>
      <c r="G124" s="705"/>
      <c r="H124" s="705"/>
      <c r="I124" s="706"/>
      <c r="J124" s="706"/>
      <c r="K124" s="705"/>
      <c r="L124" s="705"/>
      <c r="M124" s="726"/>
      <c r="N124" s="726"/>
      <c r="O124" s="726"/>
    </row>
    <row r="125" spans="5:15" ht="14.25" hidden="1">
      <c r="E125" s="704"/>
      <c r="F125" s="705"/>
      <c r="G125" s="705"/>
      <c r="H125" s="705"/>
      <c r="I125" s="706"/>
      <c r="J125" s="706"/>
      <c r="K125" s="705"/>
      <c r="L125" s="705"/>
      <c r="M125" s="726"/>
      <c r="N125" s="726"/>
      <c r="O125" s="726"/>
    </row>
    <row r="126" spans="5:15" ht="14.25" hidden="1">
      <c r="E126" s="704"/>
      <c r="F126" s="705"/>
      <c r="G126" s="705"/>
      <c r="H126" s="705"/>
      <c r="I126" s="706"/>
      <c r="J126" s="706"/>
      <c r="K126" s="705"/>
      <c r="L126" s="705"/>
      <c r="M126" s="726"/>
      <c r="N126" s="726"/>
      <c r="O126" s="726"/>
    </row>
    <row r="127" spans="5:15" ht="14.25" hidden="1">
      <c r="E127" s="704"/>
      <c r="F127" s="705"/>
      <c r="G127" s="705"/>
      <c r="H127" s="705"/>
      <c r="I127" s="706"/>
      <c r="J127" s="706"/>
      <c r="K127" s="705"/>
      <c r="L127" s="705"/>
      <c r="M127" s="726"/>
      <c r="N127" s="726"/>
      <c r="O127" s="726"/>
    </row>
    <row r="128" spans="5:15" ht="14.25" hidden="1">
      <c r="E128" s="704"/>
      <c r="F128" s="705"/>
      <c r="G128" s="705"/>
      <c r="H128" s="705"/>
      <c r="I128" s="706"/>
      <c r="J128" s="706"/>
      <c r="K128" s="705"/>
      <c r="L128" s="705"/>
      <c r="M128" s="726"/>
      <c r="N128" s="726"/>
      <c r="O128" s="726"/>
    </row>
    <row r="129" ht="14.25" hidden="1"/>
    <row r="130" ht="14.25" hidden="1"/>
    <row r="131" ht="14.25" hidden="1"/>
    <row r="132" ht="14.25" hidden="1"/>
    <row r="133" ht="14.25" hidden="1"/>
    <row r="134" ht="14.25" hidden="1"/>
    <row r="135" ht="14.25" hidden="1"/>
    <row r="136" ht="14.25" hidden="1"/>
    <row r="137" ht="14.25" hidden="1"/>
    <row r="138" ht="14.25" hidden="1"/>
    <row r="139" ht="14.25" hidden="1"/>
    <row r="140" ht="14.25" hidden="1"/>
    <row r="141" ht="14.25" hidden="1"/>
    <row r="142" ht="14.25" hidden="1"/>
    <row r="143" ht="14.25" hidden="1"/>
    <row r="144"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customHeight="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0" hidden="1" customHeight="1"/>
    <row r="213" ht="0" hidden="1" customHeight="1"/>
    <row r="214" ht="0" hidden="1" customHeight="1"/>
  </sheetData>
  <mergeCells count="15">
    <mergeCell ref="Q2:Q5"/>
    <mergeCell ref="L69:O69"/>
    <mergeCell ref="B65:K65"/>
    <mergeCell ref="L65:O65"/>
    <mergeCell ref="B67:G67"/>
    <mergeCell ref="H67:K67"/>
    <mergeCell ref="L67:O67"/>
    <mergeCell ref="D13:E13"/>
    <mergeCell ref="J16:K18"/>
    <mergeCell ref="K5:L5"/>
    <mergeCell ref="L35:O38"/>
    <mergeCell ref="N5:O5"/>
    <mergeCell ref="H36:K38"/>
    <mergeCell ref="B69:G69"/>
    <mergeCell ref="H69:K69"/>
  </mergeCells>
  <phoneticPr fontId="20"/>
  <conditionalFormatting sqref="H27:K35">
    <cfRule type="expression" dxfId="84" priority="1" stopIfTrue="1">
      <formula>$U$35=$W$36</formula>
    </cfRule>
  </conditionalFormatting>
  <hyperlinks>
    <hyperlink ref="Q2" location="メイン!A1" display="戻る"/>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7"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sheetPr codeName="Sheet26"/>
  <dimension ref="A1:AR97"/>
  <sheetViews>
    <sheetView showGridLines="0" workbookViewId="0">
      <selection activeCell="Q1" sqref="Q1:Q1048576"/>
    </sheetView>
  </sheetViews>
  <sheetFormatPr defaultColWidth="0" defaultRowHeight="0" customHeight="1" zeroHeight="1"/>
  <cols>
    <col min="1" max="1" width="0.75" style="686" customWidth="1"/>
    <col min="2" max="2" width="2.125" style="702" customWidth="1"/>
    <col min="3" max="3" width="13.375" style="702" customWidth="1"/>
    <col min="4" max="4" width="5.375" style="703" customWidth="1"/>
    <col min="5" max="5" width="9.75" style="1073" customWidth="1"/>
    <col min="6" max="6" width="6.25" style="1048" customWidth="1"/>
    <col min="7" max="7" width="6.5" style="1048" customWidth="1"/>
    <col min="8" max="8" width="12.875" style="1048" customWidth="1"/>
    <col min="9" max="9" width="7.125" style="1049" customWidth="1"/>
    <col min="10" max="10" width="12.125" style="1049" customWidth="1"/>
    <col min="11" max="11" width="11.875" style="1048" customWidth="1"/>
    <col min="12" max="12" width="10.875" style="1048" customWidth="1"/>
    <col min="13" max="13" width="11.875" style="1051" customWidth="1"/>
    <col min="14" max="15" width="10.625" style="1051" customWidth="1"/>
    <col min="16" max="16" width="0.75" style="686" customWidth="1"/>
    <col min="17" max="17" width="3.875" style="686" hidden="1" customWidth="1"/>
    <col min="18" max="18" width="10.625" style="695" hidden="1" customWidth="1"/>
    <col min="19" max="19" width="10.625" style="1034" hidden="1" customWidth="1"/>
    <col min="20" max="28" width="10.625" style="695" hidden="1" customWidth="1"/>
    <col min="29" max="32" width="10.625" style="1035" hidden="1" customWidth="1"/>
    <col min="33" max="44" width="0" style="1035" hidden="1" customWidth="1"/>
    <col min="45" max="16384" width="9" style="1035" hidden="1"/>
  </cols>
  <sheetData>
    <row r="1" spans="1:28" s="684" customFormat="1" ht="6" customHeight="1" thickBot="1">
      <c r="A1" s="676"/>
      <c r="B1" s="677"/>
      <c r="C1" s="678"/>
      <c r="D1" s="679"/>
      <c r="E1" s="680"/>
      <c r="F1" s="681"/>
      <c r="G1" s="681"/>
      <c r="H1" s="681"/>
      <c r="I1" s="682"/>
      <c r="J1" s="682"/>
      <c r="K1" s="681"/>
      <c r="L1" s="683"/>
      <c r="M1" s="680"/>
      <c r="N1" s="680"/>
      <c r="O1" s="676"/>
      <c r="P1" s="676"/>
      <c r="Q1" s="676"/>
      <c r="S1" s="685"/>
    </row>
    <row r="2" spans="1:28" s="695" customFormat="1" ht="18.75" customHeight="1" thickTop="1">
      <c r="A2" s="686"/>
      <c r="B2" s="687"/>
      <c r="C2" s="1992"/>
      <c r="D2" s="689"/>
      <c r="E2" s="690"/>
      <c r="F2" s="691"/>
      <c r="G2" s="691"/>
      <c r="H2" s="691"/>
      <c r="I2" s="692"/>
      <c r="J2" s="693"/>
      <c r="K2" s="693"/>
      <c r="L2" s="693"/>
      <c r="M2" s="693"/>
      <c r="N2" s="691"/>
      <c r="O2" s="527"/>
      <c r="P2" s="686"/>
      <c r="Q2" s="2891" t="s">
        <v>440</v>
      </c>
      <c r="R2" s="694"/>
      <c r="S2" s="694"/>
      <c r="T2" s="694"/>
      <c r="U2" s="694"/>
      <c r="V2" s="694"/>
      <c r="W2" s="694"/>
      <c r="X2" s="694"/>
      <c r="Y2" s="694"/>
      <c r="Z2" s="694"/>
      <c r="AA2" s="694"/>
      <c r="AB2" s="694"/>
    </row>
    <row r="3" spans="1:28" s="695" customFormat="1" ht="18.75" customHeight="1">
      <c r="A3" s="686"/>
      <c r="B3" s="687"/>
      <c r="C3" s="688"/>
      <c r="D3" s="689"/>
      <c r="E3" s="690"/>
      <c r="F3" s="691"/>
      <c r="G3" s="691"/>
      <c r="H3" s="691"/>
      <c r="I3" s="692"/>
      <c r="J3" s="693"/>
      <c r="K3" s="693"/>
      <c r="L3" s="693"/>
      <c r="M3" s="693"/>
      <c r="N3" s="691"/>
      <c r="O3" s="526"/>
      <c r="P3" s="686"/>
      <c r="Q3" s="2892"/>
      <c r="R3" s="694"/>
      <c r="S3" s="694"/>
      <c r="T3" s="694"/>
      <c r="U3" s="694"/>
      <c r="V3" s="694"/>
      <c r="W3" s="694"/>
      <c r="X3" s="694"/>
      <c r="Y3" s="694"/>
      <c r="Z3" s="694"/>
      <c r="AA3" s="694"/>
      <c r="AB3" s="694"/>
    </row>
    <row r="4" spans="1:28" s="695" customFormat="1" ht="18.75" customHeight="1">
      <c r="A4" s="686"/>
      <c r="B4" s="687"/>
      <c r="C4" s="688"/>
      <c r="D4" s="689"/>
      <c r="E4" s="690"/>
      <c r="F4" s="691"/>
      <c r="G4" s="691"/>
      <c r="H4" s="691"/>
      <c r="I4" s="696"/>
      <c r="J4" s="693"/>
      <c r="K4" s="693"/>
      <c r="L4" s="693"/>
      <c r="M4" s="693"/>
      <c r="N4" s="691"/>
      <c r="O4" s="527"/>
      <c r="P4" s="686"/>
      <c r="Q4" s="2892"/>
      <c r="R4" s="694"/>
      <c r="S4" s="694"/>
      <c r="T4" s="694"/>
      <c r="U4" s="694"/>
      <c r="V4" s="694"/>
      <c r="W4" s="694"/>
      <c r="X4" s="694"/>
      <c r="Y4" s="694"/>
      <c r="Z4" s="694"/>
      <c r="AA4" s="694"/>
      <c r="AB4" s="694"/>
    </row>
    <row r="5" spans="1:28" s="695" customFormat="1" ht="13.5" customHeight="1" thickBot="1">
      <c r="A5" s="686"/>
      <c r="B5" s="697"/>
      <c r="C5" s="698"/>
      <c r="D5" s="689"/>
      <c r="E5" s="690"/>
      <c r="F5" s="691"/>
      <c r="G5" s="691"/>
      <c r="H5" s="691"/>
      <c r="I5" s="848" t="s">
        <v>456</v>
      </c>
      <c r="J5" s="1117" t="str">
        <f>メイン!C6</f>
        <v>CASBEE京都-改修（2015年版）</v>
      </c>
      <c r="L5" s="848" t="s">
        <v>938</v>
      </c>
      <c r="M5" s="1118" t="str">
        <f>メイン!C5</f>
        <v>CASBEE京都-改修2015（v.1.0）</v>
      </c>
      <c r="O5" s="1119"/>
      <c r="P5" s="686"/>
      <c r="Q5" s="2893"/>
      <c r="R5" s="694"/>
      <c r="S5" s="694"/>
      <c r="T5" s="694"/>
      <c r="U5" s="694"/>
      <c r="V5" s="694"/>
      <c r="W5" s="694"/>
      <c r="X5" s="694"/>
      <c r="Y5" s="694"/>
      <c r="Z5" s="694"/>
      <c r="AA5" s="694"/>
      <c r="AB5" s="694"/>
    </row>
    <row r="6" spans="1:28" s="695" customFormat="1" ht="6" customHeight="1" thickTop="1" thickBot="1">
      <c r="A6" s="686"/>
      <c r="B6" s="701"/>
      <c r="C6" s="702"/>
      <c r="D6" s="703"/>
      <c r="E6" s="704"/>
      <c r="F6" s="705"/>
      <c r="G6" s="705"/>
      <c r="H6" s="705"/>
      <c r="I6" s="706"/>
      <c r="J6" s="707"/>
      <c r="K6" s="707"/>
      <c r="L6" s="708"/>
      <c r="M6" s="704"/>
      <c r="N6" s="704"/>
      <c r="O6" s="704"/>
      <c r="P6" s="686"/>
      <c r="Q6" s="686"/>
      <c r="R6" s="694"/>
      <c r="S6" s="694"/>
      <c r="T6" s="694"/>
      <c r="U6" s="694"/>
      <c r="V6" s="694"/>
      <c r="W6" s="694"/>
      <c r="X6" s="694"/>
      <c r="Y6" s="694"/>
      <c r="Z6" s="694"/>
      <c r="AA6" s="694"/>
      <c r="AB6" s="694"/>
    </row>
    <row r="7" spans="1:28" s="695" customFormat="1" ht="18" customHeight="1" thickBot="1">
      <c r="A7" s="686"/>
      <c r="B7" s="709" t="s">
        <v>939</v>
      </c>
      <c r="C7" s="710"/>
      <c r="D7" s="711"/>
      <c r="E7" s="710"/>
      <c r="F7" s="710"/>
      <c r="G7" s="710"/>
      <c r="H7" s="710"/>
      <c r="I7" s="710"/>
      <c r="J7" s="710"/>
      <c r="K7" s="710"/>
      <c r="L7" s="710"/>
      <c r="M7" s="710"/>
      <c r="N7" s="710"/>
      <c r="O7" s="715"/>
      <c r="P7" s="686"/>
      <c r="Q7" s="686"/>
      <c r="R7" s="716" t="s">
        <v>57</v>
      </c>
      <c r="S7" s="1120" t="s">
        <v>58</v>
      </c>
      <c r="T7" s="1121" t="s">
        <v>59</v>
      </c>
      <c r="U7" s="716" t="s">
        <v>60</v>
      </c>
      <c r="V7" s="694"/>
      <c r="W7" s="694"/>
      <c r="X7" s="694"/>
      <c r="Y7" s="694"/>
      <c r="Z7" s="1122" t="s">
        <v>61</v>
      </c>
      <c r="AA7" s="1123"/>
      <c r="AB7" s="694"/>
    </row>
    <row r="8" spans="1:28" s="695" customFormat="1" ht="18" customHeight="1">
      <c r="A8" s="686"/>
      <c r="B8" s="1124" t="s">
        <v>459</v>
      </c>
      <c r="C8" s="1083"/>
      <c r="D8" s="1125"/>
      <c r="E8" s="1083"/>
      <c r="F8" s="1083"/>
      <c r="G8" s="1126"/>
      <c r="H8" s="1124" t="s">
        <v>460</v>
      </c>
      <c r="I8" s="1125"/>
      <c r="J8" s="1083"/>
      <c r="K8" s="1083"/>
      <c r="L8" s="1127" t="s">
        <v>62</v>
      </c>
      <c r="M8" s="1128"/>
      <c r="N8" s="1128"/>
      <c r="O8" s="1129"/>
      <c r="P8" s="686"/>
      <c r="Q8" s="686"/>
      <c r="R8" s="1130" t="s">
        <v>63</v>
      </c>
      <c r="S8" s="1131" t="e">
        <f>スコア表示!AN8</f>
        <v>#DIV/0!</v>
      </c>
      <c r="T8" s="1132" t="e">
        <f>スコア表示!AO8</f>
        <v>#DIV/0!</v>
      </c>
      <c r="U8" s="1133"/>
      <c r="V8" s="729" t="s">
        <v>945</v>
      </c>
      <c r="W8" s="730" t="s">
        <v>64</v>
      </c>
      <c r="X8" s="730">
        <v>4</v>
      </c>
      <c r="Y8" s="1134">
        <v>2</v>
      </c>
      <c r="Z8" s="1135" t="s">
        <v>65</v>
      </c>
      <c r="AA8" s="1136" t="s">
        <v>66</v>
      </c>
      <c r="AB8" s="1137" t="s">
        <v>67</v>
      </c>
    </row>
    <row r="9" spans="1:28" s="695" customFormat="1" ht="15" customHeight="1">
      <c r="A9" s="686"/>
      <c r="B9" s="1138" t="s">
        <v>943</v>
      </c>
      <c r="C9" s="1139"/>
      <c r="D9" s="1140">
        <f>メイン!C11</f>
        <v>0</v>
      </c>
      <c r="E9" s="1141"/>
      <c r="F9" s="1140"/>
      <c r="G9" s="1142"/>
      <c r="H9" s="1143" t="s">
        <v>943</v>
      </c>
      <c r="I9" s="1144"/>
      <c r="J9" s="1145">
        <f>メイン!H11</f>
        <v>0</v>
      </c>
      <c r="K9" s="1146"/>
      <c r="L9" s="1147" t="s">
        <v>989</v>
      </c>
      <c r="M9" s="1148"/>
      <c r="N9" s="2937" t="str">
        <f>IF(メイン!C27=0,"",メイン!C27)</f>
        <v/>
      </c>
      <c r="O9" s="2938"/>
      <c r="P9" s="686"/>
      <c r="Q9" s="686"/>
      <c r="R9" s="1130" t="s">
        <v>68</v>
      </c>
      <c r="S9" s="1131" t="e">
        <f>スコア表示!AN116</f>
        <v>#VALUE!</v>
      </c>
      <c r="T9" s="1132" t="e">
        <f>スコア表示!AO116</f>
        <v>#VALUE!</v>
      </c>
      <c r="U9" s="1149" t="s">
        <v>69</v>
      </c>
      <c r="V9" s="729" t="s">
        <v>70</v>
      </c>
      <c r="W9" s="730">
        <v>5</v>
      </c>
      <c r="X9" s="730">
        <v>4</v>
      </c>
      <c r="Y9" s="1134">
        <v>2</v>
      </c>
      <c r="Z9" s="1150" t="e">
        <f>X48</f>
        <v>#DIV/0!</v>
      </c>
      <c r="AA9" s="1151" t="e">
        <f>Z48</f>
        <v>#DIV/0!</v>
      </c>
      <c r="AB9" s="1137">
        <v>3</v>
      </c>
    </row>
    <row r="10" spans="1:28" s="695" customFormat="1" ht="15" customHeight="1">
      <c r="A10" s="686"/>
      <c r="B10" s="1152" t="s">
        <v>959</v>
      </c>
      <c r="C10" s="1153"/>
      <c r="D10" s="808" t="str">
        <f>メイン!C21</f>
        <v/>
      </c>
      <c r="E10" s="808"/>
      <c r="F10" s="808"/>
      <c r="G10" s="1154"/>
      <c r="H10" s="1155" t="s">
        <v>959</v>
      </c>
      <c r="I10" s="1153"/>
      <c r="J10" s="1156" t="str">
        <f>メイン!H21</f>
        <v/>
      </c>
      <c r="K10" s="1157"/>
      <c r="L10" s="1158"/>
      <c r="M10" s="1159"/>
      <c r="N10" s="2939"/>
      <c r="O10" s="2940"/>
      <c r="P10" s="686"/>
      <c r="Q10" s="686"/>
      <c r="R10" s="1160" t="s">
        <v>71</v>
      </c>
      <c r="S10" s="1161" t="e">
        <f>25*(S8-1)</f>
        <v>#DIV/0!</v>
      </c>
      <c r="T10" s="1162" t="e">
        <f>25*(T8-1)</f>
        <v>#DIV/0!</v>
      </c>
      <c r="U10" s="1149" t="s">
        <v>72</v>
      </c>
      <c r="V10" s="751" t="s">
        <v>953</v>
      </c>
      <c r="W10" s="730">
        <v>5</v>
      </c>
      <c r="X10" s="730">
        <v>4</v>
      </c>
      <c r="Y10" s="1134">
        <v>2</v>
      </c>
      <c r="Z10" s="1150" t="e">
        <f>AC48</f>
        <v>#DIV/0!</v>
      </c>
      <c r="AA10" s="1151" t="e">
        <f>AE48</f>
        <v>#DIV/0!</v>
      </c>
      <c r="AB10" s="1137">
        <v>3</v>
      </c>
    </row>
    <row r="11" spans="1:28" s="695" customFormat="1" ht="15" customHeight="1">
      <c r="A11" s="686"/>
      <c r="B11" s="1152" t="s">
        <v>73</v>
      </c>
      <c r="C11" s="1163"/>
      <c r="D11" s="2935">
        <f>メイン!C15</f>
        <v>0</v>
      </c>
      <c r="E11" s="2936"/>
      <c r="F11" s="808"/>
      <c r="G11" s="1154"/>
      <c r="H11" s="1155" t="s">
        <v>74</v>
      </c>
      <c r="I11" s="1153"/>
      <c r="J11" s="1164">
        <f>メイン!H15</f>
        <v>0</v>
      </c>
      <c r="K11" s="1157"/>
      <c r="L11" s="1158" t="s">
        <v>75</v>
      </c>
      <c r="M11" s="1165"/>
      <c r="N11" s="1166">
        <f>メイン!H26</f>
        <v>0</v>
      </c>
      <c r="O11" s="1167" t="s">
        <v>961</v>
      </c>
      <c r="P11" s="686"/>
      <c r="Q11" s="686"/>
      <c r="R11" s="1160" t="s">
        <v>76</v>
      </c>
      <c r="S11" s="1161" t="e">
        <f>25*(5-S9)</f>
        <v>#VALUE!</v>
      </c>
      <c r="T11" s="1162" t="e">
        <f>25*(5-T9)</f>
        <v>#VALUE!</v>
      </c>
      <c r="U11" s="1149" t="s">
        <v>77</v>
      </c>
      <c r="V11" s="758" t="s">
        <v>567</v>
      </c>
      <c r="W11" s="730">
        <v>5</v>
      </c>
      <c r="X11" s="730">
        <v>4</v>
      </c>
      <c r="Y11" s="1134">
        <v>2</v>
      </c>
      <c r="Z11" s="1150" t="e">
        <f>AC59</f>
        <v>#DIV/0!</v>
      </c>
      <c r="AA11" s="1151" t="e">
        <f>AE59</f>
        <v>#DIV/0!</v>
      </c>
      <c r="AB11" s="1137">
        <v>3</v>
      </c>
    </row>
    <row r="12" spans="1:28" s="695" customFormat="1" ht="15" customHeight="1">
      <c r="A12" s="686"/>
      <c r="B12" s="1155" t="s">
        <v>980</v>
      </c>
      <c r="C12" s="1163"/>
      <c r="D12" s="1168"/>
      <c r="E12" s="1169">
        <f>メイン!C18</f>
        <v>0</v>
      </c>
      <c r="F12" s="808" t="s">
        <v>476</v>
      </c>
      <c r="G12" s="1154"/>
      <c r="H12" s="1155" t="s">
        <v>78</v>
      </c>
      <c r="I12" s="1159"/>
      <c r="J12" s="1169">
        <f>メイン!H18</f>
        <v>0</v>
      </c>
      <c r="K12" s="808" t="s">
        <v>476</v>
      </c>
      <c r="L12" s="1158" t="s">
        <v>988</v>
      </c>
      <c r="M12" s="1170"/>
      <c r="N12" s="2941" t="str">
        <f>IF(メイン!H27=0,"",メイン!H27)</f>
        <v/>
      </c>
      <c r="O12" s="2942"/>
      <c r="P12" s="686"/>
      <c r="Q12" s="686"/>
      <c r="R12" s="1160" t="s">
        <v>79</v>
      </c>
      <c r="S12" s="1161" t="e">
        <f>S10/S11</f>
        <v>#DIV/0!</v>
      </c>
      <c r="T12" s="1171" t="e">
        <f>T10/T11</f>
        <v>#DIV/0!</v>
      </c>
      <c r="U12" s="1149" t="s">
        <v>80</v>
      </c>
      <c r="V12" s="758" t="s">
        <v>965</v>
      </c>
      <c r="W12" s="730">
        <v>5</v>
      </c>
      <c r="X12" s="730">
        <v>4</v>
      </c>
      <c r="Y12" s="1134">
        <v>2</v>
      </c>
      <c r="Z12" s="1150" t="e">
        <f>X59</f>
        <v>#DIV/0!</v>
      </c>
      <c r="AA12" s="1151" t="e">
        <f>Z59</f>
        <v>#DIV/0!</v>
      </c>
      <c r="AB12" s="1137">
        <v>3</v>
      </c>
    </row>
    <row r="13" spans="1:28" s="695" customFormat="1" ht="15" customHeight="1">
      <c r="A13" s="686"/>
      <c r="B13" s="1152" t="s">
        <v>984</v>
      </c>
      <c r="C13" s="1153"/>
      <c r="D13" s="808"/>
      <c r="E13" s="1169">
        <f>メイン!C19</f>
        <v>0</v>
      </c>
      <c r="F13" s="808" t="s">
        <v>476</v>
      </c>
      <c r="G13" s="1154"/>
      <c r="H13" s="1155" t="s">
        <v>81</v>
      </c>
      <c r="I13" s="1159"/>
      <c r="J13" s="1169">
        <f>メイン!H19</f>
        <v>0</v>
      </c>
      <c r="K13" s="808" t="s">
        <v>476</v>
      </c>
      <c r="L13" s="1158"/>
      <c r="M13" s="1170"/>
      <c r="N13" s="2941"/>
      <c r="O13" s="2942"/>
      <c r="P13" s="686"/>
      <c r="Q13" s="686"/>
      <c r="R13" s="1172" t="s">
        <v>82</v>
      </c>
      <c r="S13" s="1173" t="e">
        <f>ROUNDDOWN(S12,1)</f>
        <v>#DIV/0!</v>
      </c>
      <c r="T13" s="1174" t="e">
        <f>ROUNDDOWN(T12,1)</f>
        <v>#DIV/0!</v>
      </c>
      <c r="U13" s="1149" t="s">
        <v>83</v>
      </c>
      <c r="V13" s="758" t="s">
        <v>84</v>
      </c>
      <c r="W13" s="730">
        <v>5</v>
      </c>
      <c r="X13" s="730">
        <v>4</v>
      </c>
      <c r="Y13" s="1134">
        <v>2</v>
      </c>
      <c r="Z13" s="1150" t="e">
        <f>S59</f>
        <v>#DIV/0!</v>
      </c>
      <c r="AA13" s="1151" t="e">
        <f>U59</f>
        <v>#VALUE!</v>
      </c>
      <c r="AB13" s="1137">
        <v>3</v>
      </c>
    </row>
    <row r="14" spans="1:28" s="695" customFormat="1" ht="15" customHeight="1" thickBot="1">
      <c r="A14" s="686"/>
      <c r="B14" s="1152" t="s">
        <v>944</v>
      </c>
      <c r="C14" s="1159"/>
      <c r="D14" s="808" t="str">
        <f>メイン!C22</f>
        <v>地上12F</v>
      </c>
      <c r="E14" s="1175"/>
      <c r="F14" s="808"/>
      <c r="G14" s="1154"/>
      <c r="H14" s="1155" t="s">
        <v>85</v>
      </c>
      <c r="I14" s="1159"/>
      <c r="J14" s="808" t="str">
        <f>メイン!H22</f>
        <v>地上12F</v>
      </c>
      <c r="K14" s="1154"/>
      <c r="L14" s="1158" t="s">
        <v>86</v>
      </c>
      <c r="M14" s="1159"/>
      <c r="N14" s="1176"/>
      <c r="O14" s="1167"/>
      <c r="P14" s="686"/>
      <c r="Q14" s="686"/>
      <c r="S14" s="1177"/>
      <c r="T14" s="1178"/>
      <c r="U14" s="1149" t="s">
        <v>87</v>
      </c>
      <c r="V14" s="751" t="s">
        <v>975</v>
      </c>
      <c r="W14" s="730">
        <v>5</v>
      </c>
      <c r="X14" s="730">
        <v>4</v>
      </c>
      <c r="Y14" s="1134">
        <v>2</v>
      </c>
      <c r="Z14" s="1179" t="e">
        <f>IF(S48=0,1,S48)</f>
        <v>#DIV/0!</v>
      </c>
      <c r="AA14" s="1180" t="e">
        <f>IF(U48=0,1,U48)</f>
        <v>#DIV/0!</v>
      </c>
      <c r="AB14" s="1137">
        <v>3</v>
      </c>
    </row>
    <row r="15" spans="1:28" s="695" customFormat="1" ht="15" customHeight="1">
      <c r="A15" s="686"/>
      <c r="B15" s="1155" t="s">
        <v>947</v>
      </c>
      <c r="C15" s="1153"/>
      <c r="D15" s="1181" t="str">
        <f>メイン!C23</f>
        <v>S造</v>
      </c>
      <c r="E15" s="1182"/>
      <c r="F15" s="808"/>
      <c r="G15" s="1154"/>
      <c r="H15" s="1155" t="s">
        <v>88</v>
      </c>
      <c r="I15" s="1159"/>
      <c r="J15" s="808" t="str">
        <f>メイン!H23</f>
        <v>S造</v>
      </c>
      <c r="K15" s="1154"/>
      <c r="L15" s="1158" t="s">
        <v>987</v>
      </c>
      <c r="M15" s="1183"/>
      <c r="N15" s="1176" t="str">
        <f>IF(メイン!H33=0,"",メイン!H33)</f>
        <v/>
      </c>
      <c r="O15" s="1167"/>
      <c r="P15" s="686"/>
      <c r="Q15" s="686"/>
      <c r="R15" s="1160" t="s">
        <v>441</v>
      </c>
      <c r="S15" s="1184" t="e">
        <f>IF(AND($S$10&gt;=50,$S$12&gt;=3),1,IF(S13&lt;0.5,1,IF(S13&lt;1,2,IF(S13&lt;1.5,3,IF(S13&lt;3,4,4))))/5)</f>
        <v>#DIV/0!</v>
      </c>
      <c r="T15" s="1185" t="e">
        <f>IF(AND($T$10&gt;=50,$T$12&gt;=3),1,IF(T13&lt;0.5,1,IF(T13&lt;1,2,IF(T13&lt;1.5,3,IF(T13&lt;3,4,4))))/5)</f>
        <v>#DIV/0!</v>
      </c>
      <c r="V15" s="789"/>
      <c r="Z15" s="789"/>
    </row>
    <row r="16" spans="1:28" s="695" customFormat="1" ht="15" customHeight="1" thickBot="1">
      <c r="A16" s="686"/>
      <c r="B16" s="1155" t="s">
        <v>949</v>
      </c>
      <c r="C16" s="1153"/>
      <c r="D16" s="1181">
        <f>メイン!C24</f>
        <v>0</v>
      </c>
      <c r="E16" s="1186" t="s">
        <v>950</v>
      </c>
      <c r="F16" s="808"/>
      <c r="G16" s="1154"/>
      <c r="H16" s="1155" t="s">
        <v>949</v>
      </c>
      <c r="I16" s="1159"/>
      <c r="J16" s="1182">
        <f>メイン!H24</f>
        <v>0</v>
      </c>
      <c r="K16" s="1186" t="s">
        <v>950</v>
      </c>
      <c r="L16" s="1158" t="s">
        <v>990</v>
      </c>
      <c r="M16" s="1183"/>
      <c r="N16" s="1176" t="str">
        <f>IF(メイン!H34=0,"",メイン!H34)</f>
        <v/>
      </c>
      <c r="O16" s="1167"/>
      <c r="P16" s="686"/>
      <c r="Q16" s="686"/>
      <c r="R16" s="1160" t="s">
        <v>89</v>
      </c>
      <c r="S16" s="1187" t="e">
        <f>1-S15</f>
        <v>#DIV/0!</v>
      </c>
      <c r="T16" s="1188" t="e">
        <f>1-T15</f>
        <v>#DIV/0!</v>
      </c>
      <c r="U16" s="794"/>
      <c r="V16" s="789"/>
      <c r="W16" s="789"/>
      <c r="X16" s="789"/>
      <c r="Y16" s="789"/>
      <c r="Z16" s="789"/>
      <c r="AA16" s="789"/>
      <c r="AB16" s="789"/>
    </row>
    <row r="17" spans="1:35" s="695" customFormat="1" ht="15" customHeight="1">
      <c r="A17" s="686"/>
      <c r="B17" s="1155" t="s">
        <v>954</v>
      </c>
      <c r="C17" s="1153"/>
      <c r="D17" s="1181">
        <f>メイン!C25</f>
        <v>0</v>
      </c>
      <c r="E17" s="1186" t="s">
        <v>955</v>
      </c>
      <c r="F17" s="808"/>
      <c r="G17" s="1154"/>
      <c r="H17" s="1155" t="s">
        <v>954</v>
      </c>
      <c r="I17" s="1159"/>
      <c r="J17" s="1182">
        <f>メイン!H25</f>
        <v>0</v>
      </c>
      <c r="K17" s="1186" t="s">
        <v>955</v>
      </c>
      <c r="L17" s="1155" t="s">
        <v>991</v>
      </c>
      <c r="M17" s="1189"/>
      <c r="N17" s="1176" t="str">
        <f>IF(メイン!H35=0,"",メイン!H35)</f>
        <v/>
      </c>
      <c r="O17" s="1190"/>
      <c r="P17" s="686"/>
      <c r="Q17" s="686"/>
      <c r="R17" s="789"/>
      <c r="S17" s="789"/>
      <c r="T17" s="789"/>
      <c r="U17" s="789"/>
      <c r="V17" s="789"/>
      <c r="W17" s="789"/>
      <c r="X17" s="789"/>
      <c r="Y17" s="789"/>
      <c r="Z17" s="789"/>
      <c r="AA17" s="789"/>
      <c r="AB17" s="789"/>
    </row>
    <row r="18" spans="1:35" s="695" customFormat="1" ht="15" customHeight="1">
      <c r="A18" s="686"/>
      <c r="B18" s="1191"/>
      <c r="C18" s="1159"/>
      <c r="D18" s="1192"/>
      <c r="E18" s="1192"/>
      <c r="F18" s="1192"/>
      <c r="G18" s="1193"/>
      <c r="H18" s="1191"/>
      <c r="I18" s="1159"/>
      <c r="J18" s="1192"/>
      <c r="K18" s="1193"/>
      <c r="L18" s="1194" t="s">
        <v>992</v>
      </c>
      <c r="M18" s="1189"/>
      <c r="N18" s="1176" t="str">
        <f>IF(メイン!H36=0,"",メイン!H36)</f>
        <v/>
      </c>
      <c r="O18" s="1190"/>
      <c r="P18" s="686"/>
      <c r="Q18" s="686"/>
      <c r="R18" s="807"/>
      <c r="S18" s="808"/>
      <c r="T18" s="789"/>
      <c r="U18" s="789"/>
      <c r="V18" s="808"/>
      <c r="W18" s="809"/>
      <c r="X18" s="789"/>
      <c r="Y18" s="789"/>
      <c r="Z18" s="789"/>
      <c r="AA18" s="789"/>
      <c r="AB18" s="789"/>
    </row>
    <row r="19" spans="1:35" s="695" customFormat="1" ht="15" customHeight="1" thickBot="1">
      <c r="A19" s="686"/>
      <c r="B19" s="1194"/>
      <c r="C19" s="1163"/>
      <c r="D19" s="1192"/>
      <c r="E19" s="1192"/>
      <c r="F19" s="1192"/>
      <c r="G19" s="1193"/>
      <c r="H19" s="1194"/>
      <c r="I19" s="1159"/>
      <c r="J19" s="1192"/>
      <c r="K19" s="1193"/>
      <c r="L19" s="1194" t="s">
        <v>967</v>
      </c>
      <c r="M19" s="1189"/>
      <c r="N19" s="2943">
        <f>メイン!H37</f>
        <v>0</v>
      </c>
      <c r="O19" s="2944"/>
      <c r="P19" s="686"/>
      <c r="Q19" s="686"/>
      <c r="R19" s="807"/>
      <c r="S19" s="808"/>
      <c r="T19" s="789"/>
      <c r="U19" s="789"/>
      <c r="V19" s="808"/>
      <c r="W19" s="809"/>
      <c r="X19" s="789"/>
      <c r="Y19" s="789"/>
      <c r="Z19" s="789"/>
      <c r="AA19" s="789"/>
      <c r="AB19" s="789"/>
    </row>
    <row r="20" spans="1:35" s="695" customFormat="1" ht="18" hidden="1" customHeight="1" thickBot="1">
      <c r="A20" s="686"/>
      <c r="B20" s="1195"/>
      <c r="C20" s="1196"/>
      <c r="D20" s="1197"/>
      <c r="E20" s="1197"/>
      <c r="F20" s="1197"/>
      <c r="G20" s="1198"/>
      <c r="H20" s="1195"/>
      <c r="I20" s="1199"/>
      <c r="J20" s="1197"/>
      <c r="K20" s="1198"/>
      <c r="L20" s="1195"/>
      <c r="M20" s="1200"/>
      <c r="N20" s="1201"/>
      <c r="O20" s="1202"/>
      <c r="P20" s="686"/>
      <c r="Q20" s="686"/>
      <c r="R20" s="807"/>
      <c r="S20" s="808"/>
      <c r="T20" s="789"/>
      <c r="U20" s="789"/>
      <c r="V20" s="808"/>
      <c r="W20" s="809"/>
      <c r="X20" s="789"/>
      <c r="Y20" s="789"/>
      <c r="Z20" s="789"/>
      <c r="AA20" s="789"/>
      <c r="AB20" s="789"/>
    </row>
    <row r="21" spans="1:35" s="695" customFormat="1" ht="6.75" customHeight="1" thickBot="1">
      <c r="A21" s="686"/>
      <c r="B21" s="817"/>
      <c r="C21" s="818"/>
      <c r="D21" s="817"/>
      <c r="E21" s="819"/>
      <c r="F21" s="819"/>
      <c r="G21" s="819"/>
      <c r="H21" s="819"/>
      <c r="I21" s="820"/>
      <c r="J21" s="821"/>
      <c r="K21" s="822"/>
      <c r="L21" s="819"/>
      <c r="M21" s="819"/>
      <c r="N21" s="819"/>
      <c r="O21" s="819"/>
      <c r="P21" s="686"/>
      <c r="Q21" s="686"/>
      <c r="R21" s="807"/>
      <c r="S21" s="1203" t="s">
        <v>924</v>
      </c>
      <c r="T21" s="1204"/>
      <c r="U21" s="1205"/>
      <c r="W21" s="1203" t="s">
        <v>925</v>
      </c>
      <c r="X21" s="1206"/>
      <c r="Y21" s="1207"/>
      <c r="AA21" s="729" t="s">
        <v>999</v>
      </c>
      <c r="AB21" s="729"/>
      <c r="AC21" s="789"/>
      <c r="AD21" s="729" t="s">
        <v>1000</v>
      </c>
      <c r="AE21" s="729"/>
      <c r="AF21" s="789"/>
      <c r="AG21" s="789"/>
      <c r="AH21" s="789"/>
      <c r="AI21" s="789"/>
    </row>
    <row r="22" spans="1:35" s="695" customFormat="1" ht="19.5" thickBot="1">
      <c r="A22" s="686"/>
      <c r="B22" s="823" t="s">
        <v>993</v>
      </c>
      <c r="C22" s="824"/>
      <c r="D22" s="825"/>
      <c r="E22" s="826"/>
      <c r="F22" s="826"/>
      <c r="G22" s="826"/>
      <c r="H22" s="714" t="s">
        <v>333</v>
      </c>
      <c r="I22" s="828"/>
      <c r="J22" s="829"/>
      <c r="K22" s="829"/>
      <c r="L22" s="827" t="s">
        <v>334</v>
      </c>
      <c r="M22" s="828"/>
      <c r="N22" s="829"/>
      <c r="O22" s="830"/>
      <c r="P22" s="686"/>
      <c r="Q22" s="686"/>
      <c r="R22" s="1160" t="s">
        <v>994</v>
      </c>
      <c r="S22" s="1208" t="s">
        <v>995</v>
      </c>
      <c r="T22" s="729" t="s">
        <v>996</v>
      </c>
      <c r="U22" s="1209" t="s">
        <v>997</v>
      </c>
      <c r="W22" s="1208" t="s">
        <v>995</v>
      </c>
      <c r="X22" s="729" t="s">
        <v>996</v>
      </c>
      <c r="Y22" s="1209" t="s">
        <v>997</v>
      </c>
      <c r="AA22" s="744">
        <v>50</v>
      </c>
      <c r="AB22" s="744">
        <v>50</v>
      </c>
      <c r="AC22" s="789"/>
      <c r="AD22" s="744">
        <v>0</v>
      </c>
      <c r="AE22" s="744">
        <v>100</v>
      </c>
    </row>
    <row r="23" spans="1:35" s="695" customFormat="1" ht="11.25" customHeight="1">
      <c r="A23" s="686"/>
      <c r="B23" s="741"/>
      <c r="H23" s="831"/>
      <c r="I23" s="832"/>
      <c r="J23" s="832"/>
      <c r="K23" s="832"/>
      <c r="L23" s="833"/>
      <c r="M23" s="834"/>
      <c r="O23" s="835"/>
      <c r="R23" s="1160" t="s">
        <v>998</v>
      </c>
      <c r="S23" s="1210"/>
      <c r="T23" s="836" t="e">
        <f>S11</f>
        <v>#VALUE!</v>
      </c>
      <c r="U23" s="1211">
        <v>0</v>
      </c>
      <c r="W23" s="1210"/>
      <c r="X23" s="836" t="e">
        <f>T11</f>
        <v>#VALUE!</v>
      </c>
      <c r="Y23" s="1211">
        <v>0</v>
      </c>
      <c r="AA23" s="744">
        <v>0</v>
      </c>
      <c r="AB23" s="744">
        <v>100</v>
      </c>
      <c r="AC23" s="789"/>
      <c r="AD23" s="744">
        <v>50</v>
      </c>
      <c r="AE23" s="744">
        <v>50</v>
      </c>
    </row>
    <row r="24" spans="1:35" s="695" customFormat="1" ht="22.5" customHeight="1">
      <c r="A24" s="686"/>
      <c r="B24" s="741"/>
      <c r="D24" s="1212" t="e">
        <f>S13</f>
        <v>#DIV/0!</v>
      </c>
      <c r="H24" s="837"/>
      <c r="I24" s="832"/>
      <c r="J24" s="832"/>
      <c r="K24" s="832"/>
      <c r="L24" s="833"/>
      <c r="M24" s="834"/>
      <c r="N24" s="838"/>
      <c r="O24" s="839"/>
      <c r="R24" s="1160" t="s">
        <v>1001</v>
      </c>
      <c r="S24" s="1210"/>
      <c r="T24" s="836" t="e">
        <f>S10</f>
        <v>#DIV/0!</v>
      </c>
      <c r="U24" s="1211">
        <v>0</v>
      </c>
      <c r="W24" s="1210"/>
      <c r="X24" s="836" t="e">
        <f>T10</f>
        <v>#DIV/0!</v>
      </c>
      <c r="Y24" s="1211">
        <v>0</v>
      </c>
      <c r="AC24" s="789"/>
    </row>
    <row r="25" spans="1:35" s="695" customFormat="1" ht="17.25" customHeight="1">
      <c r="A25" s="686"/>
      <c r="B25" s="741"/>
      <c r="D25" s="1213" t="e">
        <f>T13</f>
        <v>#DIV/0!</v>
      </c>
      <c r="H25" s="837"/>
      <c r="I25" s="832"/>
      <c r="J25" s="832"/>
      <c r="K25" s="832"/>
      <c r="L25" s="833"/>
      <c r="N25" s="838"/>
      <c r="O25" s="839"/>
      <c r="R25" s="1214">
        <v>0</v>
      </c>
      <c r="S25" s="1215" t="e">
        <f>T23</f>
        <v>#VALUE!</v>
      </c>
      <c r="T25" s="840" t="e">
        <f>T23</f>
        <v>#VALUE!</v>
      </c>
      <c r="U25" s="1216">
        <v>0.1</v>
      </c>
      <c r="V25" s="1217">
        <v>0</v>
      </c>
      <c r="W25" s="1215" t="e">
        <f>X23</f>
        <v>#VALUE!</v>
      </c>
      <c r="X25" s="840" t="e">
        <f>X23</f>
        <v>#VALUE!</v>
      </c>
      <c r="Y25" s="1216">
        <v>0.1</v>
      </c>
      <c r="AC25" s="789"/>
    </row>
    <row r="26" spans="1:35" s="695" customFormat="1" ht="17.25" customHeight="1" thickBot="1">
      <c r="A26" s="686"/>
      <c r="B26" s="841"/>
      <c r="C26" s="842"/>
      <c r="D26" s="842"/>
      <c r="E26" s="842"/>
      <c r="F26" s="842"/>
      <c r="G26" s="843"/>
      <c r="H26" s="844"/>
      <c r="I26" s="832"/>
      <c r="J26" s="726"/>
      <c r="K26" s="832"/>
      <c r="L26" s="833"/>
      <c r="M26" s="834"/>
      <c r="N26" s="838"/>
      <c r="O26" s="839"/>
      <c r="R26" s="1214">
        <v>0</v>
      </c>
      <c r="S26" s="1218">
        <v>0</v>
      </c>
      <c r="T26" s="1219" t="e">
        <f>T24</f>
        <v>#DIV/0!</v>
      </c>
      <c r="U26" s="1220" t="e">
        <f>T24</f>
        <v>#DIV/0!</v>
      </c>
      <c r="V26" s="1217">
        <v>0</v>
      </c>
      <c r="W26" s="1218">
        <v>0</v>
      </c>
      <c r="X26" s="1219" t="e">
        <f>X24</f>
        <v>#DIV/0!</v>
      </c>
      <c r="Y26" s="1220" t="e">
        <f>X24</f>
        <v>#DIV/0!</v>
      </c>
      <c r="AC26" s="789"/>
      <c r="AF26" s="789"/>
      <c r="AG26" s="789"/>
      <c r="AH26" s="789"/>
      <c r="AI26" s="789"/>
    </row>
    <row r="27" spans="1:35" s="695" customFormat="1" ht="15.75" customHeight="1">
      <c r="A27" s="686"/>
      <c r="B27" s="741"/>
      <c r="H27" s="2100" t="str">
        <f>V36</f>
        <v>標準計算</v>
      </c>
      <c r="I27" s="1813"/>
      <c r="J27" s="1813"/>
      <c r="K27" s="1813"/>
      <c r="L27" s="833"/>
      <c r="N27" s="838"/>
      <c r="O27" s="839"/>
      <c r="T27"/>
      <c r="V27" s="789"/>
      <c r="W27" s="789"/>
      <c r="X27"/>
      <c r="Y27" s="789"/>
      <c r="Z27" s="789"/>
      <c r="AA27" s="789"/>
      <c r="AB27" s="789"/>
    </row>
    <row r="28" spans="1:35" s="695" customFormat="1" ht="15.75" customHeight="1">
      <c r="A28" s="686"/>
      <c r="B28" s="741"/>
      <c r="H28" s="2104"/>
      <c r="I28" s="846"/>
      <c r="J28" s="847"/>
      <c r="K28" s="1814"/>
      <c r="L28" s="833"/>
      <c r="N28" s="838"/>
      <c r="O28" s="839"/>
      <c r="R28" s="849" t="s">
        <v>1002</v>
      </c>
      <c r="S28" s="729" t="s">
        <v>1003</v>
      </c>
      <c r="T28" s="850">
        <v>0</v>
      </c>
      <c r="U28" s="850">
        <f>100/6</f>
        <v>16.666666666666668</v>
      </c>
      <c r="V28" s="851">
        <f>U28*2</f>
        <v>33.333333333333336</v>
      </c>
      <c r="W28" s="850">
        <f>U28*3</f>
        <v>50</v>
      </c>
      <c r="X28" s="850">
        <f>U28*4</f>
        <v>66.666666666666671</v>
      </c>
      <c r="Y28" s="850">
        <f>U28*5</f>
        <v>83.333333333333343</v>
      </c>
      <c r="Z28" s="850">
        <v>100</v>
      </c>
      <c r="AA28" s="789"/>
      <c r="AB28" s="789"/>
    </row>
    <row r="29" spans="1:35" s="695" customFormat="1" ht="15.75" customHeight="1">
      <c r="A29" s="686"/>
      <c r="B29" s="741"/>
      <c r="H29" s="2104"/>
      <c r="I29" s="846"/>
      <c r="J29" s="847"/>
      <c r="K29" s="848"/>
      <c r="L29" s="833"/>
      <c r="N29" s="838"/>
      <c r="O29" s="839"/>
      <c r="R29" s="849"/>
      <c r="S29" s="729" t="s">
        <v>1004</v>
      </c>
      <c r="T29" s="850">
        <v>100</v>
      </c>
      <c r="U29" s="850">
        <v>100</v>
      </c>
      <c r="V29" s="850">
        <v>100</v>
      </c>
      <c r="W29" s="850">
        <v>100</v>
      </c>
      <c r="X29" s="850">
        <v>100</v>
      </c>
      <c r="Y29" s="850">
        <v>100</v>
      </c>
      <c r="Z29" s="850">
        <v>100</v>
      </c>
      <c r="AA29" s="789"/>
      <c r="AB29" s="789"/>
    </row>
    <row r="30" spans="1:35" s="695" customFormat="1" ht="15.75" customHeight="1">
      <c r="A30" s="686"/>
      <c r="B30" s="741"/>
      <c r="H30" s="2104"/>
      <c r="I30" s="846"/>
      <c r="J30" s="847"/>
      <c r="K30" s="1811"/>
      <c r="L30" s="852"/>
      <c r="M30" s="853"/>
      <c r="N30" s="854"/>
      <c r="O30" s="855"/>
      <c r="R30" s="849">
        <v>3</v>
      </c>
      <c r="S30" s="729" t="s">
        <v>1005</v>
      </c>
      <c r="T30" s="850">
        <v>50</v>
      </c>
      <c r="U30" s="850">
        <f t="shared" ref="U30:V33" si="0">U$28*$R30</f>
        <v>50</v>
      </c>
      <c r="V30" s="850">
        <f t="shared" si="0"/>
        <v>100</v>
      </c>
      <c r="W30" s="850">
        <v>100</v>
      </c>
      <c r="X30" s="850">
        <v>100</v>
      </c>
      <c r="Y30" s="850">
        <v>100</v>
      </c>
      <c r="Z30" s="850">
        <v>100</v>
      </c>
      <c r="AA30" s="789"/>
      <c r="AB30" s="789"/>
    </row>
    <row r="31" spans="1:35" s="695" customFormat="1" ht="15.75" customHeight="1">
      <c r="A31" s="686"/>
      <c r="B31" s="741"/>
      <c r="H31" s="2104"/>
      <c r="I31" s="846"/>
      <c r="J31" s="847"/>
      <c r="K31" s="1811"/>
      <c r="L31" s="845"/>
      <c r="M31" s="846"/>
      <c r="N31" s="847"/>
      <c r="O31" s="1812"/>
      <c r="R31" s="849">
        <v>1.5</v>
      </c>
      <c r="S31" s="729" t="s">
        <v>1006</v>
      </c>
      <c r="T31" s="850">
        <v>0</v>
      </c>
      <c r="U31" s="850">
        <f t="shared" si="0"/>
        <v>25</v>
      </c>
      <c r="V31" s="850">
        <f t="shared" si="0"/>
        <v>50</v>
      </c>
      <c r="W31" s="850">
        <f t="shared" ref="W31:X33" si="1">W$28*$R31</f>
        <v>75</v>
      </c>
      <c r="X31" s="850">
        <f t="shared" si="1"/>
        <v>100</v>
      </c>
      <c r="Y31" s="850">
        <v>100</v>
      </c>
      <c r="Z31" s="850">
        <v>100</v>
      </c>
      <c r="AA31" s="789"/>
      <c r="AB31" s="789"/>
    </row>
    <row r="32" spans="1:35" s="695" customFormat="1" ht="15.75" customHeight="1">
      <c r="A32" s="686"/>
      <c r="B32" s="741"/>
      <c r="H32" s="2104"/>
      <c r="I32" s="846"/>
      <c r="J32" s="847"/>
      <c r="K32" s="848"/>
      <c r="L32" s="833"/>
      <c r="N32" s="838"/>
      <c r="O32" s="839"/>
      <c r="R32" s="849">
        <v>1</v>
      </c>
      <c r="S32" s="729" t="s">
        <v>1008</v>
      </c>
      <c r="T32" s="850">
        <v>0</v>
      </c>
      <c r="U32" s="850">
        <f t="shared" si="0"/>
        <v>16.666666666666668</v>
      </c>
      <c r="V32" s="850">
        <f t="shared" si="0"/>
        <v>33.333333333333336</v>
      </c>
      <c r="W32" s="850">
        <f t="shared" si="1"/>
        <v>50</v>
      </c>
      <c r="X32" s="850">
        <f t="shared" si="1"/>
        <v>66.666666666666671</v>
      </c>
      <c r="Y32" s="850">
        <f>Y$28*$R32</f>
        <v>83.333333333333343</v>
      </c>
      <c r="Z32" s="850">
        <f>Z$28*$R32</f>
        <v>100</v>
      </c>
      <c r="AA32" s="789"/>
      <c r="AB32" s="789"/>
    </row>
    <row r="33" spans="1:44" s="695" customFormat="1" ht="15.75" customHeight="1">
      <c r="A33" s="686"/>
      <c r="B33" s="741"/>
      <c r="H33" s="2104"/>
      <c r="I33" s="846"/>
      <c r="J33" s="847"/>
      <c r="K33" s="848"/>
      <c r="L33" s="833"/>
      <c r="N33" s="838"/>
      <c r="O33" s="839"/>
      <c r="R33" s="849">
        <v>0.5</v>
      </c>
      <c r="S33" s="729" t="s">
        <v>90</v>
      </c>
      <c r="T33" s="850">
        <v>0</v>
      </c>
      <c r="U33" s="850">
        <f t="shared" si="0"/>
        <v>8.3333333333333339</v>
      </c>
      <c r="V33" s="850">
        <f t="shared" si="0"/>
        <v>16.666666666666668</v>
      </c>
      <c r="W33" s="850">
        <f t="shared" si="1"/>
        <v>25</v>
      </c>
      <c r="X33" s="850">
        <f t="shared" si="1"/>
        <v>33.333333333333336</v>
      </c>
      <c r="Y33" s="850">
        <f>Y$28*$R33</f>
        <v>41.666666666666671</v>
      </c>
      <c r="Z33" s="850">
        <f>Z$28*$R33</f>
        <v>50</v>
      </c>
      <c r="AA33" s="789"/>
      <c r="AB33" s="789"/>
    </row>
    <row r="34" spans="1:44" s="695" customFormat="1" ht="15.75" customHeight="1" thickBot="1">
      <c r="A34" s="686"/>
      <c r="B34" s="741"/>
      <c r="H34" s="844"/>
      <c r="I34" s="832"/>
      <c r="J34" s="832"/>
      <c r="K34" s="832"/>
      <c r="L34" s="833"/>
      <c r="M34" s="834"/>
      <c r="N34" s="838"/>
      <c r="O34" s="839"/>
      <c r="AA34" s="789"/>
      <c r="AB34" s="789"/>
    </row>
    <row r="35" spans="1:44" s="695" customFormat="1" ht="15.75" customHeight="1">
      <c r="A35" s="805"/>
      <c r="B35" s="741"/>
      <c r="H35" s="844"/>
      <c r="I35" s="832"/>
      <c r="J35" s="832"/>
      <c r="K35" s="832"/>
      <c r="L35" s="2913"/>
      <c r="M35" s="2914"/>
      <c r="N35" s="2914"/>
      <c r="O35" s="2915"/>
      <c r="S35" s="1829" t="s">
        <v>835</v>
      </c>
      <c r="T35" s="1829" t="s">
        <v>836</v>
      </c>
      <c r="AA35" s="789"/>
      <c r="AB35" s="789"/>
    </row>
    <row r="36" spans="1:44" s="695" customFormat="1" ht="15.75" customHeight="1">
      <c r="A36" s="805"/>
      <c r="B36" s="741"/>
      <c r="H36" s="2885" t="str">
        <f>IF(V36=X36,Y36,Y37)</f>
        <v>このグラフは，LR3中の「地球温暖化への配慮」の内容を，一般的な建物（参照値）と比べたライフサイクルCO2 排出量の目安で示したものです</v>
      </c>
      <c r="I36" s="2886"/>
      <c r="J36" s="2886"/>
      <c r="K36" s="2887"/>
      <c r="L36" s="2913"/>
      <c r="M36" s="2914"/>
      <c r="N36" s="2914"/>
      <c r="O36" s="2915"/>
      <c r="R36" s="1172" t="s">
        <v>837</v>
      </c>
      <c r="S36" s="1830" t="e">
        <f>IF(S38&lt;=0.3,1,IF(S38&lt;=0.6,0.8,IF(S38&lt;=0.8,0.6,IF(S38&lt;=1,0.4,0.2))))</f>
        <v>#DIV/0!</v>
      </c>
      <c r="T36" s="1830" t="e">
        <f>IF(T38&lt;=0.3,1,IF(T38&lt;=0.6,0.8,IF(T38&lt;=0.8,0.6,IF(T38&lt;=1,0.4,0.2))))</f>
        <v>#DIV/0!</v>
      </c>
      <c r="U36" s="861"/>
      <c r="V36" s="861" t="str">
        <f>メイン!C43</f>
        <v>標準計算</v>
      </c>
      <c r="W36" s="1832" t="s">
        <v>565</v>
      </c>
      <c r="X36" s="861" t="s">
        <v>509</v>
      </c>
      <c r="Y36" s="861" t="s">
        <v>1839</v>
      </c>
      <c r="AA36" s="789"/>
      <c r="AB36" s="789"/>
    </row>
    <row r="37" spans="1:44" s="695" customFormat="1" ht="15.75" customHeight="1" thickBot="1">
      <c r="A37" s="805"/>
      <c r="B37" s="741"/>
      <c r="C37" s="862"/>
      <c r="H37" s="2885"/>
      <c r="I37" s="2886"/>
      <c r="J37" s="2886"/>
      <c r="K37" s="2887"/>
      <c r="L37" s="2913"/>
      <c r="M37" s="2914"/>
      <c r="N37" s="2914"/>
      <c r="O37" s="2915"/>
      <c r="R37" s="1172" t="s">
        <v>838</v>
      </c>
      <c r="S37" s="1831" t="e">
        <f>1-S36</f>
        <v>#DIV/0!</v>
      </c>
      <c r="T37" s="1831" t="e">
        <f>1-T36</f>
        <v>#DIV/0!</v>
      </c>
      <c r="U37" s="861"/>
      <c r="V37" s="861" t="s">
        <v>1014</v>
      </c>
      <c r="W37" s="805" t="str">
        <f>IF(V36=X37,W36,"")</f>
        <v/>
      </c>
      <c r="X37" s="861" t="s">
        <v>511</v>
      </c>
      <c r="Y37" s="861" t="s">
        <v>1840</v>
      </c>
      <c r="AA37" s="789"/>
      <c r="AB37" s="789"/>
    </row>
    <row r="38" spans="1:44" s="695" customFormat="1" ht="15.75" customHeight="1" thickBot="1">
      <c r="A38" s="805"/>
      <c r="B38" s="810"/>
      <c r="C38" s="812"/>
      <c r="E38" s="1221" t="e">
        <f>TEXT(ROUNDDOWN(T13,1),"0.0")&amp;"－"&amp;TEXT(ROUNDDOWN(S13,1),"0.0")&amp;"＝"</f>
        <v>#DIV/0!</v>
      </c>
      <c r="F38" s="1222" t="e">
        <f>T13-S13</f>
        <v>#DIV/0!</v>
      </c>
      <c r="G38" s="1093"/>
      <c r="H38" s="2888"/>
      <c r="I38" s="2889"/>
      <c r="J38" s="2889"/>
      <c r="K38" s="2890"/>
      <c r="L38" s="2916"/>
      <c r="M38" s="2917"/>
      <c r="N38" s="2917"/>
      <c r="O38" s="2918"/>
      <c r="R38" s="789"/>
      <c r="S38" s="805" t="e">
        <f>'結果(改修前)'!T35</f>
        <v>#DIV/0!</v>
      </c>
      <c r="T38" s="805" t="e">
        <f>'結果(改修後)'!T35</f>
        <v>#DIV/0!</v>
      </c>
      <c r="U38" s="861"/>
      <c r="AA38" s="789"/>
      <c r="AB38" s="789"/>
      <c r="AQ38" s="789"/>
      <c r="AR38" s="789"/>
    </row>
    <row r="39" spans="1:44" s="695" customFormat="1" ht="18" customHeight="1" thickBot="1">
      <c r="A39" s="686"/>
      <c r="B39" s="863" t="s">
        <v>1015</v>
      </c>
      <c r="C39" s="864"/>
      <c r="D39" s="865"/>
      <c r="E39" s="864"/>
      <c r="F39" s="864"/>
      <c r="G39" s="864"/>
      <c r="H39" s="866"/>
      <c r="I39" s="867"/>
      <c r="J39" s="864"/>
      <c r="K39" s="864"/>
      <c r="L39" s="864"/>
      <c r="M39" s="868"/>
      <c r="N39" s="868"/>
      <c r="O39" s="869"/>
      <c r="P39" s="686"/>
      <c r="Q39" s="686"/>
      <c r="AA39" s="789"/>
      <c r="AB39" s="789"/>
      <c r="AQ39" s="789"/>
      <c r="AR39" s="789"/>
    </row>
    <row r="40" spans="1:44" s="695" customFormat="1" ht="19.5" thickBot="1">
      <c r="A40" s="686"/>
      <c r="B40" s="870" t="s">
        <v>1016</v>
      </c>
      <c r="C40" s="871"/>
      <c r="D40" s="871"/>
      <c r="E40" s="872"/>
      <c r="F40" s="871"/>
      <c r="G40" s="871"/>
      <c r="H40" s="871"/>
      <c r="I40" s="871"/>
      <c r="J40" s="871"/>
      <c r="K40" s="873"/>
      <c r="L40" s="874"/>
      <c r="M40" s="875" t="s">
        <v>55</v>
      </c>
      <c r="N40" s="1223" t="e">
        <f>TEXT(ROUNDDOWN(S8,1),"0.0")&amp;"→"&amp;TEXT(ROUNDDOWN(T8,1),"0.0")</f>
        <v>#DIV/0!</v>
      </c>
      <c r="O40" s="1224"/>
      <c r="P40" s="686"/>
      <c r="Q40" s="686"/>
      <c r="R40" s="856" t="s">
        <v>1009</v>
      </c>
      <c r="S40" s="1821" t="s">
        <v>831</v>
      </c>
      <c r="T40" s="1821" t="s">
        <v>832</v>
      </c>
      <c r="U40" s="1821" t="s">
        <v>833</v>
      </c>
      <c r="V40" s="1822" t="s">
        <v>834</v>
      </c>
      <c r="AA40" s="789"/>
      <c r="AB40" s="789"/>
    </row>
    <row r="41" spans="1:44" s="695" customFormat="1" ht="15">
      <c r="A41" s="686"/>
      <c r="B41" s="741"/>
      <c r="C41" s="878" t="str">
        <f>スコア表示!B9&amp;" "&amp;スコア表示!D9</f>
        <v>Q1 室内環境</v>
      </c>
      <c r="D41" s="879"/>
      <c r="E41" s="879"/>
      <c r="F41" s="879"/>
      <c r="G41" s="879"/>
      <c r="H41" s="879" t="str">
        <f>"     "&amp;スコア表示!B61&amp;" "&amp;スコア表示!D61</f>
        <v xml:space="preserve">     Q2 サービス性能</v>
      </c>
      <c r="I41" s="879"/>
      <c r="J41" s="805"/>
      <c r="K41" s="805"/>
      <c r="L41" s="880" t="str">
        <f>スコア表示!B109&amp;" "&amp;スコア表示!D109</f>
        <v>Q3 室外環境（敷地内）</v>
      </c>
      <c r="M41" s="880"/>
      <c r="N41" s="805"/>
      <c r="O41" s="881"/>
      <c r="P41" s="686"/>
      <c r="Q41" s="861"/>
      <c r="R41" s="728" t="s">
        <v>437</v>
      </c>
      <c r="S41" s="1833" t="e">
        <f>'結果(改修前)'!V41</f>
        <v>#DIV/0!</v>
      </c>
      <c r="T41" s="1823"/>
      <c r="U41" s="1824">
        <v>1</v>
      </c>
      <c r="V41" s="1825" t="e">
        <f>IF(COUNTIF(S41:T41,W42)&gt;0,W42,SUM(S41:T41))</f>
        <v>#DIV/0!</v>
      </c>
      <c r="W41" s="695" t="e">
        <f>#REF!</f>
        <v>#REF!</v>
      </c>
      <c r="AA41" s="789"/>
      <c r="AB41" s="789"/>
    </row>
    <row r="42" spans="1:44" s="695" customFormat="1" ht="15" customHeight="1" thickBot="1">
      <c r="A42" s="686"/>
      <c r="B42" s="741"/>
      <c r="C42" s="882"/>
      <c r="D42" s="883"/>
      <c r="E42" s="884"/>
      <c r="G42" s="879" t="e">
        <f>TEXT(ROUNDDOWN(S48,1),"0.0")&amp;"→"&amp;TEXT(ROUNDDOWN(U48,1),"0.0")</f>
        <v>#DIV/0!</v>
      </c>
      <c r="I42" s="884"/>
      <c r="K42" s="879" t="e">
        <f>TEXT(ROUNDDOWN(X48,1),"0.0")&amp;"→"&amp;TEXT(ROUNDDOWN(Z48,1),"0.0")</f>
        <v>#DIV/0!</v>
      </c>
      <c r="M42" s="885"/>
      <c r="N42" s="884"/>
      <c r="O42" s="886" t="e">
        <f>TEXT(ROUNDDOWN(AC48,1),"0.0")&amp;"→"&amp;TEXT(ROUNDDOWN(AE48,1),"0.0")</f>
        <v>#DIV/0!</v>
      </c>
      <c r="P42" s="686"/>
      <c r="Q42" s="1817"/>
      <c r="R42" s="728" t="s">
        <v>450</v>
      </c>
      <c r="S42" s="1834" t="e">
        <f>'結果(改修後)'!V41</f>
        <v>#DIV/0!</v>
      </c>
      <c r="T42" s="1826"/>
      <c r="U42" s="1827" t="e">
        <f>IF(OR($V$41=W42,V42=W42),W42,V42/$V$41)</f>
        <v>#DIV/0!</v>
      </c>
      <c r="V42" s="1828" t="e">
        <f>IF(COUNTIF(S42:T42,W42)&gt;0,W42,SUM(S42:T42))</f>
        <v>#DIV/0!</v>
      </c>
      <c r="W42" s="695" t="s">
        <v>1013</v>
      </c>
      <c r="AA42" s="789"/>
      <c r="AB42" s="789"/>
    </row>
    <row r="43" spans="1:44" s="695" customFormat="1" ht="15" customHeight="1">
      <c r="A43" s="686"/>
      <c r="B43" s="741"/>
      <c r="G43" s="705"/>
      <c r="H43" s="705"/>
      <c r="I43" s="706"/>
      <c r="J43" s="706"/>
      <c r="K43" s="705"/>
      <c r="L43" s="805"/>
      <c r="M43" s="805"/>
      <c r="N43" s="805"/>
      <c r="O43" s="881"/>
      <c r="P43" s="686"/>
      <c r="Q43" s="686"/>
      <c r="R43" s="728" t="s">
        <v>448</v>
      </c>
      <c r="S43" s="1823"/>
      <c r="T43" s="1823" t="e">
        <f>'結果(改修前)'!W42</f>
        <v>#DIV/0!</v>
      </c>
      <c r="U43" s="1824">
        <v>1</v>
      </c>
      <c r="V43" s="1825" t="e">
        <f>IF(COUNTIF(S43:T43,W43)&gt;0,W43,SUM(S43:T43))</f>
        <v>#DIV/0!</v>
      </c>
      <c r="W43" s="695" t="s">
        <v>936</v>
      </c>
    </row>
    <row r="44" spans="1:44" s="695" customFormat="1" ht="15" customHeight="1" thickBot="1">
      <c r="A44" s="686"/>
      <c r="B44" s="741"/>
      <c r="G44" s="705"/>
      <c r="H44" s="705"/>
      <c r="I44" s="706"/>
      <c r="J44" s="706"/>
      <c r="K44" s="705"/>
      <c r="L44" s="805"/>
      <c r="M44" s="805"/>
      <c r="N44" s="805"/>
      <c r="O44" s="881"/>
      <c r="P44" s="686"/>
      <c r="Q44" s="686"/>
      <c r="R44" s="728" t="s">
        <v>449</v>
      </c>
      <c r="S44" s="1826"/>
      <c r="T44" s="1826" t="e">
        <f>'結果(改修後)'!$W$42</f>
        <v>#DIV/0!</v>
      </c>
      <c r="U44" s="1827" t="e">
        <f>IF(OR($V$43=W44,V44=W44),W44,V44/$V$43)</f>
        <v>#DIV/0!</v>
      </c>
      <c r="V44" s="1828" t="e">
        <f>IF(COUNTIF(S44:T44,W44)&gt;0,W44,SUM(S44:T44))</f>
        <v>#DIV/0!</v>
      </c>
      <c r="W44" s="695" t="s">
        <v>936</v>
      </c>
      <c r="Y44" s="861"/>
    </row>
    <row r="45" spans="1:44" s="695" customFormat="1" ht="15" customHeight="1" thickBot="1">
      <c r="A45" s="686"/>
      <c r="B45" s="741"/>
      <c r="G45" s="705"/>
      <c r="H45" s="705"/>
      <c r="I45" s="706"/>
      <c r="J45" s="706"/>
      <c r="K45" s="705"/>
      <c r="L45" s="805"/>
      <c r="M45" s="805"/>
      <c r="N45" s="805"/>
      <c r="O45" s="881"/>
      <c r="P45" s="686"/>
      <c r="Q45" s="686"/>
      <c r="AA45" s="789"/>
      <c r="AB45" s="789"/>
    </row>
    <row r="46" spans="1:44" s="695" customFormat="1" ht="15" customHeight="1">
      <c r="A46" s="686"/>
      <c r="B46" s="741"/>
      <c r="G46" s="705"/>
      <c r="H46" s="705"/>
      <c r="I46" s="706"/>
      <c r="J46" s="706"/>
      <c r="K46" s="705"/>
      <c r="L46" s="805"/>
      <c r="M46" s="805"/>
      <c r="N46" s="805"/>
      <c r="O46" s="881"/>
      <c r="P46" s="686"/>
      <c r="Q46" s="686"/>
      <c r="S46" s="1225" t="s">
        <v>91</v>
      </c>
      <c r="T46" s="1226"/>
      <c r="U46" s="1225" t="s">
        <v>92</v>
      </c>
      <c r="V46" s="1226"/>
      <c r="X46" s="1225" t="s">
        <v>91</v>
      </c>
      <c r="Y46" s="1226"/>
      <c r="Z46" s="1225" t="s">
        <v>92</v>
      </c>
      <c r="AA46" s="1226"/>
      <c r="AB46" s="789"/>
      <c r="AC46" s="1225" t="s">
        <v>91</v>
      </c>
      <c r="AD46" s="1226"/>
      <c r="AE46" s="1225" t="s">
        <v>92</v>
      </c>
      <c r="AF46" s="1226"/>
    </row>
    <row r="47" spans="1:44" s="695" customFormat="1" ht="15" customHeight="1">
      <c r="A47" s="686"/>
      <c r="B47" s="741"/>
      <c r="G47" s="705"/>
      <c r="H47" s="705"/>
      <c r="I47" s="706"/>
      <c r="J47" s="706"/>
      <c r="K47" s="705"/>
      <c r="L47" s="805"/>
      <c r="M47" s="805"/>
      <c r="N47" s="805"/>
      <c r="O47" s="881"/>
      <c r="P47" s="686"/>
      <c r="Q47" s="686"/>
      <c r="R47" s="1160"/>
      <c r="S47" s="1227" t="s">
        <v>93</v>
      </c>
      <c r="T47" s="1228" t="s">
        <v>94</v>
      </c>
      <c r="U47" s="1227" t="s">
        <v>93</v>
      </c>
      <c r="V47" s="1228" t="s">
        <v>94</v>
      </c>
      <c r="W47" s="1229"/>
      <c r="X47" s="1161" t="s">
        <v>93</v>
      </c>
      <c r="Y47" s="1171" t="s">
        <v>94</v>
      </c>
      <c r="Z47" s="1161" t="s">
        <v>93</v>
      </c>
      <c r="AA47" s="1171" t="s">
        <v>94</v>
      </c>
      <c r="AB47" s="1229"/>
      <c r="AC47" s="1161" t="s">
        <v>93</v>
      </c>
      <c r="AD47" s="1171" t="s">
        <v>94</v>
      </c>
      <c r="AE47" s="1161" t="s">
        <v>93</v>
      </c>
      <c r="AF47" s="1171" t="s">
        <v>94</v>
      </c>
    </row>
    <row r="48" spans="1:44" s="695" customFormat="1" ht="15" customHeight="1">
      <c r="A48" s="686"/>
      <c r="B48" s="741"/>
      <c r="G48" s="891"/>
      <c r="H48" s="891"/>
      <c r="I48" s="706"/>
      <c r="J48" s="706"/>
      <c r="K48" s="705"/>
      <c r="L48" s="805"/>
      <c r="M48" s="805"/>
      <c r="N48" s="805"/>
      <c r="O48" s="881"/>
      <c r="P48" s="686"/>
      <c r="Q48" s="686"/>
      <c r="R48" s="1230" t="s">
        <v>1017</v>
      </c>
      <c r="S48" s="1231" t="e">
        <f>スコア表示!T9</f>
        <v>#DIV/0!</v>
      </c>
      <c r="T48" s="1232" t="e">
        <f>スコア表示!AN9</f>
        <v>#DIV/0!</v>
      </c>
      <c r="U48" s="1231" t="e">
        <f>スコア表示!U9</f>
        <v>#DIV/0!</v>
      </c>
      <c r="V48" s="1232" t="e">
        <f>スコア表示!AO9</f>
        <v>#DIV/0!</v>
      </c>
      <c r="W48" s="1233" t="s">
        <v>95</v>
      </c>
      <c r="X48" s="1231" t="e">
        <f>スコア表示!T61</f>
        <v>#DIV/0!</v>
      </c>
      <c r="Y48" s="1232" t="e">
        <f>スコア表示!AN61</f>
        <v>#DIV/0!</v>
      </c>
      <c r="Z48" s="1231" t="e">
        <f>スコア表示!U61</f>
        <v>#DIV/0!</v>
      </c>
      <c r="AA48" s="1232" t="e">
        <f>スコア表示!AO61</f>
        <v>#DIV/0!</v>
      </c>
      <c r="AB48" s="1234" t="s">
        <v>1019</v>
      </c>
      <c r="AC48" s="1231" t="e">
        <f>スコア表示!T109</f>
        <v>#DIV/0!</v>
      </c>
      <c r="AD48" s="1232" t="e">
        <f>スコア表示!AN109</f>
        <v>#DIV/0!</v>
      </c>
      <c r="AE48" s="1231" t="e">
        <f>スコア表示!U109</f>
        <v>#DIV/0!</v>
      </c>
      <c r="AF48" s="1232" t="e">
        <f>スコア表示!AO109</f>
        <v>#DIV/0!</v>
      </c>
    </row>
    <row r="49" spans="1:32" s="695" customFormat="1" ht="15" customHeight="1">
      <c r="A49" s="805"/>
      <c r="B49" s="741"/>
      <c r="G49" s="891"/>
      <c r="H49" s="891"/>
      <c r="I49" s="706"/>
      <c r="J49" s="706"/>
      <c r="K49" s="705"/>
      <c r="L49" s="805"/>
      <c r="M49" s="805"/>
      <c r="N49" s="805"/>
      <c r="O49" s="881"/>
      <c r="P49" s="805"/>
      <c r="Q49" s="686"/>
      <c r="S49" s="741"/>
      <c r="T49" s="742"/>
      <c r="U49" s="741"/>
      <c r="V49" s="742"/>
      <c r="X49" s="741"/>
      <c r="Y49" s="742"/>
      <c r="Z49" s="741"/>
      <c r="AA49" s="742"/>
      <c r="AC49" s="741"/>
      <c r="AD49" s="742"/>
      <c r="AE49" s="741"/>
      <c r="AF49" s="742"/>
    </row>
    <row r="50" spans="1:32" s="695" customFormat="1" ht="15" customHeight="1">
      <c r="A50" s="805"/>
      <c r="B50" s="741"/>
      <c r="G50" s="892"/>
      <c r="H50" s="893"/>
      <c r="I50" s="894"/>
      <c r="J50" s="894"/>
      <c r="K50" s="895"/>
      <c r="L50" s="896"/>
      <c r="M50" s="896"/>
      <c r="N50" s="896"/>
      <c r="O50" s="897"/>
      <c r="P50" s="805"/>
      <c r="Q50" s="686"/>
      <c r="R50" s="1160"/>
      <c r="S50" s="1161" t="s">
        <v>93</v>
      </c>
      <c r="T50" s="1171" t="s">
        <v>96</v>
      </c>
      <c r="U50" s="1161" t="s">
        <v>93</v>
      </c>
      <c r="V50" s="1171" t="s">
        <v>96</v>
      </c>
      <c r="W50" s="1229"/>
      <c r="X50" s="1161" t="s">
        <v>93</v>
      </c>
      <c r="Y50" s="1171" t="s">
        <v>96</v>
      </c>
      <c r="Z50" s="1161" t="s">
        <v>93</v>
      </c>
      <c r="AA50" s="1171" t="s">
        <v>96</v>
      </c>
      <c r="AB50" s="1229"/>
      <c r="AC50" s="1161" t="s">
        <v>93</v>
      </c>
      <c r="AD50" s="1171" t="s">
        <v>96</v>
      </c>
      <c r="AE50" s="1161" t="s">
        <v>93</v>
      </c>
      <c r="AF50" s="1171" t="s">
        <v>96</v>
      </c>
    </row>
    <row r="51" spans="1:32" s="695" customFormat="1" ht="18" customHeight="1">
      <c r="A51" s="898"/>
      <c r="B51" s="899" t="s">
        <v>1143</v>
      </c>
      <c r="C51" s="900"/>
      <c r="D51" s="901"/>
      <c r="E51" s="900"/>
      <c r="F51" s="900"/>
      <c r="G51" s="900"/>
      <c r="H51" s="871"/>
      <c r="I51" s="871"/>
      <c r="J51" s="871"/>
      <c r="K51" s="873"/>
      <c r="L51" s="874"/>
      <c r="M51" s="875" t="s">
        <v>1144</v>
      </c>
      <c r="N51" s="1223" t="e">
        <f>TEXT(ROUNDDOWN(S9,1),"0.0")&amp;"→"&amp;TEXT(ROUNDDOWN(T9,1),"0.0")</f>
        <v>#VALUE!</v>
      </c>
      <c r="O51" s="1224"/>
      <c r="P51" s="686"/>
      <c r="Q51" s="686"/>
      <c r="R51" s="1235" t="s">
        <v>1020</v>
      </c>
      <c r="S51" s="1231" t="e">
        <f>スコア表示!T10</f>
        <v>#DIV/0!</v>
      </c>
      <c r="T51" s="1236" t="e">
        <f>IF(S51=0,"N.A.","")</f>
        <v>#DIV/0!</v>
      </c>
      <c r="U51" s="1231" t="e">
        <f>スコア表示!U10</f>
        <v>#DIV/0!</v>
      </c>
      <c r="V51" s="1236" t="e">
        <f>IF(U51=0,"N.A.","")</f>
        <v>#DIV/0!</v>
      </c>
      <c r="W51" s="1233" t="s">
        <v>1021</v>
      </c>
      <c r="X51" s="1231" t="e">
        <f>スコア表示!T62</f>
        <v>#DIV/0!</v>
      </c>
      <c r="Y51" s="1236" t="e">
        <f>IF(X51=0,"N.A.","")</f>
        <v>#DIV/0!</v>
      </c>
      <c r="Z51" s="1231" t="e">
        <f>スコア表示!U62</f>
        <v>#DIV/0!</v>
      </c>
      <c r="AA51" s="1236" t="e">
        <f>IF(Z51=0,"N.A.","")</f>
        <v>#DIV/0!</v>
      </c>
      <c r="AB51" s="1237" t="s">
        <v>1022</v>
      </c>
      <c r="AC51" s="1231">
        <f>スコア表示!T110</f>
        <v>3</v>
      </c>
      <c r="AD51" s="1236" t="str">
        <f>IF(AC51=0,"N.A.","")</f>
        <v/>
      </c>
      <c r="AE51" s="1231">
        <f>スコア表示!U110</f>
        <v>3</v>
      </c>
      <c r="AF51" s="1236" t="str">
        <f>IF(AE51=0,"N.A.","")</f>
        <v/>
      </c>
    </row>
    <row r="52" spans="1:32" s="695" customFormat="1" ht="15">
      <c r="A52" s="686"/>
      <c r="B52" s="903"/>
      <c r="C52" s="880" t="str">
        <f>スコア表示!B117&amp;" "&amp;スコア表示!D117</f>
        <v>LR1 エネルギー</v>
      </c>
      <c r="D52" s="880"/>
      <c r="E52" s="904"/>
      <c r="F52" s="880"/>
      <c r="G52" s="880"/>
      <c r="H52" s="880" t="str">
        <f>"     "&amp;スコア表示!B140&amp;" "&amp;スコア表示!D140</f>
        <v xml:space="preserve">     LR2 資源・マテリアル</v>
      </c>
      <c r="I52" s="880"/>
      <c r="J52" s="880"/>
      <c r="K52" s="880"/>
      <c r="L52" s="878" t="str">
        <f>スコア表示!B159&amp;" "&amp;スコア表示!D159</f>
        <v>LR3 敷地外環境</v>
      </c>
      <c r="M52" s="880"/>
      <c r="N52" s="880"/>
      <c r="O52" s="905"/>
      <c r="P52" s="686"/>
      <c r="Q52" s="686"/>
      <c r="R52" s="1235" t="s">
        <v>1023</v>
      </c>
      <c r="S52" s="1231" t="e">
        <f>スコア表示!T20</f>
        <v>#DIV/0!</v>
      </c>
      <c r="T52" s="1236" t="e">
        <f>IF(S52=0,"N.A.","")</f>
        <v>#DIV/0!</v>
      </c>
      <c r="U52" s="1231" t="e">
        <f>スコア表示!U20</f>
        <v>#DIV/0!</v>
      </c>
      <c r="V52" s="1236" t="e">
        <f>IF(U52=0,"N.A.","")</f>
        <v>#DIV/0!</v>
      </c>
      <c r="W52" s="1233" t="s">
        <v>1137</v>
      </c>
      <c r="X52" s="1231" t="e">
        <f>スコア表示!T75</f>
        <v>#DIV/0!</v>
      </c>
      <c r="Y52" s="1236" t="e">
        <f>IF(X52=0,"N.A.","")</f>
        <v>#DIV/0!</v>
      </c>
      <c r="Z52" s="1231" t="e">
        <f>スコア表示!U75</f>
        <v>#DIV/0!</v>
      </c>
      <c r="AA52" s="1236" t="e">
        <f>IF(Z52=0,"N.A.","")</f>
        <v>#DIV/0!</v>
      </c>
      <c r="AB52" s="1237" t="s">
        <v>97</v>
      </c>
      <c r="AC52" s="1231">
        <f>スコア表示!T111</f>
        <v>3</v>
      </c>
      <c r="AD52" s="1236" t="str">
        <f>IF(AC52=0,"N.A.","")</f>
        <v/>
      </c>
      <c r="AE52" s="1231">
        <f>スコア表示!U111</f>
        <v>3</v>
      </c>
      <c r="AF52" s="1236" t="str">
        <f>IF(AE52=0,"N.A.","")</f>
        <v/>
      </c>
    </row>
    <row r="53" spans="1:32" s="695" customFormat="1" ht="15">
      <c r="A53" s="805"/>
      <c r="B53" s="725"/>
      <c r="C53" s="882"/>
      <c r="D53" s="883"/>
      <c r="E53" s="884"/>
      <c r="G53" s="879" t="e">
        <f>TEXT(ROUNDDOWN(S59,1),"0.0")&amp;"→"&amp;TEXT(ROUNDDOWN(U59,1),"0.0")</f>
        <v>#DIV/0!</v>
      </c>
      <c r="I53" s="884"/>
      <c r="K53" s="879" t="e">
        <f>TEXT(ROUNDDOWN(X59,1),"0.0")&amp;"→"&amp;TEXT(ROUNDDOWN(Z59,1),"0.0")</f>
        <v>#DIV/0!</v>
      </c>
      <c r="L53" s="884"/>
      <c r="N53" s="906"/>
      <c r="O53" s="886" t="e">
        <f>TEXT(ROUNDDOWN(AC59,1),"0.0")&amp;"→"&amp;TEXT(ROUNDDOWN(AE59,1),"0.0")</f>
        <v>#DIV/0!</v>
      </c>
      <c r="P53" s="805"/>
      <c r="Q53" s="686"/>
      <c r="R53" s="1235" t="s">
        <v>1139</v>
      </c>
      <c r="S53" s="1231" t="e">
        <f>スコア表示!T34</f>
        <v>#DIV/0!</v>
      </c>
      <c r="T53" s="1236" t="e">
        <f>IF(S53=0,"N.A.","")</f>
        <v>#DIV/0!</v>
      </c>
      <c r="U53" s="1231" t="e">
        <f>スコア表示!U34</f>
        <v>#DIV/0!</v>
      </c>
      <c r="V53" s="1236" t="e">
        <f>IF(U53=0,"N.A.","")</f>
        <v>#DIV/0!</v>
      </c>
      <c r="W53" s="1233" t="s">
        <v>1140</v>
      </c>
      <c r="X53" s="1231" t="e">
        <f>スコア表示!T97</f>
        <v>#DIV/0!</v>
      </c>
      <c r="Y53" s="1236" t="e">
        <f>IF(X53=0,"N.A.","")</f>
        <v>#DIV/0!</v>
      </c>
      <c r="Z53" s="1231" t="e">
        <f>スコア表示!U97</f>
        <v>#DIV/0!</v>
      </c>
      <c r="AA53" s="1236" t="e">
        <f>IF(Z53=0,"N.A.","")</f>
        <v>#DIV/0!</v>
      </c>
      <c r="AB53" s="1237" t="s">
        <v>1141</v>
      </c>
      <c r="AC53" s="1231" t="e">
        <f>スコア表示!T112</f>
        <v>#DIV/0!</v>
      </c>
      <c r="AD53" s="1236" t="e">
        <f>IF(AC53=0,"N.A.","")</f>
        <v>#DIV/0!</v>
      </c>
      <c r="AE53" s="1231" t="e">
        <f>スコア表示!U112</f>
        <v>#DIV/0!</v>
      </c>
      <c r="AF53" s="1236" t="e">
        <f>IF(AE53=0,"N.A.","")</f>
        <v>#DIV/0!</v>
      </c>
    </row>
    <row r="54" spans="1:32" s="695" customFormat="1" ht="14.25">
      <c r="A54" s="805"/>
      <c r="B54" s="725"/>
      <c r="C54" s="907"/>
      <c r="D54" s="907"/>
      <c r="E54" s="908"/>
      <c r="F54" s="892"/>
      <c r="G54" s="892"/>
      <c r="H54" s="892"/>
      <c r="I54" s="706"/>
      <c r="J54" s="706"/>
      <c r="K54" s="705"/>
      <c r="L54" s="705"/>
      <c r="M54" s="726"/>
      <c r="N54" s="726"/>
      <c r="O54" s="727"/>
      <c r="P54" s="805"/>
      <c r="Q54" s="686"/>
      <c r="R54" s="1235" t="s">
        <v>1142</v>
      </c>
      <c r="S54" s="1231" t="e">
        <f>スコア表示!T47</f>
        <v>#DIV/0!</v>
      </c>
      <c r="T54" s="1236" t="e">
        <f>IF(S54=0,"N.A.","")</f>
        <v>#DIV/0!</v>
      </c>
      <c r="U54" s="1231" t="e">
        <f>スコア表示!U47</f>
        <v>#DIV/0!</v>
      </c>
      <c r="V54" s="1236" t="e">
        <f>IF(U54=0,"N.A.","")</f>
        <v>#DIV/0!</v>
      </c>
      <c r="W54" s="789"/>
      <c r="X54" s="1238"/>
      <c r="Y54" s="1239"/>
      <c r="Z54" s="1238"/>
      <c r="AA54" s="1239"/>
      <c r="AB54" s="789"/>
      <c r="AC54" s="1238"/>
      <c r="AD54" s="1239"/>
      <c r="AE54" s="1238"/>
      <c r="AF54" s="1239"/>
    </row>
    <row r="55" spans="1:32" s="695" customFormat="1" ht="15.75" customHeight="1">
      <c r="A55" s="686"/>
      <c r="B55" s="725"/>
      <c r="C55" s="726"/>
      <c r="D55" s="910"/>
      <c r="E55" s="704"/>
      <c r="F55" s="705"/>
      <c r="G55" s="705"/>
      <c r="H55" s="705"/>
      <c r="I55" s="911"/>
      <c r="J55" s="706"/>
      <c r="K55" s="705"/>
      <c r="L55" s="705"/>
      <c r="M55" s="726"/>
      <c r="N55" s="726"/>
      <c r="O55" s="727"/>
      <c r="P55" s="686"/>
      <c r="Q55" s="686"/>
      <c r="R55" s="789"/>
      <c r="S55" s="1238"/>
      <c r="T55" s="1240"/>
      <c r="U55" s="1238"/>
      <c r="V55" s="1240"/>
      <c r="W55" s="789"/>
      <c r="X55" s="1238"/>
      <c r="Y55" s="1239"/>
      <c r="Z55" s="1238"/>
      <c r="AA55" s="1239"/>
      <c r="AB55" s="789"/>
      <c r="AC55" s="1238"/>
      <c r="AD55" s="1239"/>
      <c r="AE55" s="1238"/>
      <c r="AF55" s="1239"/>
    </row>
    <row r="56" spans="1:32" s="695" customFormat="1" ht="15.75" customHeight="1">
      <c r="A56" s="686"/>
      <c r="B56" s="725"/>
      <c r="C56" s="702"/>
      <c r="D56" s="703"/>
      <c r="E56" s="704"/>
      <c r="F56" s="705"/>
      <c r="G56" s="705"/>
      <c r="H56" s="705"/>
      <c r="I56" s="911"/>
      <c r="J56" s="706"/>
      <c r="K56" s="705"/>
      <c r="L56" s="705"/>
      <c r="M56" s="726"/>
      <c r="N56" s="726"/>
      <c r="O56" s="727"/>
      <c r="P56" s="686"/>
      <c r="Q56" s="686"/>
      <c r="R56" s="789"/>
      <c r="S56" s="1238"/>
      <c r="T56" s="1239"/>
      <c r="U56" s="1238"/>
      <c r="V56" s="1239"/>
      <c r="W56" s="789"/>
      <c r="X56" s="1238"/>
      <c r="Y56" s="1239"/>
      <c r="Z56" s="1238"/>
      <c r="AA56" s="1239"/>
      <c r="AB56" s="789"/>
      <c r="AC56" s="1238"/>
      <c r="AD56" s="1239"/>
      <c r="AE56" s="1238"/>
      <c r="AF56" s="1239"/>
    </row>
    <row r="57" spans="1:32" s="695" customFormat="1" ht="15.75" customHeight="1">
      <c r="A57" s="686"/>
      <c r="B57" s="913"/>
      <c r="C57" s="702"/>
      <c r="D57" s="703"/>
      <c r="E57" s="704"/>
      <c r="F57" s="705"/>
      <c r="G57" s="705"/>
      <c r="H57" s="705"/>
      <c r="I57" s="911"/>
      <c r="J57" s="706"/>
      <c r="K57" s="705"/>
      <c r="L57" s="705"/>
      <c r="M57" s="726"/>
      <c r="N57" s="726"/>
      <c r="O57" s="727"/>
      <c r="P57" s="686"/>
      <c r="Q57" s="686"/>
      <c r="S57" s="741"/>
      <c r="T57" s="742"/>
      <c r="U57" s="741"/>
      <c r="V57" s="742"/>
      <c r="X57" s="741"/>
      <c r="Y57" s="742"/>
      <c r="Z57" s="741"/>
      <c r="AA57" s="742"/>
      <c r="AC57" s="741"/>
      <c r="AD57" s="742"/>
      <c r="AE57" s="741"/>
      <c r="AF57" s="742"/>
    </row>
    <row r="58" spans="1:32" s="695" customFormat="1" ht="15.75" customHeight="1">
      <c r="A58" s="686"/>
      <c r="B58" s="913"/>
      <c r="C58" s="702"/>
      <c r="D58" s="703"/>
      <c r="E58" s="704"/>
      <c r="F58" s="705"/>
      <c r="G58" s="705"/>
      <c r="H58" s="705"/>
      <c r="I58" s="911"/>
      <c r="J58" s="706"/>
      <c r="K58" s="705"/>
      <c r="L58" s="705"/>
      <c r="M58" s="726"/>
      <c r="N58" s="726"/>
      <c r="O58" s="727"/>
      <c r="P58" s="686"/>
      <c r="Q58" s="686"/>
      <c r="R58" s="1160"/>
      <c r="S58" s="1161" t="s">
        <v>93</v>
      </c>
      <c r="T58" s="1171" t="s">
        <v>94</v>
      </c>
      <c r="U58" s="1161" t="s">
        <v>93</v>
      </c>
      <c r="V58" s="1171" t="s">
        <v>94</v>
      </c>
      <c r="W58" s="1229"/>
      <c r="X58" s="1161" t="s">
        <v>93</v>
      </c>
      <c r="Y58" s="1171" t="s">
        <v>94</v>
      </c>
      <c r="Z58" s="1161" t="s">
        <v>93</v>
      </c>
      <c r="AA58" s="1171" t="s">
        <v>94</v>
      </c>
      <c r="AB58" s="1229"/>
      <c r="AC58" s="1161" t="s">
        <v>93</v>
      </c>
      <c r="AD58" s="1171" t="s">
        <v>94</v>
      </c>
      <c r="AE58" s="1161" t="s">
        <v>93</v>
      </c>
      <c r="AF58" s="1171" t="s">
        <v>94</v>
      </c>
    </row>
    <row r="59" spans="1:32" s="695" customFormat="1" ht="15.75" customHeight="1">
      <c r="A59" s="686"/>
      <c r="B59" s="913"/>
      <c r="C59" s="702"/>
      <c r="D59" s="703"/>
      <c r="E59" s="704"/>
      <c r="F59" s="705"/>
      <c r="G59" s="705"/>
      <c r="H59" s="705"/>
      <c r="I59" s="911"/>
      <c r="J59" s="706"/>
      <c r="K59" s="705"/>
      <c r="L59" s="705"/>
      <c r="M59" s="726"/>
      <c r="N59" s="726"/>
      <c r="O59" s="727"/>
      <c r="P59" s="686"/>
      <c r="Q59" s="686"/>
      <c r="R59" s="1241" t="s">
        <v>98</v>
      </c>
      <c r="S59" s="1231" t="e">
        <f>スコア表示!T117</f>
        <v>#DIV/0!</v>
      </c>
      <c r="T59" s="1232" t="e">
        <f>スコア表示!AN117</f>
        <v>#DIV/0!</v>
      </c>
      <c r="U59" s="1231" t="e">
        <f>スコア表示!U117</f>
        <v>#VALUE!</v>
      </c>
      <c r="V59" s="1232" t="e">
        <f>スコア表示!AO117</f>
        <v>#VALUE!</v>
      </c>
      <c r="W59" s="1233" t="s">
        <v>1148</v>
      </c>
      <c r="X59" s="1231" t="e">
        <f>スコア表示!T140</f>
        <v>#DIV/0!</v>
      </c>
      <c r="Y59" s="1232" t="e">
        <f>スコア表示!AN140</f>
        <v>#DIV/0!</v>
      </c>
      <c r="Z59" s="1231" t="e">
        <f>スコア表示!U140</f>
        <v>#DIV/0!</v>
      </c>
      <c r="AA59" s="1232" t="e">
        <f>スコア表示!AO140</f>
        <v>#DIV/0!</v>
      </c>
      <c r="AB59" s="1233" t="s">
        <v>1149</v>
      </c>
      <c r="AC59" s="1231" t="e">
        <f>スコア表示!T159</f>
        <v>#DIV/0!</v>
      </c>
      <c r="AD59" s="1232" t="e">
        <f>スコア表示!AN159</f>
        <v>#DIV/0!</v>
      </c>
      <c r="AE59" s="1231" t="e">
        <f>スコア表示!U159</f>
        <v>#DIV/0!</v>
      </c>
      <c r="AF59" s="1232" t="e">
        <f>スコア表示!AO159</f>
        <v>#DIV/0!</v>
      </c>
    </row>
    <row r="60" spans="1:32" s="695" customFormat="1" ht="15.75" customHeight="1">
      <c r="A60" s="686"/>
      <c r="B60" s="913"/>
      <c r="C60" s="702"/>
      <c r="D60" s="703"/>
      <c r="E60" s="704"/>
      <c r="F60" s="705"/>
      <c r="G60" s="705"/>
      <c r="H60" s="705"/>
      <c r="I60" s="911"/>
      <c r="J60" s="706"/>
      <c r="K60" s="705"/>
      <c r="L60" s="705"/>
      <c r="M60" s="726"/>
      <c r="N60" s="726"/>
      <c r="O60" s="727"/>
      <c r="P60" s="686"/>
      <c r="Q60" s="686"/>
      <c r="S60" s="741"/>
      <c r="T60" s="742"/>
      <c r="U60" s="741"/>
      <c r="V60" s="742"/>
      <c r="X60" s="741"/>
      <c r="Y60" s="742"/>
      <c r="Z60" s="741"/>
      <c r="AA60" s="742"/>
      <c r="AC60" s="1242"/>
      <c r="AD60" s="742"/>
      <c r="AE60" s="1242"/>
      <c r="AF60" s="742"/>
    </row>
    <row r="61" spans="1:32" s="695" customFormat="1" ht="15.75" customHeight="1" thickBot="1">
      <c r="A61" s="686"/>
      <c r="B61" s="917"/>
      <c r="C61" s="918"/>
      <c r="D61" s="919"/>
      <c r="E61" s="918"/>
      <c r="F61" s="920"/>
      <c r="G61" s="920"/>
      <c r="H61" s="920"/>
      <c r="I61" s="921"/>
      <c r="J61" s="813"/>
      <c r="K61" s="813"/>
      <c r="L61" s="813"/>
      <c r="M61" s="922"/>
      <c r="N61" s="922"/>
      <c r="O61" s="923"/>
      <c r="P61" s="686"/>
      <c r="Q61" s="686"/>
      <c r="R61" s="1160"/>
      <c r="S61" s="1161" t="s">
        <v>93</v>
      </c>
      <c r="T61" s="1171" t="s">
        <v>96</v>
      </c>
      <c r="U61" s="1161" t="s">
        <v>93</v>
      </c>
      <c r="V61" s="1171" t="s">
        <v>96</v>
      </c>
      <c r="W61" s="1229"/>
      <c r="X61" s="1161" t="s">
        <v>93</v>
      </c>
      <c r="Y61" s="1171" t="s">
        <v>96</v>
      </c>
      <c r="Z61" s="1161" t="s">
        <v>93</v>
      </c>
      <c r="AA61" s="1171" t="s">
        <v>96</v>
      </c>
      <c r="AB61" s="1229"/>
      <c r="AC61" s="1161" t="s">
        <v>93</v>
      </c>
      <c r="AD61" s="1171" t="s">
        <v>96</v>
      </c>
      <c r="AE61" s="1161" t="s">
        <v>93</v>
      </c>
      <c r="AF61" s="1171" t="s">
        <v>96</v>
      </c>
    </row>
    <row r="62" spans="1:32" s="695" customFormat="1" ht="6" customHeight="1" thickBot="1">
      <c r="A62" s="686"/>
      <c r="B62" s="925"/>
      <c r="C62" s="911"/>
      <c r="D62" s="926"/>
      <c r="E62" s="704"/>
      <c r="F62" s="705"/>
      <c r="G62" s="705"/>
      <c r="H62" s="705"/>
      <c r="I62" s="706"/>
      <c r="J62" s="706"/>
      <c r="K62" s="705"/>
      <c r="L62" s="705"/>
      <c r="M62" s="726"/>
      <c r="N62" s="726"/>
      <c r="O62" s="726"/>
      <c r="P62" s="686"/>
      <c r="Q62" s="805"/>
      <c r="R62" s="1241" t="s">
        <v>1152</v>
      </c>
      <c r="S62" s="1231">
        <f>スコア表示!T118</f>
        <v>0</v>
      </c>
      <c r="T62" s="1236" t="str">
        <f>IF(S62=0,"N.A.","")</f>
        <v>N.A.</v>
      </c>
      <c r="U62" s="1231" t="e">
        <f>スコア表示!U118</f>
        <v>#VALUE!</v>
      </c>
      <c r="V62" s="1236" t="e">
        <f>IF(U62=0,"N.A.","")</f>
        <v>#VALUE!</v>
      </c>
      <c r="W62" s="1243" t="s">
        <v>1153</v>
      </c>
      <c r="X62" s="1231" t="e">
        <f>スコア表示!T141</f>
        <v>#DIV/0!</v>
      </c>
      <c r="Y62" s="1236" t="e">
        <f>IF(X62=0,"N.A.","")</f>
        <v>#DIV/0!</v>
      </c>
      <c r="Z62" s="1231" t="e">
        <f>スコア表示!U141</f>
        <v>#DIV/0!</v>
      </c>
      <c r="AA62" s="1236" t="e">
        <f>IF(Z62=0,"N.A.","")</f>
        <v>#DIV/0!</v>
      </c>
      <c r="AB62" s="1233" t="s">
        <v>1154</v>
      </c>
      <c r="AC62" s="1231" t="e">
        <f>スコア表示!T160</f>
        <v>#DIV/0!</v>
      </c>
      <c r="AD62" s="1236" t="e">
        <f>IF(AC62=0,"N.A.","")</f>
        <v>#DIV/0!</v>
      </c>
      <c r="AE62" s="1231" t="e">
        <f>スコア表示!U160</f>
        <v>#DIV/0!</v>
      </c>
      <c r="AF62" s="1236" t="e">
        <f>IF(AE62=0,"N.A.","")</f>
        <v>#DIV/0!</v>
      </c>
    </row>
    <row r="63" spans="1:32" s="695" customFormat="1" ht="15.75">
      <c r="A63" s="686"/>
      <c r="B63" s="823" t="s">
        <v>6</v>
      </c>
      <c r="C63" s="927"/>
      <c r="D63" s="928"/>
      <c r="E63" s="927"/>
      <c r="F63" s="927"/>
      <c r="G63" s="927"/>
      <c r="H63" s="929"/>
      <c r="I63" s="930"/>
      <c r="J63" s="927"/>
      <c r="K63" s="927"/>
      <c r="L63" s="927"/>
      <c r="M63" s="931"/>
      <c r="N63" s="931"/>
      <c r="O63" s="932"/>
      <c r="P63" s="686"/>
      <c r="Q63" s="805"/>
      <c r="R63" s="1241" t="s">
        <v>1155</v>
      </c>
      <c r="S63" s="1231" t="e">
        <f>スコア表示!T119</f>
        <v>#DIV/0!</v>
      </c>
      <c r="T63" s="1236" t="e">
        <f>IF(S63=0,"N.A.","")</f>
        <v>#DIV/0!</v>
      </c>
      <c r="U63" s="1231" t="e">
        <f>スコア表示!U119</f>
        <v>#DIV/0!</v>
      </c>
      <c r="V63" s="1236" t="e">
        <f>IF(U63=0,"N.A.","")</f>
        <v>#DIV/0!</v>
      </c>
      <c r="W63" s="1243" t="s">
        <v>0</v>
      </c>
      <c r="X63" s="1231" t="e">
        <f>スコア表示!T146</f>
        <v>#DIV/0!</v>
      </c>
      <c r="Y63" s="1236" t="e">
        <f>IF(X63=0,"N.A.","")</f>
        <v>#DIV/0!</v>
      </c>
      <c r="Z63" s="1231" t="e">
        <f>スコア表示!U146</f>
        <v>#DIV/0!</v>
      </c>
      <c r="AA63" s="1236" t="e">
        <f>IF(Z63=0,"N.A.","")</f>
        <v>#DIV/0!</v>
      </c>
      <c r="AB63" s="1233" t="s">
        <v>1</v>
      </c>
      <c r="AC63" s="1231" t="e">
        <f>スコア表示!T161</f>
        <v>#DIV/0!</v>
      </c>
      <c r="AD63" s="1236" t="e">
        <f>IF(AC63=0,"N.A.","")</f>
        <v>#DIV/0!</v>
      </c>
      <c r="AE63" s="1231" t="e">
        <f>スコア表示!U161</f>
        <v>#DIV/0!</v>
      </c>
      <c r="AF63" s="1236" t="e">
        <f>IF(AE63=0,"N.A.","")</f>
        <v>#DIV/0!</v>
      </c>
    </row>
    <row r="64" spans="1:32" s="695" customFormat="1" ht="15" thickBot="1">
      <c r="A64" s="686"/>
      <c r="B64" s="933" t="s">
        <v>7</v>
      </c>
      <c r="C64" s="934"/>
      <c r="D64" s="935"/>
      <c r="E64" s="934"/>
      <c r="F64" s="934"/>
      <c r="G64" s="934"/>
      <c r="H64" s="934"/>
      <c r="I64" s="934"/>
      <c r="J64" s="934"/>
      <c r="K64" s="936"/>
      <c r="L64" s="937" t="s">
        <v>8</v>
      </c>
      <c r="M64" s="938"/>
      <c r="N64" s="938"/>
      <c r="O64" s="939"/>
      <c r="P64" s="686"/>
      <c r="Q64" s="805"/>
      <c r="R64" s="1241" t="s">
        <v>2</v>
      </c>
      <c r="S64" s="1231" t="e">
        <f>スコア表示!T124</f>
        <v>#DIV/0!</v>
      </c>
      <c r="T64" s="1236" t="e">
        <f>IF(S64=0,"N.A.","")</f>
        <v>#DIV/0!</v>
      </c>
      <c r="U64" s="1231" t="e">
        <f>スコア表示!U124</f>
        <v>#DIV/0!</v>
      </c>
      <c r="V64" s="1236" t="e">
        <f>IF(U64=0,"N.A.","")</f>
        <v>#DIV/0!</v>
      </c>
      <c r="W64" s="1244" t="s">
        <v>3</v>
      </c>
      <c r="X64" s="1245" t="e">
        <f>スコア表示!T153</f>
        <v>#DIV/0!</v>
      </c>
      <c r="Y64" s="1246" t="e">
        <f>IF(X64=0,"N.A.","")</f>
        <v>#DIV/0!</v>
      </c>
      <c r="Z64" s="1245" t="e">
        <f>スコア表示!U153</f>
        <v>#DIV/0!</v>
      </c>
      <c r="AA64" s="1246" t="e">
        <f>IF(Z64=0,"N.A.","")</f>
        <v>#DIV/0!</v>
      </c>
      <c r="AB64" s="1233" t="s">
        <v>4</v>
      </c>
      <c r="AC64" s="1247" t="e">
        <f>スコア表示!T169</f>
        <v>#DIV/0!</v>
      </c>
      <c r="AD64" s="1246" t="e">
        <f>IF(AC64=0,"N.A.","")</f>
        <v>#DIV/0!</v>
      </c>
      <c r="AE64" s="1247" t="e">
        <f>スコア表示!U169</f>
        <v>#DIV/0!</v>
      </c>
      <c r="AF64" s="1246" t="e">
        <f>IF(AE64=0,"N.A.","")</f>
        <v>#DIV/0!</v>
      </c>
    </row>
    <row r="65" spans="1:42" s="695" customFormat="1" ht="52.5" customHeight="1" thickBot="1">
      <c r="A65" s="686"/>
      <c r="B65" s="2904" t="str">
        <f>SUBSTITUTE(配慮!C7,"注）　改修における総合的なコンセプトを簡潔に記載してください。
　（省エネ改修，室内環境改善，外装の更新，高耐久化，情報化対応，コンバージョンなど）" &amp; CHAR(10),"")</f>
        <v/>
      </c>
      <c r="C65" s="2905"/>
      <c r="D65" s="2905"/>
      <c r="E65" s="2905"/>
      <c r="F65" s="2905"/>
      <c r="G65" s="2905"/>
      <c r="H65" s="2905"/>
      <c r="I65" s="2905"/>
      <c r="J65" s="2905"/>
      <c r="K65" s="2906"/>
      <c r="L65" s="2907" t="str">
        <f>SUBSTITUTE(配慮!C14,"注）　上記の６つのカテゴリー以外に，改修工事における廃棄物削減・リサイクル，改修による歴史的建造物の延命など，建物自体の環境性能としてＣＡＳＢＥＥで評価し難い環境配慮の取組があれば，ここに記載してください。" &amp; CHAR(10),"")</f>
        <v/>
      </c>
      <c r="M65" s="2908"/>
      <c r="N65" s="2908"/>
      <c r="O65" s="2909"/>
      <c r="P65" s="686"/>
      <c r="Q65" s="805"/>
      <c r="R65" s="1241" t="s">
        <v>5</v>
      </c>
      <c r="S65" s="1247" t="e">
        <f>スコア表示!T133</f>
        <v>#DIV/0!</v>
      </c>
      <c r="T65" s="1246" t="e">
        <f>IF(S65=0,"N.A.","")</f>
        <v>#DIV/0!</v>
      </c>
      <c r="U65" s="1247" t="e">
        <f>スコア表示!U133</f>
        <v>#DIV/0!</v>
      </c>
      <c r="V65" s="1246" t="e">
        <f>IF(U65=0,"N.A.","")</f>
        <v>#DIV/0!</v>
      </c>
      <c r="W65" s="789"/>
      <c r="X65" s="916"/>
      <c r="Y65" s="916"/>
      <c r="Z65" s="916"/>
      <c r="AA65" s="916"/>
      <c r="AB65" s="916"/>
    </row>
    <row r="66" spans="1:42" s="695" customFormat="1" ht="15">
      <c r="A66" s="686"/>
      <c r="B66" s="940" t="str">
        <f>配慮!B8</f>
        <v>Q1 
室内環境</v>
      </c>
      <c r="C66" s="938"/>
      <c r="D66" s="938"/>
      <c r="E66" s="938"/>
      <c r="F66" s="938"/>
      <c r="G66" s="941"/>
      <c r="H66" s="942" t="str">
        <f>配慮!B9</f>
        <v>Q2 
サービス性能</v>
      </c>
      <c r="I66" s="943"/>
      <c r="J66" s="943"/>
      <c r="K66" s="944"/>
      <c r="L66" s="945" t="str">
        <f>配慮!B10</f>
        <v>Q3 
室外環境（敷地内）</v>
      </c>
      <c r="M66" s="946"/>
      <c r="N66" s="947"/>
      <c r="O66" s="948"/>
      <c r="P66" s="686"/>
      <c r="Q66" s="805"/>
      <c r="R66" s="789"/>
      <c r="S66" s="789"/>
      <c r="T66" s="789"/>
      <c r="U66" s="789"/>
      <c r="V66" s="916"/>
    </row>
    <row r="67" spans="1:42" s="695" customFormat="1" ht="50.25" customHeight="1">
      <c r="A67" s="686"/>
      <c r="B67" s="2910" t="str">
        <f>SUBSTITUTE(配慮!C8,"注）　改修における「Q1　室内環境」に対する配慮事項を簡潔に記載してください。" &amp; CHAR(10),"")</f>
        <v/>
      </c>
      <c r="C67" s="2908"/>
      <c r="D67" s="2908"/>
      <c r="E67" s="2908"/>
      <c r="F67" s="2908"/>
      <c r="G67" s="2911"/>
      <c r="H67" s="2912" t="str">
        <f>SUBSTITUTE(配慮!C9,"注）　改修における「Q2　サービス性能」に対する配慮事項を簡潔に記載してください。"&amp;CHAR(10),"")</f>
        <v/>
      </c>
      <c r="I67" s="2908"/>
      <c r="J67" s="2908"/>
      <c r="K67" s="2911"/>
      <c r="L67" s="2912" t="str">
        <f>SUBSTITUTE(配慮!C10,"注）　改修における「Q3　室外環境（敷地内）」に対する配慮事項を簡潔に記載してください。"&amp;CHAR(10),"")</f>
        <v/>
      </c>
      <c r="M67" s="2908"/>
      <c r="N67" s="2908"/>
      <c r="O67" s="2909"/>
      <c r="P67" s="686"/>
      <c r="Q67" s="805"/>
      <c r="R67" s="924"/>
      <c r="S67" s="789"/>
      <c r="T67" s="789"/>
      <c r="U67" s="789"/>
      <c r="V67" s="916"/>
      <c r="W67" s="916"/>
      <c r="X67" s="916"/>
      <c r="Y67" s="916"/>
      <c r="Z67" s="916"/>
      <c r="AA67" s="789"/>
      <c r="AB67" s="789"/>
    </row>
    <row r="68" spans="1:42" s="695" customFormat="1" ht="15">
      <c r="A68" s="686"/>
      <c r="B68" s="949" t="str">
        <f>配慮!B11</f>
        <v>LR1 
エネルギー</v>
      </c>
      <c r="C68" s="950"/>
      <c r="D68" s="935"/>
      <c r="E68" s="935"/>
      <c r="F68" s="935"/>
      <c r="G68" s="951"/>
      <c r="H68" s="952" t="str">
        <f>配慮!B12</f>
        <v>LR2 
資源・マテリアル</v>
      </c>
      <c r="I68" s="938"/>
      <c r="J68" s="938"/>
      <c r="K68" s="941"/>
      <c r="L68" s="953" t="str">
        <f>配慮!B13</f>
        <v>LR3 
敷地外環境</v>
      </c>
      <c r="M68" s="950"/>
      <c r="N68" s="935"/>
      <c r="O68" s="954"/>
      <c r="P68" s="686"/>
      <c r="Q68" s="805"/>
      <c r="R68" s="789"/>
      <c r="S68" s="789"/>
      <c r="T68" s="789"/>
      <c r="U68" s="789"/>
      <c r="V68" s="916"/>
      <c r="W68" s="916"/>
      <c r="X68" s="916"/>
      <c r="Y68" s="916"/>
      <c r="Z68" s="916"/>
      <c r="AA68" s="789"/>
      <c r="AB68" s="789"/>
    </row>
    <row r="69" spans="1:42" s="695" customFormat="1" ht="61.5" customHeight="1" thickBot="1">
      <c r="A69" s="686"/>
      <c r="B69" s="2919" t="str">
        <f>SUBSTITUTE(配慮!C11,"注）　改修における「LR1　エネルギー」に対する配慮事項を簡潔に記載してください。" &amp; CHAR(10),"")</f>
        <v/>
      </c>
      <c r="C69" s="2900"/>
      <c r="D69" s="2900"/>
      <c r="E69" s="2900"/>
      <c r="F69" s="2900"/>
      <c r="G69" s="2920"/>
      <c r="H69" s="2899" t="str">
        <f>SUBSTITUTE(配慮!C12,"注）　改修における「LR2　資源・マテリアル」に対する配慮事項を簡潔に記載してください。"&amp;CHAR(10),"")</f>
        <v/>
      </c>
      <c r="I69" s="2900"/>
      <c r="J69" s="2900"/>
      <c r="K69" s="2920"/>
      <c r="L69" s="2899" t="str">
        <f>SUBSTITUTE(配慮!C13,"注）　改修における「LR3　敷地外環境」に対する配慮事項を簡潔に記載してください。"&amp;CHAR(10),"")</f>
        <v/>
      </c>
      <c r="M69" s="2900"/>
      <c r="N69" s="2900"/>
      <c r="O69" s="2901"/>
      <c r="P69" s="686"/>
      <c r="Q69" s="805"/>
      <c r="R69" s="789"/>
      <c r="S69" s="789"/>
      <c r="T69" s="789"/>
      <c r="U69" s="789"/>
      <c r="V69" s="789"/>
      <c r="W69" s="789"/>
      <c r="X69" s="789"/>
      <c r="Y69" s="789"/>
      <c r="Z69" s="789"/>
      <c r="AA69" s="789"/>
      <c r="AB69" s="789"/>
    </row>
    <row r="70" spans="1:42" s="695" customFormat="1" ht="7.5" customHeight="1" thickBot="1">
      <c r="A70" s="686"/>
      <c r="B70" s="686"/>
      <c r="C70" s="686"/>
      <c r="D70" s="686"/>
      <c r="E70" s="686"/>
      <c r="F70" s="686"/>
      <c r="G70" s="686"/>
      <c r="H70" s="686"/>
      <c r="I70" s="686"/>
      <c r="J70" s="686"/>
      <c r="K70" s="686"/>
      <c r="L70" s="686"/>
      <c r="M70" s="686"/>
      <c r="N70" s="686"/>
      <c r="O70" s="686"/>
      <c r="P70" s="686"/>
      <c r="Q70" s="686"/>
      <c r="R70" s="789"/>
      <c r="S70" s="789"/>
      <c r="T70" s="789"/>
      <c r="U70" s="789"/>
      <c r="V70" s="789"/>
      <c r="W70" s="789"/>
      <c r="X70" s="789"/>
      <c r="Y70" s="789"/>
      <c r="Z70" s="789"/>
      <c r="AA70" s="789"/>
      <c r="AB70" s="789"/>
    </row>
    <row r="71" spans="1:42" ht="17.25" customHeight="1">
      <c r="B71" s="823" t="s">
        <v>99</v>
      </c>
      <c r="C71" s="927"/>
      <c r="D71" s="928"/>
      <c r="E71" s="927"/>
      <c r="F71" s="927"/>
      <c r="G71" s="927"/>
      <c r="H71" s="927"/>
      <c r="I71" s="930"/>
      <c r="J71" s="927"/>
      <c r="K71" s="927"/>
      <c r="L71" s="927"/>
      <c r="M71" s="927"/>
      <c r="N71" s="927"/>
      <c r="O71" s="1248"/>
      <c r="P71" s="1035"/>
      <c r="R71" s="789"/>
      <c r="S71" s="789"/>
      <c r="T71" s="789"/>
      <c r="U71" s="789"/>
      <c r="V71" s="789"/>
      <c r="W71" s="789"/>
      <c r="X71" s="789"/>
      <c r="Y71" s="789"/>
      <c r="Z71" s="789"/>
      <c r="AA71" s="789"/>
      <c r="AB71" s="789"/>
      <c r="AC71" s="695"/>
      <c r="AD71" s="695"/>
      <c r="AE71" s="695"/>
      <c r="AF71" s="695"/>
      <c r="AG71" s="695"/>
      <c r="AH71" s="695"/>
      <c r="AI71" s="695"/>
      <c r="AJ71" s="695"/>
      <c r="AK71" s="695"/>
      <c r="AL71" s="695"/>
      <c r="AM71" s="695"/>
      <c r="AN71" s="695"/>
      <c r="AO71" s="695"/>
      <c r="AP71" s="695"/>
    </row>
    <row r="72" spans="1:42" ht="15" customHeight="1">
      <c r="B72" s="1252"/>
      <c r="C72" s="1253"/>
      <c r="D72" s="1253"/>
      <c r="E72" s="1253"/>
      <c r="F72" s="1253"/>
      <c r="G72" s="1253"/>
      <c r="H72" s="1253"/>
      <c r="I72" s="1253"/>
      <c r="J72" s="1253"/>
      <c r="K72" s="1253"/>
      <c r="L72" s="1253"/>
      <c r="M72" s="1253"/>
      <c r="N72" s="1253"/>
      <c r="O72" s="1254"/>
      <c r="P72" s="1035"/>
      <c r="R72" s="789"/>
      <c r="S72" s="789"/>
      <c r="T72" s="789"/>
      <c r="U72" s="789"/>
      <c r="V72" s="789"/>
      <c r="W72" s="789"/>
      <c r="X72" s="789"/>
      <c r="Y72" s="789"/>
      <c r="Z72" s="789"/>
      <c r="AA72" s="789"/>
      <c r="AB72" s="789"/>
      <c r="AC72" s="695"/>
      <c r="AD72" s="695"/>
      <c r="AE72" s="695"/>
      <c r="AF72" s="695"/>
      <c r="AG72" s="695"/>
      <c r="AH72" s="695"/>
      <c r="AI72" s="695"/>
      <c r="AJ72" s="695"/>
      <c r="AK72" s="695"/>
      <c r="AL72" s="695"/>
      <c r="AM72" s="695"/>
      <c r="AN72" s="695"/>
      <c r="AO72" s="695"/>
      <c r="AP72" s="695"/>
    </row>
    <row r="73" spans="1:42" ht="15" customHeight="1">
      <c r="B73" s="1255"/>
      <c r="E73" s="704"/>
      <c r="F73" s="705"/>
      <c r="G73" s="705"/>
      <c r="H73" s="2926" t="s">
        <v>442</v>
      </c>
      <c r="I73" s="2927"/>
      <c r="J73" s="2928" t="s">
        <v>443</v>
      </c>
      <c r="K73" s="1256" t="s">
        <v>444</v>
      </c>
      <c r="L73" s="1257"/>
      <c r="M73" s="1258"/>
      <c r="N73" s="895"/>
      <c r="O73" s="1259"/>
      <c r="P73" s="1035"/>
      <c r="R73" s="789"/>
      <c r="S73" s="789"/>
      <c r="T73" s="789"/>
      <c r="U73" s="789"/>
      <c r="V73" s="789"/>
      <c r="W73" s="789"/>
      <c r="X73" s="789"/>
      <c r="Y73" s="789"/>
      <c r="Z73" s="789"/>
      <c r="AA73" s="789"/>
      <c r="AB73" s="789"/>
      <c r="AC73" s="695"/>
      <c r="AD73" s="695"/>
      <c r="AE73" s="695"/>
      <c r="AF73" s="695"/>
      <c r="AG73" s="695"/>
    </row>
    <row r="74" spans="1:42" ht="15" customHeight="1">
      <c r="B74" s="1255"/>
      <c r="E74" s="704"/>
      <c r="F74" s="705"/>
      <c r="G74" s="705"/>
      <c r="H74" s="2927"/>
      <c r="I74" s="2927"/>
      <c r="J74" s="2929"/>
      <c r="K74" s="1263" t="s">
        <v>101</v>
      </c>
      <c r="L74" s="1264"/>
      <c r="M74" s="1265"/>
      <c r="N74" s="705"/>
      <c r="O74" s="1259"/>
      <c r="P74" s="1035"/>
      <c r="R74" s="789"/>
      <c r="S74" s="789"/>
      <c r="T74" s="789"/>
      <c r="U74" s="789"/>
      <c r="V74" s="789"/>
      <c r="W74" s="789"/>
      <c r="X74" s="789"/>
      <c r="Y74" s="789"/>
      <c r="Z74" s="789"/>
      <c r="AA74" s="789"/>
      <c r="AB74" s="789"/>
      <c r="AC74" s="695"/>
      <c r="AD74" s="695"/>
      <c r="AE74" s="695"/>
      <c r="AF74" s="695"/>
      <c r="AG74" s="695"/>
    </row>
    <row r="75" spans="1:42" ht="15" customHeight="1">
      <c r="B75" s="1255"/>
      <c r="E75" s="704"/>
      <c r="F75" s="705"/>
      <c r="G75" s="705"/>
      <c r="H75" s="1266"/>
      <c r="I75" s="1267"/>
      <c r="J75" s="2928" t="s">
        <v>102</v>
      </c>
      <c r="K75" s="1268" t="s">
        <v>103</v>
      </c>
      <c r="L75" s="1269"/>
      <c r="M75" s="1267"/>
      <c r="N75" s="1267"/>
      <c r="O75" s="1259"/>
      <c r="P75" s="1035"/>
      <c r="R75" s="789"/>
      <c r="S75" s="789"/>
      <c r="T75" s="789"/>
      <c r="U75" s="789"/>
      <c r="V75" s="789"/>
      <c r="W75" s="789"/>
      <c r="X75" s="789"/>
      <c r="Y75" s="789"/>
      <c r="Z75" s="789"/>
      <c r="AA75" s="789"/>
      <c r="AB75" s="789"/>
      <c r="AC75" s="695"/>
      <c r="AD75" s="695"/>
      <c r="AE75" s="695"/>
      <c r="AF75" s="695"/>
      <c r="AG75" s="695"/>
    </row>
    <row r="76" spans="1:42" ht="15" customHeight="1" thickBot="1">
      <c r="B76" s="1255"/>
      <c r="E76" s="704"/>
      <c r="F76" s="705"/>
      <c r="G76" s="705"/>
      <c r="H76" s="1266"/>
      <c r="I76" s="1273"/>
      <c r="J76" s="2929"/>
      <c r="K76" s="1274" t="s">
        <v>104</v>
      </c>
      <c r="L76" s="1275"/>
      <c r="M76" s="1275"/>
      <c r="N76" s="1275"/>
      <c r="O76" s="1259"/>
      <c r="P76" s="1035"/>
      <c r="R76" s="789"/>
      <c r="S76" s="789"/>
      <c r="T76" s="789"/>
      <c r="U76" s="789"/>
      <c r="V76" s="789"/>
      <c r="W76" s="789"/>
      <c r="X76" s="789"/>
      <c r="Y76" s="789"/>
      <c r="Z76" s="789"/>
      <c r="AA76" s="789"/>
      <c r="AB76" s="789"/>
      <c r="AC76" s="695"/>
      <c r="AD76" s="695"/>
      <c r="AE76" s="695"/>
      <c r="AF76" s="695"/>
      <c r="AG76" s="695"/>
    </row>
    <row r="77" spans="1:42" ht="15" customHeight="1">
      <c r="B77" s="1255"/>
      <c r="E77" s="704"/>
      <c r="F77" s="705"/>
      <c r="G77" s="705"/>
      <c r="H77" s="1273"/>
      <c r="I77" s="1273"/>
      <c r="J77" s="1277"/>
      <c r="K77" s="1278"/>
      <c r="L77" s="1275"/>
      <c r="M77" s="1267"/>
      <c r="N77" s="726"/>
      <c r="O77" s="1259"/>
      <c r="P77" s="1035"/>
      <c r="R77" s="807"/>
      <c r="S77" s="1249" t="s">
        <v>459</v>
      </c>
      <c r="T77" s="1204"/>
      <c r="U77" s="1250"/>
      <c r="W77" s="1251" t="s">
        <v>460</v>
      </c>
      <c r="X77" s="1206"/>
      <c r="Y77" s="1250"/>
    </row>
    <row r="78" spans="1:42" ht="15" customHeight="1">
      <c r="B78" s="1255"/>
      <c r="E78" s="704"/>
      <c r="F78" s="705"/>
      <c r="G78" s="705"/>
      <c r="H78" s="2934" t="s">
        <v>105</v>
      </c>
      <c r="I78" s="2934"/>
      <c r="J78" s="1279" t="s">
        <v>102</v>
      </c>
      <c r="K78" s="1280"/>
      <c r="L78" s="1281"/>
      <c r="M78" s="1282" t="e">
        <f>M80-M83</f>
        <v>#DIV/0!</v>
      </c>
      <c r="N78" s="726"/>
      <c r="O78" s="1259"/>
      <c r="P78" s="1035"/>
      <c r="R78" s="1160" t="s">
        <v>100</v>
      </c>
      <c r="S78" s="1208" t="s">
        <v>995</v>
      </c>
      <c r="T78" s="729" t="s">
        <v>996</v>
      </c>
      <c r="U78" s="1209" t="s">
        <v>997</v>
      </c>
      <c r="W78" s="1208" t="s">
        <v>995</v>
      </c>
      <c r="X78" s="729" t="s">
        <v>996</v>
      </c>
      <c r="Y78" s="1209" t="s">
        <v>997</v>
      </c>
    </row>
    <row r="79" spans="1:42" ht="15" customHeight="1">
      <c r="B79" s="1255"/>
      <c r="E79" s="704"/>
      <c r="F79" s="705"/>
      <c r="G79" s="705"/>
      <c r="H79" s="706"/>
      <c r="I79" s="722"/>
      <c r="J79" s="892"/>
      <c r="K79" s="1267"/>
      <c r="L79" s="1283"/>
      <c r="M79" s="1275"/>
      <c r="N79" s="1275"/>
      <c r="O79" s="1259"/>
      <c r="P79" s="1035"/>
      <c r="R79" s="1160" t="s">
        <v>998</v>
      </c>
      <c r="S79" s="1260"/>
      <c r="T79" s="1261" t="e">
        <f>K84</f>
        <v>#DIV/0!</v>
      </c>
      <c r="U79" s="1262">
        <v>0</v>
      </c>
      <c r="W79" s="1260"/>
      <c r="X79" s="836" t="e">
        <f>K81</f>
        <v>#VALUE!</v>
      </c>
      <c r="Y79" s="1262">
        <v>0</v>
      </c>
    </row>
    <row r="80" spans="1:42" ht="15" customHeight="1">
      <c r="B80" s="1255"/>
      <c r="E80" s="704"/>
      <c r="F80" s="705"/>
      <c r="G80" s="705"/>
      <c r="H80" s="2930" t="s">
        <v>1061</v>
      </c>
      <c r="I80" s="2931"/>
      <c r="J80" s="2928" t="s">
        <v>107</v>
      </c>
      <c r="K80" s="1284" t="e">
        <f>25*(V48-1)</f>
        <v>#DIV/0!</v>
      </c>
      <c r="L80" s="2928" t="s">
        <v>107</v>
      </c>
      <c r="M80" s="2922" t="e">
        <f>K80/K81</f>
        <v>#DIV/0!</v>
      </c>
      <c r="N80" s="726"/>
      <c r="O80" s="1259"/>
      <c r="P80" s="1035"/>
      <c r="R80" s="1160" t="s">
        <v>1001</v>
      </c>
      <c r="S80" s="1260"/>
      <c r="T80" s="1261" t="e">
        <f>K83</f>
        <v>#DIV/0!</v>
      </c>
      <c r="U80" s="1262">
        <v>0</v>
      </c>
      <c r="W80" s="1260"/>
      <c r="X80" s="836" t="e">
        <f>K80</f>
        <v>#DIV/0!</v>
      </c>
      <c r="Y80" s="1262">
        <v>0</v>
      </c>
    </row>
    <row r="81" spans="2:25" ht="15" customHeight="1">
      <c r="B81" s="1255"/>
      <c r="E81" s="704"/>
      <c r="F81" s="705"/>
      <c r="G81" s="705"/>
      <c r="H81" s="2931"/>
      <c r="I81" s="2931"/>
      <c r="J81" s="2929"/>
      <c r="K81" s="1285" t="e">
        <f>25*(5-V59)</f>
        <v>#VALUE!</v>
      </c>
      <c r="L81" s="2929"/>
      <c r="M81" s="2923"/>
      <c r="N81" s="726"/>
      <c r="O81" s="1259"/>
      <c r="P81" s="1035"/>
      <c r="R81" s="1214">
        <v>0</v>
      </c>
      <c r="S81" s="1270" t="e">
        <f>T79</f>
        <v>#DIV/0!</v>
      </c>
      <c r="T81" s="1271" t="e">
        <f>T79</f>
        <v>#DIV/0!</v>
      </c>
      <c r="U81" s="1209">
        <v>0.1</v>
      </c>
      <c r="V81" s="1272">
        <v>0</v>
      </c>
      <c r="W81" s="1215" t="e">
        <f>X79</f>
        <v>#VALUE!</v>
      </c>
      <c r="X81" s="1271" t="e">
        <f>X79</f>
        <v>#VALUE!</v>
      </c>
      <c r="Y81" s="1209">
        <v>0.1</v>
      </c>
    </row>
    <row r="82" spans="2:25" ht="15" customHeight="1" thickBot="1">
      <c r="B82" s="1255"/>
      <c r="E82" s="704"/>
      <c r="F82" s="705"/>
      <c r="G82" s="705"/>
      <c r="H82" s="1286"/>
      <c r="I82" s="1287"/>
      <c r="J82" s="1288"/>
      <c r="K82" s="1289"/>
      <c r="L82" s="1288"/>
      <c r="M82" s="1290" t="s">
        <v>445</v>
      </c>
      <c r="N82" s="726"/>
      <c r="O82" s="1259"/>
      <c r="P82" s="1035"/>
      <c r="R82" s="1214">
        <v>0</v>
      </c>
      <c r="S82" s="1276">
        <v>0</v>
      </c>
      <c r="T82" s="1219" t="e">
        <f>T80</f>
        <v>#DIV/0!</v>
      </c>
      <c r="U82" s="1220" t="e">
        <f>T80</f>
        <v>#DIV/0!</v>
      </c>
      <c r="V82" s="1272">
        <v>0</v>
      </c>
      <c r="W82" s="1276">
        <v>0</v>
      </c>
      <c r="X82" s="1219" t="e">
        <f>X80</f>
        <v>#DIV/0!</v>
      </c>
      <c r="Y82" s="1220" t="e">
        <f>X80</f>
        <v>#DIV/0!</v>
      </c>
    </row>
    <row r="83" spans="2:25" ht="15" customHeight="1">
      <c r="B83" s="1255"/>
      <c r="E83" s="704"/>
      <c r="F83" s="705"/>
      <c r="G83" s="705"/>
      <c r="H83" s="2930" t="s">
        <v>106</v>
      </c>
      <c r="I83" s="2931"/>
      <c r="J83" s="2928" t="s">
        <v>107</v>
      </c>
      <c r="K83" s="1284" t="e">
        <f>25*(T48-1)</f>
        <v>#DIV/0!</v>
      </c>
      <c r="L83" s="2928" t="s">
        <v>107</v>
      </c>
      <c r="M83" s="2924" t="e">
        <f>K83/K84</f>
        <v>#DIV/0!</v>
      </c>
      <c r="N83" s="726"/>
      <c r="O83" s="1259"/>
      <c r="P83" s="1035"/>
    </row>
    <row r="84" spans="2:25" ht="15" customHeight="1" thickBot="1">
      <c r="B84" s="1291"/>
      <c r="C84" s="1292"/>
      <c r="D84" s="1293"/>
      <c r="E84" s="1294"/>
      <c r="F84" s="920"/>
      <c r="G84" s="920"/>
      <c r="H84" s="2933"/>
      <c r="I84" s="2933"/>
      <c r="J84" s="2932"/>
      <c r="K84" s="1295" t="e">
        <f>25*(5-T59)</f>
        <v>#DIV/0!</v>
      </c>
      <c r="L84" s="2932"/>
      <c r="M84" s="2925"/>
      <c r="N84" s="922"/>
      <c r="O84" s="1296"/>
      <c r="P84" s="1035"/>
    </row>
    <row r="85" spans="2:25" ht="8.25" customHeight="1"/>
    <row r="86" spans="2:25" ht="15" customHeight="1"/>
    <row r="87" spans="2:25" ht="15" customHeight="1"/>
    <row r="88" spans="2:25" ht="19.5" customHeight="1"/>
    <row r="89" spans="2:25" ht="15.75" customHeight="1"/>
    <row r="90" spans="2:25" ht="15" hidden="1" customHeight="1"/>
    <row r="91" spans="2:25" ht="15" hidden="1" customHeight="1"/>
    <row r="92" spans="2:25" ht="15" hidden="1" customHeight="1"/>
    <row r="93" spans="2:25" ht="15" hidden="1" customHeight="1"/>
    <row r="94" spans="2:25" ht="15" hidden="1" customHeight="1"/>
    <row r="96" spans="2:25" ht="0" hidden="1" customHeight="1"/>
    <row r="97" ht="0" hidden="1" customHeight="1"/>
  </sheetData>
  <sheetProtection sheet="1" objects="1" scenarios="1"/>
  <mergeCells count="27">
    <mergeCell ref="Q2:Q5"/>
    <mergeCell ref="L69:O69"/>
    <mergeCell ref="L35:O38"/>
    <mergeCell ref="H36:K38"/>
    <mergeCell ref="N9:O10"/>
    <mergeCell ref="N12:O13"/>
    <mergeCell ref="N19:O19"/>
    <mergeCell ref="L65:O65"/>
    <mergeCell ref="L67:O67"/>
    <mergeCell ref="D11:E11"/>
    <mergeCell ref="B67:G67"/>
    <mergeCell ref="H67:K67"/>
    <mergeCell ref="B65:K65"/>
    <mergeCell ref="B69:G69"/>
    <mergeCell ref="H69:K69"/>
    <mergeCell ref="M80:M81"/>
    <mergeCell ref="M83:M84"/>
    <mergeCell ref="H73:I74"/>
    <mergeCell ref="J73:J74"/>
    <mergeCell ref="J75:J76"/>
    <mergeCell ref="H80:I81"/>
    <mergeCell ref="J80:J81"/>
    <mergeCell ref="L80:L81"/>
    <mergeCell ref="L83:L84"/>
    <mergeCell ref="H83:I84"/>
    <mergeCell ref="J83:J84"/>
    <mergeCell ref="H78:I78"/>
  </mergeCells>
  <phoneticPr fontId="20"/>
  <conditionalFormatting sqref="H27:K35">
    <cfRule type="expression" dxfId="83" priority="1" stopIfTrue="1">
      <formula>$V$36=$X$37</formula>
    </cfRule>
  </conditionalFormatting>
  <hyperlinks>
    <hyperlink ref="Q2:Q5" location="メイン!A1" tooltip="[メイン]シート" display="→"/>
  </hyperlinks>
  <printOptions horizontalCentered="1"/>
  <pageMargins left="0.59055118110236227" right="0.59055118110236227" top="0.78740157480314965" bottom="0.59055118110236227" header="0.51181102362204722" footer="0.51181102362204722"/>
  <pageSetup paperSize="9" scale="66" orientation="portrait" verticalDpi="4294967293" r:id="rId1"/>
  <headerFooter alignWithMargins="0">
    <oddHeader>&amp;L&amp;F&amp;R&amp;A</oddHeader>
    <oddFooter>&amp;C&amp;P/&amp;N</oddFooter>
  </headerFooter>
  <rowBreaks count="2" manualBreakCount="2">
    <brk id="70" max="16383" man="1"/>
    <brk id="89" max="16383"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sheetPr codeName="Sheet4">
    <pageSetUpPr autoPageBreaks="0"/>
  </sheetPr>
  <dimension ref="A1:AL181"/>
  <sheetViews>
    <sheetView showGridLines="0" zoomScaleNormal="100" workbookViewId="0">
      <selection activeCell="J3" sqref="J3"/>
    </sheetView>
  </sheetViews>
  <sheetFormatPr defaultColWidth="0" defaultRowHeight="0" customHeight="1" zeroHeight="1"/>
  <cols>
    <col min="1" max="1" width="2.25" style="187" customWidth="1"/>
    <col min="2" max="2" width="4.375" style="187" customWidth="1"/>
    <col min="3" max="3" width="5.25" style="188" customWidth="1"/>
    <col min="4" max="4" width="5.5" style="189" customWidth="1"/>
    <col min="5" max="5" width="24.75" style="187" customWidth="1"/>
    <col min="6" max="6" width="6.75" style="507" bestFit="1" customWidth="1"/>
    <col min="7" max="8" width="5" style="507" bestFit="1" customWidth="1"/>
    <col min="9" max="9" width="6.75" style="507" bestFit="1" customWidth="1"/>
    <col min="10" max="11" width="5" style="507" bestFit="1" customWidth="1"/>
    <col min="12" max="12" width="9.625" style="507" bestFit="1" customWidth="1"/>
    <col min="13" max="13" width="4.75" style="507" bestFit="1" customWidth="1"/>
    <col min="14" max="14" width="7.125" style="507" customWidth="1"/>
    <col min="15" max="15" width="4.75" style="190" bestFit="1" customWidth="1"/>
    <col min="16" max="16" width="7.125" style="190" customWidth="1"/>
    <col min="17" max="18" width="0" style="190" hidden="1" customWidth="1"/>
    <col min="19" max="19" width="9.625" style="190" customWidth="1"/>
    <col min="20" max="20" width="4.5" style="190" customWidth="1"/>
    <col min="21" max="21" width="7.125" style="191" customWidth="1"/>
    <col min="22" max="22" width="4.375" style="191" customWidth="1"/>
    <col min="23" max="23" width="7.125" style="191" customWidth="1"/>
    <col min="24" max="24" width="0" style="190" hidden="1" customWidth="1"/>
    <col min="25" max="25" width="7.375" style="190" hidden="1" customWidth="1"/>
    <col min="26" max="26" width="3.125" style="508" customWidth="1"/>
    <col min="27" max="33" width="0" style="193" hidden="1" customWidth="1"/>
    <col min="34" max="35" width="0" style="194" hidden="1" customWidth="1"/>
    <col min="36" max="38" width="0" style="6" hidden="1" customWidth="1"/>
    <col min="39" max="16384" width="8.5" style="6" hidden="1"/>
  </cols>
  <sheetData>
    <row r="1" spans="2:38" ht="6" customHeight="1">
      <c r="F1" s="190"/>
      <c r="G1" s="190"/>
      <c r="H1" s="190"/>
      <c r="I1" s="190"/>
      <c r="J1" s="190"/>
      <c r="K1" s="190"/>
      <c r="L1" s="190"/>
      <c r="M1" s="190"/>
      <c r="N1" s="190"/>
      <c r="Z1" s="191"/>
      <c r="AA1" s="192"/>
    </row>
    <row r="2" spans="2:38" ht="5.25" customHeight="1">
      <c r="B2" s="195"/>
      <c r="C2" s="196"/>
      <c r="D2" s="197"/>
      <c r="E2" s="195"/>
      <c r="F2" s="198"/>
      <c r="G2" s="198"/>
      <c r="H2" s="198"/>
      <c r="I2" s="198"/>
      <c r="J2" s="198"/>
      <c r="K2" s="198"/>
      <c r="L2" s="198"/>
      <c r="M2" s="198"/>
      <c r="N2" s="190"/>
      <c r="Z2" s="199"/>
      <c r="AA2" s="200"/>
    </row>
    <row r="3" spans="2:38" ht="17.25" customHeight="1">
      <c r="B3" s="201" t="s">
        <v>569</v>
      </c>
      <c r="C3" s="202"/>
      <c r="D3" s="203"/>
      <c r="E3" s="204"/>
      <c r="F3" s="198"/>
      <c r="G3" s="198"/>
      <c r="H3" s="198"/>
      <c r="I3" s="198"/>
      <c r="J3" s="198"/>
      <c r="K3" s="198"/>
      <c r="L3" s="198"/>
      <c r="M3" s="198"/>
      <c r="N3" s="190"/>
      <c r="Z3" s="205"/>
      <c r="AA3" s="206" t="s">
        <v>570</v>
      </c>
    </row>
    <row r="4" spans="2:38" ht="3.75" customHeight="1" thickBot="1">
      <c r="B4" s="207"/>
      <c r="C4" s="208"/>
      <c r="D4" s="209"/>
      <c r="F4" s="187"/>
      <c r="G4" s="187"/>
      <c r="H4" s="187"/>
      <c r="I4" s="187"/>
      <c r="J4" s="187"/>
      <c r="K4" s="187"/>
      <c r="L4" s="187"/>
      <c r="M4" s="187"/>
      <c r="N4" s="210"/>
      <c r="O4" s="210"/>
      <c r="P4" s="210"/>
      <c r="Q4" s="210"/>
      <c r="R4" s="210"/>
      <c r="S4" s="210"/>
      <c r="T4" s="210"/>
      <c r="U4" s="187"/>
      <c r="V4" s="187"/>
      <c r="W4" s="187"/>
      <c r="X4" s="210"/>
      <c r="Y4" s="210"/>
      <c r="Z4" s="205"/>
    </row>
    <row r="5" spans="2:38" ht="15" thickBot="1">
      <c r="B5" s="211"/>
      <c r="C5" s="212"/>
      <c r="D5" s="213"/>
      <c r="E5" s="214" t="str">
        <f>IF(メイン!H38=0,"",メイン!H38)</f>
        <v/>
      </c>
      <c r="F5" s="215"/>
      <c r="G5" s="215"/>
      <c r="H5" s="215"/>
      <c r="I5" s="215"/>
      <c r="J5" s="215"/>
      <c r="K5" s="215"/>
      <c r="L5" s="216" t="s">
        <v>571</v>
      </c>
      <c r="M5" s="217"/>
      <c r="N5" s="217"/>
      <c r="O5" s="218"/>
      <c r="P5" s="219"/>
      <c r="Q5" s="220"/>
      <c r="R5" s="220"/>
      <c r="S5" s="216" t="s">
        <v>572</v>
      </c>
      <c r="T5" s="217"/>
      <c r="U5" s="217"/>
      <c r="V5" s="220"/>
      <c r="W5" s="221"/>
      <c r="X5" s="220"/>
      <c r="Y5" s="221"/>
      <c r="Z5" s="205"/>
      <c r="AA5" s="222" t="s">
        <v>573</v>
      </c>
      <c r="AH5" s="223" t="s">
        <v>574</v>
      </c>
    </row>
    <row r="6" spans="2:38" ht="25.5" customHeight="1">
      <c r="B6" s="224"/>
      <c r="C6" s="225"/>
      <c r="D6" s="226"/>
      <c r="E6" s="227"/>
      <c r="F6" s="228" t="s">
        <v>575</v>
      </c>
      <c r="G6" s="229"/>
      <c r="H6" s="229"/>
      <c r="I6" s="228" t="s">
        <v>576</v>
      </c>
      <c r="J6" s="229"/>
      <c r="K6" s="229"/>
      <c r="L6" s="230"/>
      <c r="M6" s="2947" t="s">
        <v>577</v>
      </c>
      <c r="N6" s="2948"/>
      <c r="O6" s="2945" t="s">
        <v>578</v>
      </c>
      <c r="P6" s="2946"/>
      <c r="Q6" s="231"/>
      <c r="R6" s="231"/>
      <c r="S6" s="232"/>
      <c r="T6" s="2947" t="s">
        <v>577</v>
      </c>
      <c r="U6" s="2948"/>
      <c r="V6" s="2945" t="s">
        <v>578</v>
      </c>
      <c r="W6" s="2946"/>
      <c r="X6" s="231"/>
      <c r="Y6" s="233"/>
      <c r="Z6" s="205"/>
      <c r="AA6" s="234">
        <f>重み_後!D7</f>
        <v>1</v>
      </c>
      <c r="AB6" s="234">
        <f>重み_後!E7</f>
        <v>0</v>
      </c>
      <c r="AC6" s="235"/>
      <c r="AD6" s="235"/>
      <c r="AE6" s="235"/>
      <c r="AF6" s="235"/>
      <c r="AG6" s="235"/>
      <c r="AH6" s="236">
        <f>重み_後!H7</f>
        <v>0</v>
      </c>
      <c r="AI6" s="236">
        <f>重み_後!I7</f>
        <v>0</v>
      </c>
      <c r="AJ6" s="237"/>
      <c r="AK6" s="237"/>
      <c r="AL6" s="237"/>
    </row>
    <row r="7" spans="2:38" ht="27.75" customHeight="1">
      <c r="B7" s="238" t="s">
        <v>579</v>
      </c>
      <c r="C7" s="239"/>
      <c r="D7" s="240"/>
      <c r="E7" s="1993" t="s">
        <v>580</v>
      </c>
      <c r="F7" s="242" t="s">
        <v>583</v>
      </c>
      <c r="G7" s="243" t="s">
        <v>459</v>
      </c>
      <c r="H7" s="243" t="s">
        <v>460</v>
      </c>
      <c r="I7" s="242" t="s">
        <v>584</v>
      </c>
      <c r="J7" s="243" t="s">
        <v>459</v>
      </c>
      <c r="K7" s="242" t="s">
        <v>460</v>
      </c>
      <c r="L7" s="244" t="s">
        <v>585</v>
      </c>
      <c r="M7" s="245" t="s">
        <v>586</v>
      </c>
      <c r="N7" s="246" t="s">
        <v>587</v>
      </c>
      <c r="O7" s="245" t="s">
        <v>586</v>
      </c>
      <c r="P7" s="246" t="s">
        <v>587</v>
      </c>
      <c r="Q7" s="245"/>
      <c r="R7" s="247"/>
      <c r="S7" s="244" t="s">
        <v>585</v>
      </c>
      <c r="T7" s="245" t="s">
        <v>586</v>
      </c>
      <c r="U7" s="246" t="s">
        <v>587</v>
      </c>
      <c r="V7" s="245" t="s">
        <v>586</v>
      </c>
      <c r="W7" s="246" t="s">
        <v>587</v>
      </c>
      <c r="X7" s="248"/>
      <c r="Y7" s="249"/>
      <c r="Z7" s="205"/>
      <c r="AA7" s="250" t="s">
        <v>588</v>
      </c>
      <c r="AB7" s="250" t="s">
        <v>589</v>
      </c>
      <c r="AC7" s="251" t="s">
        <v>590</v>
      </c>
      <c r="AD7" s="251"/>
      <c r="AE7" s="251" t="s">
        <v>591</v>
      </c>
      <c r="AF7" s="251"/>
      <c r="AG7" s="251"/>
      <c r="AH7" s="252" t="s">
        <v>588</v>
      </c>
      <c r="AI7" s="252" t="s">
        <v>589</v>
      </c>
      <c r="AJ7" s="251" t="s">
        <v>590</v>
      </c>
      <c r="AK7" s="251"/>
      <c r="AL7" s="251" t="s">
        <v>591</v>
      </c>
    </row>
    <row r="8" spans="2:38" ht="15" thickBot="1">
      <c r="B8" s="253" t="s">
        <v>592</v>
      </c>
      <c r="C8" s="254"/>
      <c r="D8" s="255"/>
      <c r="E8" s="256"/>
      <c r="F8" s="259"/>
      <c r="G8" s="259"/>
      <c r="H8" s="258"/>
      <c r="I8" s="259"/>
      <c r="J8" s="259"/>
      <c r="K8" s="260"/>
      <c r="L8" s="257"/>
      <c r="M8" s="261"/>
      <c r="N8" s="262"/>
      <c r="O8" s="263"/>
      <c r="P8" s="262"/>
      <c r="Q8" s="264"/>
      <c r="R8" s="257"/>
      <c r="S8" s="257"/>
      <c r="T8" s="261"/>
      <c r="U8" s="262"/>
      <c r="V8" s="263"/>
      <c r="W8" s="262"/>
      <c r="X8" s="264"/>
      <c r="Y8" s="257"/>
      <c r="Z8" s="205"/>
      <c r="AA8" s="265">
        <f>重み_前!M8</f>
        <v>0</v>
      </c>
      <c r="AB8" s="265">
        <f>重み_後!N8</f>
        <v>0</v>
      </c>
      <c r="AC8" s="235"/>
      <c r="AD8" s="235"/>
      <c r="AE8" s="235"/>
      <c r="AF8" s="235"/>
      <c r="AG8" s="235"/>
      <c r="AH8" s="236">
        <f>重み_前!N8</f>
        <v>0</v>
      </c>
      <c r="AI8" s="236">
        <f>重み_後!O8</f>
        <v>0</v>
      </c>
      <c r="AJ8" s="235"/>
      <c r="AK8" s="235"/>
      <c r="AL8" s="235"/>
    </row>
    <row r="9" spans="2:38" ht="14.25" thickBot="1">
      <c r="B9" s="266" t="s">
        <v>593</v>
      </c>
      <c r="C9" s="267" t="s">
        <v>594</v>
      </c>
      <c r="D9" s="267"/>
      <c r="E9" s="267"/>
      <c r="F9" s="270"/>
      <c r="G9" s="270"/>
      <c r="H9" s="270"/>
      <c r="I9" s="270"/>
      <c r="J9" s="271"/>
      <c r="K9" s="270"/>
      <c r="L9" s="268"/>
      <c r="M9" s="272"/>
      <c r="N9" s="273"/>
      <c r="O9" s="274"/>
      <c r="P9" s="273"/>
      <c r="Q9" s="275"/>
      <c r="R9" s="268"/>
      <c r="S9" s="268"/>
      <c r="T9" s="272"/>
      <c r="U9" s="273"/>
      <c r="V9" s="274"/>
      <c r="W9" s="273"/>
      <c r="X9" s="275"/>
      <c r="Y9" s="268"/>
      <c r="Z9" s="205"/>
      <c r="AA9" s="265" t="e">
        <f>重み_前!M9</f>
        <v>#DIV/0!</v>
      </c>
      <c r="AB9" s="265" t="e">
        <f>重み_後!N9</f>
        <v>#DIV/0!</v>
      </c>
      <c r="AC9" s="235" t="e">
        <f>重み_前!D9</f>
        <v>#DIV/0!</v>
      </c>
      <c r="AD9" s="235"/>
      <c r="AE9" s="235" t="e">
        <f>重み_後!D9</f>
        <v>#DIV/0!</v>
      </c>
      <c r="AF9" s="235"/>
      <c r="AG9" s="235"/>
      <c r="AH9" s="236" t="e">
        <f>重み_前!N9</f>
        <v>#DIV/0!</v>
      </c>
      <c r="AI9" s="236" t="e">
        <f>重み_後!O9</f>
        <v>#DIV/0!</v>
      </c>
      <c r="AJ9" s="235" t="e">
        <f>重み_前!E9</f>
        <v>#DIV/0!</v>
      </c>
      <c r="AK9" s="235"/>
      <c r="AL9" s="235" t="e">
        <f>重み_後!E9</f>
        <v>#DIV/0!</v>
      </c>
    </row>
    <row r="10" spans="2:38" ht="14.25" thickBot="1">
      <c r="B10" s="276">
        <v>1</v>
      </c>
      <c r="C10" s="277" t="s">
        <v>595</v>
      </c>
      <c r="D10" s="278"/>
      <c r="E10" s="279"/>
      <c r="F10" s="280" t="s">
        <v>596</v>
      </c>
      <c r="G10" s="280" t="s">
        <v>596</v>
      </c>
      <c r="H10" s="280" t="s">
        <v>597</v>
      </c>
      <c r="I10" s="281"/>
      <c r="J10" s="281"/>
      <c r="K10" s="282"/>
      <c r="L10" s="283" t="str">
        <f>IF(COUNTIF(L11:L19,$AA$3)&gt;=ROWS(L11:L19),$AA$3,"")</f>
        <v/>
      </c>
      <c r="M10" s="284"/>
      <c r="N10" s="285"/>
      <c r="O10" s="282"/>
      <c r="P10" s="285"/>
      <c r="Q10" s="286" t="str">
        <f t="shared" ref="Q10:Q40" si="0">IF(L10=$AA$3,$F10,$G10)</f>
        <v>EB</v>
      </c>
      <c r="R10" s="287" t="str">
        <f t="shared" ref="R10:R40" si="1">IF(L10=$AA$3,$F10,$H10)</f>
        <v>NC</v>
      </c>
      <c r="S10" s="283" t="str">
        <f>IF(COUNTIF(S11:S19,$AA$3)&gt;=ROWS(S11:S19),$AA$3,"")</f>
        <v/>
      </c>
      <c r="T10" s="284"/>
      <c r="U10" s="285"/>
      <c r="V10" s="282"/>
      <c r="W10" s="285"/>
      <c r="X10" s="286" t="str">
        <f t="shared" ref="X10:X42" si="2">IF(S10=$AA$3,$F10,$G10)</f>
        <v>EB</v>
      </c>
      <c r="Y10" s="287" t="str">
        <f t="shared" ref="Y10:Y42" si="3">IF(S10=$AA$3,$F10,$H10)</f>
        <v>NC</v>
      </c>
      <c r="Z10" s="205"/>
      <c r="AA10" s="265" t="e">
        <f>重み_前!M10</f>
        <v>#DIV/0!</v>
      </c>
      <c r="AB10" s="265" t="e">
        <f>重み_後!N10</f>
        <v>#DIV/0!</v>
      </c>
      <c r="AC10" s="235" t="e">
        <f>重み_前!D10</f>
        <v>#DIV/0!</v>
      </c>
      <c r="AD10" s="235"/>
      <c r="AE10" s="235" t="e">
        <f>重み_後!D10</f>
        <v>#DIV/0!</v>
      </c>
      <c r="AF10" s="235"/>
      <c r="AG10" s="235"/>
      <c r="AH10" s="236">
        <f>重み_前!N10</f>
        <v>1</v>
      </c>
      <c r="AI10" s="236" t="e">
        <f>重み_後!O10</f>
        <v>#DIV/0!</v>
      </c>
      <c r="AJ10" s="235" t="e">
        <f>重み_前!E10</f>
        <v>#DIV/0!</v>
      </c>
      <c r="AK10" s="235"/>
      <c r="AL10" s="235" t="e">
        <f>重み_後!E10</f>
        <v>#DIV/0!</v>
      </c>
    </row>
    <row r="11" spans="2:38" ht="14.25" thickBot="1">
      <c r="B11" s="288"/>
      <c r="C11" s="289">
        <v>1.1000000000000001</v>
      </c>
      <c r="D11" s="290" t="s">
        <v>598</v>
      </c>
      <c r="E11" s="291"/>
      <c r="F11" s="280" t="s">
        <v>596</v>
      </c>
      <c r="G11" s="280" t="s">
        <v>596</v>
      </c>
      <c r="H11" s="280" t="s">
        <v>597</v>
      </c>
      <c r="I11" s="280" t="s">
        <v>421</v>
      </c>
      <c r="J11" s="280" t="s">
        <v>421</v>
      </c>
      <c r="K11" s="298" t="s">
        <v>137</v>
      </c>
      <c r="L11" s="437"/>
      <c r="M11" s="300" t="str">
        <f>IF(L11=$AA$3,$I11,$J11)</f>
        <v>EB</v>
      </c>
      <c r="N11" s="437">
        <v>3</v>
      </c>
      <c r="O11" s="300" t="str">
        <f>IF(L11=$AA$3,$I11,$K11)</f>
        <v>NC</v>
      </c>
      <c r="P11" s="437">
        <v>3</v>
      </c>
      <c r="Q11" s="302" t="str">
        <f t="shared" ref="Q11" si="4">IF(L11=$AA$3,$F11,$G11)</f>
        <v>EB</v>
      </c>
      <c r="R11" s="299" t="str">
        <f t="shared" ref="R11" si="5">IF(L11=$AA$3,$F11,$H11)</f>
        <v>NC</v>
      </c>
      <c r="S11" s="437"/>
      <c r="T11" s="300" t="str">
        <f>IF(S11=$AA$3,$I11,$J11)</f>
        <v>EB</v>
      </c>
      <c r="U11" s="437">
        <v>3</v>
      </c>
      <c r="V11" s="300" t="str">
        <f>IF(S11=$AA$3,$I11,$K11)</f>
        <v>NC</v>
      </c>
      <c r="W11" s="437">
        <v>0</v>
      </c>
      <c r="X11" s="302" t="str">
        <f t="shared" ref="X11" si="6">IF(S11=$AA$3,$F11,$G11)</f>
        <v>EB</v>
      </c>
      <c r="Y11" s="299" t="str">
        <f t="shared" ref="Y11" si="7">IF(S11=$AA$3,$F11,$H11)</f>
        <v>NC</v>
      </c>
      <c r="Z11" s="205"/>
      <c r="AA11" s="265" t="e">
        <f>重み_前!M11</f>
        <v>#DIV/0!</v>
      </c>
      <c r="AB11" s="265" t="e">
        <f>重み_後!N11</f>
        <v>#DIV/0!</v>
      </c>
      <c r="AC11" s="235" t="e">
        <f>重み_前!D11</f>
        <v>#DIV/0!</v>
      </c>
      <c r="AD11" s="235"/>
      <c r="AE11" s="235" t="e">
        <f>重み_後!D11</f>
        <v>#DIV/0!</v>
      </c>
      <c r="AF11" s="235"/>
      <c r="AG11" s="235"/>
      <c r="AH11" s="236" t="e">
        <f>重み_前!N11</f>
        <v>#DIV/0!</v>
      </c>
      <c r="AI11" s="236" t="e">
        <f>重み_後!O11</f>
        <v>#DIV/0!</v>
      </c>
      <c r="AJ11" s="235" t="e">
        <f>重み_前!E11</f>
        <v>#DIV/0!</v>
      </c>
      <c r="AK11" s="235"/>
      <c r="AL11" s="235" t="e">
        <f>重み_後!E11</f>
        <v>#DIV/0!</v>
      </c>
    </row>
    <row r="12" spans="2:38" ht="13.5" hidden="1">
      <c r="B12" s="288"/>
      <c r="C12" s="296"/>
      <c r="D12" s="2106">
        <v>1</v>
      </c>
      <c r="E12" s="2408" t="s">
        <v>803</v>
      </c>
      <c r="F12" s="280" t="s">
        <v>596</v>
      </c>
      <c r="G12" s="280" t="s">
        <v>596</v>
      </c>
      <c r="H12" s="280" t="s">
        <v>597</v>
      </c>
      <c r="I12" s="280" t="s">
        <v>596</v>
      </c>
      <c r="J12" s="280" t="s">
        <v>596</v>
      </c>
      <c r="K12" s="298" t="s">
        <v>597</v>
      </c>
      <c r="L12" s="299"/>
      <c r="M12" s="300" t="str">
        <f>IF(L12=$AA$3,$I12,$J12)</f>
        <v>EB</v>
      </c>
      <c r="N12" s="301"/>
      <c r="O12" s="300" t="str">
        <f>IF(L12=$AA$3,$I12,$K12)</f>
        <v>NC</v>
      </c>
      <c r="P12" s="301"/>
      <c r="Q12" s="302" t="str">
        <f t="shared" si="0"/>
        <v>EB</v>
      </c>
      <c r="R12" s="299" t="str">
        <f t="shared" si="1"/>
        <v>NC</v>
      </c>
      <c r="S12" s="299"/>
      <c r="T12" s="300" t="str">
        <f>IF(S12=$AA$3,$I12,$J12)</f>
        <v>EB</v>
      </c>
      <c r="U12" s="301"/>
      <c r="V12" s="300" t="str">
        <f>IF(S12=$AA$3,$I12,$K12)</f>
        <v>NC</v>
      </c>
      <c r="W12" s="301">
        <v>0</v>
      </c>
      <c r="X12" s="302" t="str">
        <f t="shared" si="2"/>
        <v>EB</v>
      </c>
      <c r="Y12" s="299" t="str">
        <f t="shared" si="3"/>
        <v>NC</v>
      </c>
      <c r="Z12" s="205"/>
      <c r="AA12" s="265" t="e">
        <f>重み_前!M12</f>
        <v>#DIV/0!</v>
      </c>
      <c r="AB12" s="265">
        <f>重み_後!N12</f>
        <v>0</v>
      </c>
      <c r="AC12" s="235">
        <f>重み_前!D12</f>
        <v>0</v>
      </c>
      <c r="AD12" s="235"/>
      <c r="AE12" s="235">
        <f>重み_後!D12</f>
        <v>0</v>
      </c>
      <c r="AF12" s="235"/>
      <c r="AG12" s="235"/>
      <c r="AH12" s="236" t="e">
        <f>重み_前!N12</f>
        <v>#DIV/0!</v>
      </c>
      <c r="AI12" s="236">
        <f>重み_後!O12</f>
        <v>0</v>
      </c>
      <c r="AJ12" s="235">
        <f>重み_前!E12</f>
        <v>0</v>
      </c>
      <c r="AK12" s="235"/>
      <c r="AL12" s="235">
        <f>重み_後!E12</f>
        <v>0</v>
      </c>
    </row>
    <row r="13" spans="2:38" ht="14.25" hidden="1" thickBot="1">
      <c r="B13" s="288"/>
      <c r="C13" s="303"/>
      <c r="D13" s="2106">
        <v>2</v>
      </c>
      <c r="E13" s="2409" t="s">
        <v>802</v>
      </c>
      <c r="F13" s="280" t="s">
        <v>601</v>
      </c>
      <c r="G13" s="280" t="s">
        <v>601</v>
      </c>
      <c r="H13" s="280" t="s">
        <v>602</v>
      </c>
      <c r="I13" s="280">
        <v>0</v>
      </c>
      <c r="J13" s="280">
        <v>0</v>
      </c>
      <c r="K13" s="298" t="s">
        <v>602</v>
      </c>
      <c r="L13" s="305"/>
      <c r="M13" s="300">
        <f>IF(L13=$AA$3,$I13,$J13)</f>
        <v>0</v>
      </c>
      <c r="N13" s="306"/>
      <c r="O13" s="298" t="str">
        <f>IF(L13=$AA$3,$I13,$K13)</f>
        <v>NC</v>
      </c>
      <c r="P13" s="306"/>
      <c r="Q13" s="307" t="str">
        <f t="shared" si="0"/>
        <v>EB</v>
      </c>
      <c r="R13" s="305" t="str">
        <f t="shared" si="1"/>
        <v>NC</v>
      </c>
      <c r="S13" s="305"/>
      <c r="T13" s="300">
        <f>IF(S13=$AA$3,$I13,$J13)</f>
        <v>0</v>
      </c>
      <c r="U13" s="306"/>
      <c r="V13" s="298" t="str">
        <f>IF(S13=$AA$3,$I13,$K13)</f>
        <v>NC</v>
      </c>
      <c r="W13" s="306">
        <v>0</v>
      </c>
      <c r="X13" s="307" t="str">
        <f t="shared" si="2"/>
        <v>EB</v>
      </c>
      <c r="Y13" s="305" t="str">
        <f t="shared" si="3"/>
        <v>NC</v>
      </c>
      <c r="Z13" s="205"/>
      <c r="AA13" s="265" t="e">
        <f>重み_前!M13</f>
        <v>#DIV/0!</v>
      </c>
      <c r="AB13" s="265">
        <f>重み_後!N13</f>
        <v>0</v>
      </c>
      <c r="AC13" s="235">
        <f>重み_前!D13</f>
        <v>0</v>
      </c>
      <c r="AD13" s="235"/>
      <c r="AE13" s="235">
        <f>重み_後!D13</f>
        <v>0</v>
      </c>
      <c r="AF13" s="235"/>
      <c r="AG13" s="235"/>
      <c r="AH13" s="236" t="e">
        <f>重み_前!N13</f>
        <v>#DIV/0!</v>
      </c>
      <c r="AI13" s="236">
        <f>重み_後!O13</f>
        <v>0</v>
      </c>
      <c r="AJ13" s="235">
        <f>重み_前!E13</f>
        <v>0</v>
      </c>
      <c r="AK13" s="235"/>
      <c r="AL13" s="235">
        <f>重み_後!E13</f>
        <v>0</v>
      </c>
    </row>
    <row r="14" spans="2:38" ht="14.25" thickBot="1">
      <c r="B14" s="288"/>
      <c r="C14" s="289">
        <v>1.2</v>
      </c>
      <c r="D14" s="290" t="s">
        <v>603</v>
      </c>
      <c r="E14" s="76"/>
      <c r="F14" s="280" t="s">
        <v>601</v>
      </c>
      <c r="G14" s="280" t="s">
        <v>601</v>
      </c>
      <c r="H14" s="280" t="s">
        <v>604</v>
      </c>
      <c r="I14" s="280"/>
      <c r="J14" s="280"/>
      <c r="K14" s="298"/>
      <c r="L14" s="295" t="str">
        <f>IF(COUNTIF(L15:L18,$AA$3)&gt;=ROWS(L15:L18),$AA$3,"")</f>
        <v/>
      </c>
      <c r="M14" s="300"/>
      <c r="N14" s="309"/>
      <c r="O14" s="298"/>
      <c r="P14" s="309"/>
      <c r="Q14" s="310" t="str">
        <f t="shared" si="0"/>
        <v>EB</v>
      </c>
      <c r="R14" s="311" t="str">
        <f t="shared" si="1"/>
        <v>NC</v>
      </c>
      <c r="S14" s="295" t="str">
        <f>IF(COUNTIF(S15:S18,$AA$3)&gt;=ROWS(S15:S18),$AA$3,"")</f>
        <v/>
      </c>
      <c r="T14" s="300"/>
      <c r="U14" s="309"/>
      <c r="V14" s="298"/>
      <c r="W14" s="309"/>
      <c r="X14" s="310" t="str">
        <f t="shared" si="2"/>
        <v>EB</v>
      </c>
      <c r="Y14" s="311" t="str">
        <f t="shared" si="3"/>
        <v>NC</v>
      </c>
      <c r="Z14" s="205"/>
      <c r="AA14" s="265" t="e">
        <f>重み_前!M14</f>
        <v>#DIV/0!</v>
      </c>
      <c r="AB14" s="265" t="e">
        <f>重み_後!N14</f>
        <v>#DIV/0!</v>
      </c>
      <c r="AC14" s="235" t="e">
        <f>重み_前!D14</f>
        <v>#DIV/0!</v>
      </c>
      <c r="AD14" s="235"/>
      <c r="AE14" s="235" t="e">
        <f>重み_後!D14</f>
        <v>#DIV/0!</v>
      </c>
      <c r="AF14" s="235"/>
      <c r="AG14" s="235"/>
      <c r="AH14" s="236" t="e">
        <f>重み_前!N14</f>
        <v>#DIV/0!</v>
      </c>
      <c r="AI14" s="236" t="e">
        <f>重み_後!O14</f>
        <v>#DIV/0!</v>
      </c>
      <c r="AJ14" s="235" t="e">
        <f>重み_前!E14</f>
        <v>#DIV/0!</v>
      </c>
      <c r="AK14" s="235"/>
      <c r="AL14" s="235" t="e">
        <f>重み_後!E14</f>
        <v>#DIV/0!</v>
      </c>
    </row>
    <row r="15" spans="2:38" ht="13.5">
      <c r="B15" s="288"/>
      <c r="C15" s="308"/>
      <c r="D15" s="297">
        <v>1</v>
      </c>
      <c r="E15" s="304" t="s">
        <v>605</v>
      </c>
      <c r="F15" s="280" t="s">
        <v>601</v>
      </c>
      <c r="G15" s="280" t="s">
        <v>601</v>
      </c>
      <c r="H15" s="280" t="s">
        <v>602</v>
      </c>
      <c r="I15" s="280">
        <v>0</v>
      </c>
      <c r="J15" s="280">
        <v>0</v>
      </c>
      <c r="K15" s="298" t="s">
        <v>602</v>
      </c>
      <c r="L15" s="299"/>
      <c r="M15" s="300">
        <f>IF(L15=$AA$3,$I15,$J15)</f>
        <v>0</v>
      </c>
      <c r="N15" s="301">
        <v>0</v>
      </c>
      <c r="O15" s="298" t="str">
        <f>IF(L15=$AA$3,$I15,$K15)</f>
        <v>NC</v>
      </c>
      <c r="P15" s="301">
        <v>3</v>
      </c>
      <c r="Q15" s="302" t="str">
        <f t="shared" si="0"/>
        <v>EB</v>
      </c>
      <c r="R15" s="299" t="str">
        <f t="shared" si="1"/>
        <v>NC</v>
      </c>
      <c r="S15" s="299"/>
      <c r="T15" s="300">
        <f>IF(S15=$AA$3,$I15,$J15)</f>
        <v>0</v>
      </c>
      <c r="U15" s="301">
        <v>0</v>
      </c>
      <c r="V15" s="298" t="str">
        <f>IF(S15=$AA$3,$I15,$K15)</f>
        <v>NC</v>
      </c>
      <c r="W15" s="301">
        <v>0</v>
      </c>
      <c r="X15" s="302" t="str">
        <f t="shared" si="2"/>
        <v>EB</v>
      </c>
      <c r="Y15" s="299" t="str">
        <f t="shared" si="3"/>
        <v>NC</v>
      </c>
      <c r="Z15" s="205"/>
      <c r="AA15" s="265" t="e">
        <f>重み_前!M15</f>
        <v>#DIV/0!</v>
      </c>
      <c r="AB15" s="265" t="e">
        <f>重み_後!N15</f>
        <v>#DIV/0!</v>
      </c>
      <c r="AC15" s="235" t="e">
        <f>重み_前!D15</f>
        <v>#DIV/0!</v>
      </c>
      <c r="AD15" s="235"/>
      <c r="AE15" s="235" t="e">
        <f>重み_後!D15</f>
        <v>#DIV/0!</v>
      </c>
      <c r="AF15" s="235"/>
      <c r="AG15" s="235"/>
      <c r="AH15" s="236" t="e">
        <f>重み_前!N15</f>
        <v>#DIV/0!</v>
      </c>
      <c r="AI15" s="236" t="e">
        <f>重み_後!O15</f>
        <v>#DIV/0!</v>
      </c>
      <c r="AJ15" s="235" t="e">
        <f>重み_前!E15</f>
        <v>#DIV/0!</v>
      </c>
      <c r="AK15" s="235"/>
      <c r="AL15" s="235" t="e">
        <f>重み_後!E15</f>
        <v>#DIV/0!</v>
      </c>
    </row>
    <row r="16" spans="2:38" ht="13.5">
      <c r="B16" s="288"/>
      <c r="C16" s="296"/>
      <c r="D16" s="297">
        <v>2</v>
      </c>
      <c r="E16" s="304" t="s">
        <v>606</v>
      </c>
      <c r="F16" s="280" t="s">
        <v>601</v>
      </c>
      <c r="G16" s="280" t="s">
        <v>601</v>
      </c>
      <c r="H16" s="280" t="s">
        <v>602</v>
      </c>
      <c r="I16" s="280" t="s">
        <v>601</v>
      </c>
      <c r="J16" s="280" t="s">
        <v>601</v>
      </c>
      <c r="K16" s="298" t="s">
        <v>602</v>
      </c>
      <c r="L16" s="312"/>
      <c r="M16" s="300" t="str">
        <f>IF(L16=$AA$3,$I16,$J16)</f>
        <v>EB</v>
      </c>
      <c r="N16" s="313">
        <v>3</v>
      </c>
      <c r="O16" s="298" t="str">
        <f>IF(L16=$AA$3,$I16,$K16)</f>
        <v>NC</v>
      </c>
      <c r="P16" s="313">
        <v>3</v>
      </c>
      <c r="Q16" s="314" t="str">
        <f t="shared" si="0"/>
        <v>EB</v>
      </c>
      <c r="R16" s="312" t="str">
        <f t="shared" si="1"/>
        <v>NC</v>
      </c>
      <c r="S16" s="312"/>
      <c r="T16" s="300" t="str">
        <f>IF(S16=$AA$3,$I16,$J16)</f>
        <v>EB</v>
      </c>
      <c r="U16" s="313">
        <v>3</v>
      </c>
      <c r="V16" s="298" t="str">
        <f>IF(S16=$AA$3,$I16,$K16)</f>
        <v>NC</v>
      </c>
      <c r="W16" s="313">
        <v>0</v>
      </c>
      <c r="X16" s="314" t="str">
        <f t="shared" si="2"/>
        <v>EB</v>
      </c>
      <c r="Y16" s="312" t="str">
        <f t="shared" si="3"/>
        <v>NC</v>
      </c>
      <c r="Z16" s="205"/>
      <c r="AA16" s="265" t="e">
        <f>重み_前!M16</f>
        <v>#DIV/0!</v>
      </c>
      <c r="AB16" s="265" t="e">
        <f>重み_後!N16</f>
        <v>#DIV/0!</v>
      </c>
      <c r="AC16" s="235" t="e">
        <f>重み_前!D16</f>
        <v>#DIV/0!</v>
      </c>
      <c r="AD16" s="235"/>
      <c r="AE16" s="235" t="e">
        <f>重み_後!D16</f>
        <v>#DIV/0!</v>
      </c>
      <c r="AF16" s="235"/>
      <c r="AG16" s="235"/>
      <c r="AH16" s="236" t="e">
        <f>重み_前!N16</f>
        <v>#DIV/0!</v>
      </c>
      <c r="AI16" s="236" t="e">
        <f>重み_後!O16</f>
        <v>#DIV/0!</v>
      </c>
      <c r="AJ16" s="235" t="e">
        <f>重み_前!E16</f>
        <v>#DIV/0!</v>
      </c>
      <c r="AK16" s="235"/>
      <c r="AL16" s="235" t="e">
        <f>重み_後!E16</f>
        <v>#DIV/0!</v>
      </c>
    </row>
    <row r="17" spans="2:38" ht="13.5">
      <c r="B17" s="288"/>
      <c r="C17" s="296"/>
      <c r="D17" s="297">
        <v>3</v>
      </c>
      <c r="E17" s="346" t="s">
        <v>804</v>
      </c>
      <c r="F17" s="280" t="s">
        <v>601</v>
      </c>
      <c r="G17" s="280" t="s">
        <v>601</v>
      </c>
      <c r="H17" s="280" t="s">
        <v>602</v>
      </c>
      <c r="I17" s="280" t="s">
        <v>601</v>
      </c>
      <c r="J17" s="280" t="s">
        <v>601</v>
      </c>
      <c r="K17" s="298" t="s">
        <v>602</v>
      </c>
      <c r="L17" s="312"/>
      <c r="M17" s="300" t="str">
        <f>IF(L17=$AA$3,$I17,$J17)</f>
        <v>EB</v>
      </c>
      <c r="N17" s="313">
        <v>0</v>
      </c>
      <c r="O17" s="298" t="str">
        <f>IF(L17=$AA$3,$I17,$K17)</f>
        <v>NC</v>
      </c>
      <c r="P17" s="313">
        <v>0</v>
      </c>
      <c r="Q17" s="314" t="str">
        <f t="shared" si="0"/>
        <v>EB</v>
      </c>
      <c r="R17" s="312" t="str">
        <f t="shared" si="1"/>
        <v>NC</v>
      </c>
      <c r="S17" s="312"/>
      <c r="T17" s="300" t="str">
        <f>IF(S17=$AA$3,$I17,$J17)</f>
        <v>EB</v>
      </c>
      <c r="U17" s="313">
        <v>3</v>
      </c>
      <c r="V17" s="298" t="str">
        <f>IF(S17=$AA$3,$I17,$K17)</f>
        <v>NC</v>
      </c>
      <c r="W17" s="313">
        <v>0</v>
      </c>
      <c r="X17" s="314" t="str">
        <f t="shared" si="2"/>
        <v>EB</v>
      </c>
      <c r="Y17" s="312" t="str">
        <f t="shared" si="3"/>
        <v>NC</v>
      </c>
      <c r="Z17" s="205"/>
      <c r="AA17" s="265" t="e">
        <f>重み_前!M17</f>
        <v>#DIV/0!</v>
      </c>
      <c r="AB17" s="265" t="e">
        <f>重み_後!N17</f>
        <v>#DIV/0!</v>
      </c>
      <c r="AC17" s="235" t="e">
        <f>重み_前!D17</f>
        <v>#DIV/0!</v>
      </c>
      <c r="AD17" s="235"/>
      <c r="AE17" s="235" t="e">
        <f>重み_後!D17</f>
        <v>#DIV/0!</v>
      </c>
      <c r="AF17" s="235"/>
      <c r="AG17" s="235"/>
      <c r="AH17" s="236" t="e">
        <f>重み_前!N17</f>
        <v>#DIV/0!</v>
      </c>
      <c r="AI17" s="236" t="e">
        <f>重み_後!O17</f>
        <v>#DIV/0!</v>
      </c>
      <c r="AJ17" s="235" t="e">
        <f>重み_前!E17</f>
        <v>#DIV/0!</v>
      </c>
      <c r="AK17" s="235"/>
      <c r="AL17" s="235" t="e">
        <f>重み_後!E17</f>
        <v>#DIV/0!</v>
      </c>
    </row>
    <row r="18" spans="2:38" ht="13.5">
      <c r="B18" s="288"/>
      <c r="C18" s="303"/>
      <c r="D18" s="297">
        <v>4</v>
      </c>
      <c r="E18" s="346" t="s">
        <v>805</v>
      </c>
      <c r="F18" s="280" t="s">
        <v>601</v>
      </c>
      <c r="G18" s="280" t="s">
        <v>601</v>
      </c>
      <c r="H18" s="280" t="s">
        <v>602</v>
      </c>
      <c r="I18" s="280" t="s">
        <v>601</v>
      </c>
      <c r="J18" s="280" t="s">
        <v>601</v>
      </c>
      <c r="K18" s="298" t="s">
        <v>602</v>
      </c>
      <c r="L18" s="312"/>
      <c r="M18" s="300" t="str">
        <f>IF(L18=$AA$3,$I18,$J18)</f>
        <v>EB</v>
      </c>
      <c r="N18" s="313">
        <v>0</v>
      </c>
      <c r="O18" s="298" t="str">
        <f>IF(L18=$AA$3,$I18,$K18)</f>
        <v>NC</v>
      </c>
      <c r="P18" s="313">
        <v>0</v>
      </c>
      <c r="Q18" s="314" t="str">
        <f t="shared" si="0"/>
        <v>EB</v>
      </c>
      <c r="R18" s="312" t="str">
        <f t="shared" si="1"/>
        <v>NC</v>
      </c>
      <c r="S18" s="312"/>
      <c r="T18" s="300" t="str">
        <f>IF(S18=$AA$3,$I18,$J18)</f>
        <v>EB</v>
      </c>
      <c r="U18" s="313">
        <v>3</v>
      </c>
      <c r="V18" s="298" t="str">
        <f>IF(S18=$AA$3,$I18,$K18)</f>
        <v>NC</v>
      </c>
      <c r="W18" s="313">
        <v>0</v>
      </c>
      <c r="X18" s="314" t="str">
        <f t="shared" si="2"/>
        <v>EB</v>
      </c>
      <c r="Y18" s="312" t="str">
        <f t="shared" si="3"/>
        <v>NC</v>
      </c>
      <c r="Z18" s="205"/>
      <c r="AA18" s="265" t="e">
        <f>重み_前!M18</f>
        <v>#DIV/0!</v>
      </c>
      <c r="AB18" s="265" t="e">
        <f>重み_後!N18</f>
        <v>#DIV/0!</v>
      </c>
      <c r="AC18" s="235" t="e">
        <f>重み_前!D18</f>
        <v>#DIV/0!</v>
      </c>
      <c r="AD18" s="235"/>
      <c r="AE18" s="235" t="e">
        <f>重み_後!D18</f>
        <v>#DIV/0!</v>
      </c>
      <c r="AF18" s="235"/>
      <c r="AG18" s="235"/>
      <c r="AH18" s="236" t="e">
        <f>重み_前!N18</f>
        <v>#DIV/0!</v>
      </c>
      <c r="AI18" s="236" t="e">
        <f>重み_後!O18</f>
        <v>#DIV/0!</v>
      </c>
      <c r="AJ18" s="235" t="e">
        <f>重み_前!E18</f>
        <v>#DIV/0!</v>
      </c>
      <c r="AK18" s="235"/>
      <c r="AL18" s="235" t="e">
        <f>重み_後!E18</f>
        <v>#DIV/0!</v>
      </c>
    </row>
    <row r="19" spans="2:38" ht="14.25" thickBot="1">
      <c r="B19" s="315"/>
      <c r="C19" s="316">
        <v>1.3</v>
      </c>
      <c r="D19" s="317" t="s">
        <v>609</v>
      </c>
      <c r="E19" s="317"/>
      <c r="F19" s="280" t="s">
        <v>601</v>
      </c>
      <c r="G19" s="280" t="s">
        <v>601</v>
      </c>
      <c r="H19" s="280" t="s">
        <v>602</v>
      </c>
      <c r="I19" s="280" t="s">
        <v>601</v>
      </c>
      <c r="J19" s="280" t="s">
        <v>601</v>
      </c>
      <c r="K19" s="298" t="s">
        <v>602</v>
      </c>
      <c r="L19" s="305"/>
      <c r="M19" s="300" t="str">
        <f>IF(L19=$AA$3,$I19,$J19)</f>
        <v>EB</v>
      </c>
      <c r="N19" s="318">
        <v>3</v>
      </c>
      <c r="O19" s="298" t="str">
        <f>IF(L19=$AA$3,$I19,$K19)</f>
        <v>NC</v>
      </c>
      <c r="P19" s="318">
        <v>3</v>
      </c>
      <c r="Q19" s="307" t="str">
        <f t="shared" si="0"/>
        <v>EB</v>
      </c>
      <c r="R19" s="305" t="str">
        <f t="shared" si="1"/>
        <v>NC</v>
      </c>
      <c r="S19" s="305"/>
      <c r="T19" s="300" t="str">
        <f>IF(S19=$AA$3,$I19,$J19)</f>
        <v>EB</v>
      </c>
      <c r="U19" s="318">
        <v>3</v>
      </c>
      <c r="V19" s="298" t="str">
        <f>IF(S19=$AA$3,$I19,$K19)</f>
        <v>NC</v>
      </c>
      <c r="W19" s="318">
        <v>0</v>
      </c>
      <c r="X19" s="307" t="str">
        <f t="shared" si="2"/>
        <v>EB</v>
      </c>
      <c r="Y19" s="305" t="str">
        <f t="shared" si="3"/>
        <v>NC</v>
      </c>
      <c r="Z19" s="205"/>
      <c r="AA19" s="265" t="e">
        <f>重み_前!M19</f>
        <v>#DIV/0!</v>
      </c>
      <c r="AB19" s="265" t="e">
        <f>重み_後!N19</f>
        <v>#DIV/0!</v>
      </c>
      <c r="AC19" s="235" t="e">
        <f>重み_前!D19</f>
        <v>#DIV/0!</v>
      </c>
      <c r="AD19" s="235"/>
      <c r="AE19" s="235" t="e">
        <f>重み_後!D19</f>
        <v>#DIV/0!</v>
      </c>
      <c r="AF19" s="235"/>
      <c r="AG19" s="235"/>
      <c r="AH19" s="236" t="e">
        <f>重み_前!N19</f>
        <v>#DIV/0!</v>
      </c>
      <c r="AI19" s="236" t="e">
        <f>重み_後!O19</f>
        <v>#DIV/0!</v>
      </c>
      <c r="AJ19" s="235" t="e">
        <f>重み_前!E19</f>
        <v>#DIV/0!</v>
      </c>
      <c r="AK19" s="235"/>
      <c r="AL19" s="235" t="e">
        <f>重み_後!E19</f>
        <v>#DIV/0!</v>
      </c>
    </row>
    <row r="20" spans="2:38" ht="13.5">
      <c r="B20" s="388">
        <v>2</v>
      </c>
      <c r="C20" s="319" t="s">
        <v>610</v>
      </c>
      <c r="D20" s="389"/>
      <c r="E20" s="370"/>
      <c r="F20" s="280" t="s">
        <v>611</v>
      </c>
      <c r="G20" s="280" t="s">
        <v>611</v>
      </c>
      <c r="H20" s="280" t="s">
        <v>612</v>
      </c>
      <c r="I20" s="321"/>
      <c r="J20" s="321"/>
      <c r="K20" s="322"/>
      <c r="L20" s="323" t="str">
        <f>IF(COUNTIF(L21:L33,$AA$3)&gt;=ROWS(L21:L33),$AA$3,"")</f>
        <v/>
      </c>
      <c r="M20" s="324"/>
      <c r="N20" s="325"/>
      <c r="O20" s="322"/>
      <c r="P20" s="325"/>
      <c r="Q20" s="286" t="str">
        <f t="shared" si="0"/>
        <v>EB</v>
      </c>
      <c r="R20" s="287" t="str">
        <f t="shared" si="1"/>
        <v>NC</v>
      </c>
      <c r="S20" s="323" t="str">
        <f>IF(COUNTIF(S21:S33,$AA$3)&gt;=ROWS(S21:S33),$AA$3,"")</f>
        <v/>
      </c>
      <c r="T20" s="324"/>
      <c r="U20" s="325"/>
      <c r="V20" s="322"/>
      <c r="W20" s="325"/>
      <c r="X20" s="286" t="str">
        <f t="shared" si="2"/>
        <v>EB</v>
      </c>
      <c r="Y20" s="287" t="str">
        <f t="shared" si="3"/>
        <v>NC</v>
      </c>
      <c r="Z20" s="205"/>
      <c r="AA20" s="265" t="e">
        <f>重み_前!M20</f>
        <v>#DIV/0!</v>
      </c>
      <c r="AB20" s="265" t="e">
        <f>重み_後!N20</f>
        <v>#DIV/0!</v>
      </c>
      <c r="AC20" s="235" t="e">
        <f>重み_前!D20</f>
        <v>#DIV/0!</v>
      </c>
      <c r="AD20" s="235"/>
      <c r="AE20" s="235" t="e">
        <f>重み_後!D20</f>
        <v>#DIV/0!</v>
      </c>
      <c r="AF20" s="235"/>
      <c r="AG20" s="235"/>
      <c r="AH20" s="236">
        <f>重み_前!N20</f>
        <v>1</v>
      </c>
      <c r="AI20" s="236" t="e">
        <f>重み_後!O20</f>
        <v>#DIV/0!</v>
      </c>
      <c r="AJ20" s="235" t="e">
        <f>重み_前!E20</f>
        <v>#DIV/0!</v>
      </c>
      <c r="AK20" s="235"/>
      <c r="AL20" s="235" t="e">
        <f>重み_後!E20</f>
        <v>#DIV/0!</v>
      </c>
    </row>
    <row r="21" spans="2:38" ht="14.25" thickBot="1">
      <c r="B21" s="288"/>
      <c r="C21" s="289">
        <v>2.1</v>
      </c>
      <c r="D21" s="326" t="s">
        <v>613</v>
      </c>
      <c r="E21" s="370"/>
      <c r="F21" s="280" t="s">
        <v>611</v>
      </c>
      <c r="G21" s="280" t="s">
        <v>611</v>
      </c>
      <c r="H21" s="280" t="s">
        <v>612</v>
      </c>
      <c r="I21" s="327"/>
      <c r="J21" s="327"/>
      <c r="K21" s="328"/>
      <c r="L21" s="292" t="str">
        <f>IF(COUNTIF(L22:L29,$AA$3)&gt;=ROWS(L22:L29),$AA$3,"")</f>
        <v/>
      </c>
      <c r="M21" s="329"/>
      <c r="N21" s="293"/>
      <c r="O21" s="328"/>
      <c r="P21" s="293"/>
      <c r="Q21" s="294" t="str">
        <f t="shared" si="0"/>
        <v>EB</v>
      </c>
      <c r="R21" s="295" t="str">
        <f t="shared" si="1"/>
        <v>NC</v>
      </c>
      <c r="S21" s="292" t="str">
        <f>IF(COUNTIF(S22:S29,$AA$3)&gt;=ROWS(S22:S29),$AA$3,"")</f>
        <v/>
      </c>
      <c r="T21" s="329"/>
      <c r="U21" s="293"/>
      <c r="V21" s="328"/>
      <c r="W21" s="293"/>
      <c r="X21" s="294" t="str">
        <f t="shared" si="2"/>
        <v>EB</v>
      </c>
      <c r="Y21" s="295" t="str">
        <f t="shared" si="3"/>
        <v>NC</v>
      </c>
      <c r="Z21" s="205"/>
      <c r="AA21" s="265" t="e">
        <f>重み_前!M21</f>
        <v>#DIV/0!</v>
      </c>
      <c r="AB21" s="265" t="e">
        <f>重み_後!N21</f>
        <v>#DIV/0!</v>
      </c>
      <c r="AC21" s="235" t="e">
        <f>重み_前!D21</f>
        <v>#DIV/0!</v>
      </c>
      <c r="AD21" s="235"/>
      <c r="AE21" s="235" t="e">
        <f>重み_後!D21</f>
        <v>#DIV/0!</v>
      </c>
      <c r="AF21" s="235"/>
      <c r="AG21" s="235"/>
      <c r="AH21" s="236" t="e">
        <f>重み_前!N21</f>
        <v>#DIV/0!</v>
      </c>
      <c r="AI21" s="236" t="e">
        <f>重み_後!O21</f>
        <v>#DIV/0!</v>
      </c>
      <c r="AJ21" s="235" t="e">
        <f>重み_前!E21</f>
        <v>#DIV/0!</v>
      </c>
      <c r="AK21" s="235"/>
      <c r="AL21" s="235" t="e">
        <f>重み_後!E21</f>
        <v>#DIV/0!</v>
      </c>
    </row>
    <row r="22" spans="2:38" ht="13.5">
      <c r="B22" s="288"/>
      <c r="C22" s="2401"/>
      <c r="D22" s="297">
        <v>1</v>
      </c>
      <c r="E22" s="317" t="s">
        <v>825</v>
      </c>
      <c r="F22" s="280" t="s">
        <v>614</v>
      </c>
      <c r="G22" s="280" t="s">
        <v>614</v>
      </c>
      <c r="H22" s="280" t="s">
        <v>602</v>
      </c>
      <c r="I22" s="280" t="s">
        <v>614</v>
      </c>
      <c r="J22" s="280" t="s">
        <v>614</v>
      </c>
      <c r="K22" s="298" t="s">
        <v>602</v>
      </c>
      <c r="L22" s="299"/>
      <c r="M22" s="300" t="str">
        <f t="shared" ref="M22:M33" si="8">IF(L22=$AA$3,$I22,$J22)</f>
        <v>EB</v>
      </c>
      <c r="N22" s="301">
        <v>3</v>
      </c>
      <c r="O22" s="298" t="str">
        <f t="shared" ref="O22:O33" si="9">IF(L22=$AA$3,$I22,$K22)</f>
        <v>NC</v>
      </c>
      <c r="P22" s="301">
        <v>3</v>
      </c>
      <c r="Q22" s="302" t="str">
        <f t="shared" si="0"/>
        <v>EB</v>
      </c>
      <c r="R22" s="299" t="str">
        <f t="shared" si="1"/>
        <v>NC</v>
      </c>
      <c r="S22" s="299"/>
      <c r="T22" s="300" t="str">
        <f t="shared" ref="T22:T33" si="10">IF(S22=$AA$3,$I22,$J22)</f>
        <v>EB</v>
      </c>
      <c r="U22" s="301">
        <v>0</v>
      </c>
      <c r="V22" s="298" t="str">
        <f t="shared" ref="V22:V33" si="11">IF(S22=$AA$3,$I22,$K22)</f>
        <v>NC</v>
      </c>
      <c r="W22" s="301">
        <v>3</v>
      </c>
      <c r="X22" s="302" t="str">
        <f t="shared" si="2"/>
        <v>EB</v>
      </c>
      <c r="Y22" s="299" t="str">
        <f t="shared" si="3"/>
        <v>NC</v>
      </c>
      <c r="Z22" s="205"/>
      <c r="AA22" s="265" t="e">
        <f>重み_前!M22</f>
        <v>#DIV/0!</v>
      </c>
      <c r="AB22" s="265" t="e">
        <f>重み_後!N22</f>
        <v>#DIV/0!</v>
      </c>
      <c r="AC22" s="235" t="e">
        <f>重み_前!D22</f>
        <v>#DIV/0!</v>
      </c>
      <c r="AD22" s="235"/>
      <c r="AE22" s="235" t="e">
        <f>重み_後!D22</f>
        <v>#DIV/0!</v>
      </c>
      <c r="AF22" s="235"/>
      <c r="AG22" s="235"/>
      <c r="AH22" s="236" t="e">
        <f>重み_前!N22</f>
        <v>#DIV/0!</v>
      </c>
      <c r="AI22" s="236" t="e">
        <f>重み_後!O22</f>
        <v>#DIV/0!</v>
      </c>
      <c r="AJ22" s="235" t="e">
        <f>重み_前!E22</f>
        <v>#DIV/0!</v>
      </c>
      <c r="AK22" s="235"/>
      <c r="AL22" s="235" t="e">
        <f>重み_後!E22</f>
        <v>#DIV/0!</v>
      </c>
    </row>
    <row r="23" spans="2:38" ht="13.5" hidden="1">
      <c r="B23" s="288"/>
      <c r="C23" s="2401"/>
      <c r="D23" s="2106">
        <v>2</v>
      </c>
      <c r="E23" s="2082" t="s">
        <v>1758</v>
      </c>
      <c r="F23" s="280" t="s">
        <v>614</v>
      </c>
      <c r="G23" s="280" t="s">
        <v>614</v>
      </c>
      <c r="H23" s="280" t="s">
        <v>602</v>
      </c>
      <c r="I23" s="280" t="s">
        <v>614</v>
      </c>
      <c r="J23" s="280" t="s">
        <v>614</v>
      </c>
      <c r="K23" s="298" t="s">
        <v>602</v>
      </c>
      <c r="L23" s="414" t="s">
        <v>570</v>
      </c>
      <c r="M23" s="300" t="str">
        <f>IF(L23=$AA$3,$I23,$J23)</f>
        <v>EB</v>
      </c>
      <c r="N23" s="2110">
        <v>0</v>
      </c>
      <c r="O23" s="298" t="str">
        <f>IF(L23=$AA$3,$I23,$K23)</f>
        <v>EB</v>
      </c>
      <c r="P23" s="2110">
        <v>0</v>
      </c>
      <c r="Q23" s="418" t="str">
        <f t="shared" si="0"/>
        <v>EB</v>
      </c>
      <c r="R23" s="414" t="str">
        <f t="shared" si="1"/>
        <v>EB</v>
      </c>
      <c r="S23" s="414"/>
      <c r="T23" s="300" t="str">
        <f>IF(S23=$AA$3,$I23,$J23)</f>
        <v>EB</v>
      </c>
      <c r="U23" s="2110">
        <v>0</v>
      </c>
      <c r="V23" s="298" t="str">
        <f>IF(S23=$AA$3,$I23,$K23)</f>
        <v>NC</v>
      </c>
      <c r="W23" s="2110">
        <v>0</v>
      </c>
      <c r="X23" s="314" t="str">
        <f t="shared" si="2"/>
        <v>EB</v>
      </c>
      <c r="Y23" s="312" t="str">
        <f t="shared" si="3"/>
        <v>NC</v>
      </c>
      <c r="Z23" s="205"/>
      <c r="AA23" s="265" t="e">
        <f>重み_前!M23</f>
        <v>#DIV/0!</v>
      </c>
      <c r="AB23" s="265" t="e">
        <f>重み_後!N23</f>
        <v>#DIV/0!</v>
      </c>
      <c r="AC23" s="235" t="e">
        <f>重み_前!D23</f>
        <v>#DIV/0!</v>
      </c>
      <c r="AD23" s="235"/>
      <c r="AE23" s="235" t="e">
        <f>重み_後!D23</f>
        <v>#DIV/0!</v>
      </c>
      <c r="AF23" s="235"/>
      <c r="AG23" s="235"/>
      <c r="AH23" s="236" t="e">
        <f>重み_前!N23</f>
        <v>#DIV/0!</v>
      </c>
      <c r="AI23" s="236" t="e">
        <f>重み_後!O23</f>
        <v>#DIV/0!</v>
      </c>
      <c r="AJ23" s="235" t="e">
        <f>重み_前!E23</f>
        <v>#DIV/0!</v>
      </c>
      <c r="AK23" s="235"/>
      <c r="AL23" s="235" t="e">
        <f>重み_後!E23</f>
        <v>#DIV/0!</v>
      </c>
    </row>
    <row r="24" spans="2:38" ht="13.5">
      <c r="B24" s="288"/>
      <c r="C24" s="2401"/>
      <c r="D24" s="297">
        <v>2</v>
      </c>
      <c r="E24" s="317" t="s">
        <v>615</v>
      </c>
      <c r="F24" s="280" t="s">
        <v>616</v>
      </c>
      <c r="G24" s="280" t="s">
        <v>616</v>
      </c>
      <c r="H24" s="280" t="s">
        <v>602</v>
      </c>
      <c r="I24" s="280" t="s">
        <v>616</v>
      </c>
      <c r="J24" s="280" t="s">
        <v>616</v>
      </c>
      <c r="K24" s="298" t="s">
        <v>602</v>
      </c>
      <c r="L24" s="312"/>
      <c r="M24" s="300" t="str">
        <f t="shared" si="8"/>
        <v>EB</v>
      </c>
      <c r="N24" s="313">
        <v>3</v>
      </c>
      <c r="O24" s="298" t="str">
        <f t="shared" si="9"/>
        <v>NC</v>
      </c>
      <c r="P24" s="313">
        <v>3</v>
      </c>
      <c r="Q24" s="314" t="str">
        <f t="shared" si="0"/>
        <v>EB</v>
      </c>
      <c r="R24" s="312" t="str">
        <f t="shared" si="1"/>
        <v>NC</v>
      </c>
      <c r="S24" s="312"/>
      <c r="T24" s="300" t="str">
        <f t="shared" si="10"/>
        <v>EB</v>
      </c>
      <c r="U24" s="313">
        <v>3</v>
      </c>
      <c r="V24" s="298" t="str">
        <f t="shared" si="11"/>
        <v>NC</v>
      </c>
      <c r="W24" s="313">
        <v>3</v>
      </c>
      <c r="X24" s="314" t="str">
        <f t="shared" si="2"/>
        <v>EB</v>
      </c>
      <c r="Y24" s="312" t="str">
        <f t="shared" si="3"/>
        <v>NC</v>
      </c>
      <c r="Z24" s="205"/>
      <c r="AA24" s="265" t="e">
        <f>重み_前!M24</f>
        <v>#DIV/0!</v>
      </c>
      <c r="AB24" s="265" t="e">
        <f>重み_後!N24</f>
        <v>#DIV/0!</v>
      </c>
      <c r="AC24" s="235" t="e">
        <f>重み_前!D24</f>
        <v>#DIV/0!</v>
      </c>
      <c r="AD24" s="235"/>
      <c r="AE24" s="235" t="e">
        <f>重み_後!D24</f>
        <v>#DIV/0!</v>
      </c>
      <c r="AF24" s="235"/>
      <c r="AG24" s="235"/>
      <c r="AH24" s="236" t="e">
        <f>重み_前!N24</f>
        <v>#DIV/0!</v>
      </c>
      <c r="AI24" s="236" t="e">
        <f>重み_後!O24</f>
        <v>#DIV/0!</v>
      </c>
      <c r="AJ24" s="235" t="e">
        <f>重み_前!E24</f>
        <v>#DIV/0!</v>
      </c>
      <c r="AK24" s="235"/>
      <c r="AL24" s="235" t="e">
        <f>重み_後!E24</f>
        <v>#DIV/0!</v>
      </c>
    </row>
    <row r="25" spans="2:38" ht="13.5">
      <c r="B25" s="288"/>
      <c r="C25" s="2401"/>
      <c r="D25" s="297">
        <v>3</v>
      </c>
      <c r="E25" s="317" t="s">
        <v>617</v>
      </c>
      <c r="F25" s="280" t="s">
        <v>618</v>
      </c>
      <c r="G25" s="280" t="s">
        <v>618</v>
      </c>
      <c r="H25" s="280" t="s">
        <v>602</v>
      </c>
      <c r="I25" s="280" t="s">
        <v>618</v>
      </c>
      <c r="J25" s="280" t="s">
        <v>618</v>
      </c>
      <c r="K25" s="298" t="s">
        <v>602</v>
      </c>
      <c r="L25" s="312"/>
      <c r="M25" s="300" t="str">
        <f t="shared" si="8"/>
        <v>EB</v>
      </c>
      <c r="N25" s="313">
        <v>3</v>
      </c>
      <c r="O25" s="298" t="str">
        <f t="shared" si="9"/>
        <v>NC</v>
      </c>
      <c r="P25" s="313">
        <v>3</v>
      </c>
      <c r="Q25" s="314" t="str">
        <f t="shared" si="0"/>
        <v>EB</v>
      </c>
      <c r="R25" s="312" t="str">
        <f t="shared" si="1"/>
        <v>NC</v>
      </c>
      <c r="S25" s="312"/>
      <c r="T25" s="300" t="str">
        <f t="shared" si="10"/>
        <v>EB</v>
      </c>
      <c r="U25" s="313">
        <v>0</v>
      </c>
      <c r="V25" s="298" t="str">
        <f t="shared" si="11"/>
        <v>NC</v>
      </c>
      <c r="W25" s="313">
        <v>0</v>
      </c>
      <c r="X25" s="314" t="str">
        <f t="shared" si="2"/>
        <v>EB</v>
      </c>
      <c r="Y25" s="312" t="str">
        <f t="shared" si="3"/>
        <v>NC</v>
      </c>
      <c r="Z25" s="205"/>
      <c r="AA25" s="265" t="e">
        <f>重み_前!M25</f>
        <v>#DIV/0!</v>
      </c>
      <c r="AB25" s="265" t="e">
        <f>重み_後!N25</f>
        <v>#DIV/0!</v>
      </c>
      <c r="AC25" s="235" t="e">
        <f>重み_前!D25</f>
        <v>#DIV/0!</v>
      </c>
      <c r="AD25" s="235"/>
      <c r="AE25" s="235" t="e">
        <f>重み_後!D25</f>
        <v>#DIV/0!</v>
      </c>
      <c r="AF25" s="235"/>
      <c r="AG25" s="235"/>
      <c r="AH25" s="236" t="e">
        <f>重み_前!N25</f>
        <v>#DIV/0!</v>
      </c>
      <c r="AI25" s="236" t="e">
        <f>重み_後!O25</f>
        <v>#DIV/0!</v>
      </c>
      <c r="AJ25" s="235" t="e">
        <f>重み_前!E25</f>
        <v>#DIV/0!</v>
      </c>
      <c r="AK25" s="235"/>
      <c r="AL25" s="235" t="e">
        <f>重み_後!E25</f>
        <v>#DIV/0!</v>
      </c>
    </row>
    <row r="26" spans="2:38" ht="13.5" hidden="1">
      <c r="B26" s="288"/>
      <c r="C26" s="2401"/>
      <c r="D26" s="2106">
        <v>5</v>
      </c>
      <c r="E26" s="2082" t="s">
        <v>1759</v>
      </c>
      <c r="F26" s="280" t="s">
        <v>618</v>
      </c>
      <c r="G26" s="280" t="s">
        <v>618</v>
      </c>
      <c r="H26" s="280" t="s">
        <v>602</v>
      </c>
      <c r="I26" s="280" t="s">
        <v>618</v>
      </c>
      <c r="J26" s="280" t="s">
        <v>618</v>
      </c>
      <c r="K26" s="298" t="s">
        <v>602</v>
      </c>
      <c r="L26" s="414" t="s">
        <v>570</v>
      </c>
      <c r="M26" s="300" t="str">
        <f t="shared" si="8"/>
        <v>EB</v>
      </c>
      <c r="N26" s="2110">
        <v>0</v>
      </c>
      <c r="O26" s="298" t="str">
        <f t="shared" si="9"/>
        <v>EB</v>
      </c>
      <c r="P26" s="2110">
        <v>0</v>
      </c>
      <c r="Q26" s="418" t="str">
        <f t="shared" si="0"/>
        <v>EB</v>
      </c>
      <c r="R26" s="414" t="str">
        <f t="shared" si="1"/>
        <v>EB</v>
      </c>
      <c r="S26" s="414"/>
      <c r="T26" s="300" t="str">
        <f t="shared" si="10"/>
        <v>EB</v>
      </c>
      <c r="U26" s="2110">
        <v>0</v>
      </c>
      <c r="V26" s="298" t="str">
        <f t="shared" si="11"/>
        <v>NC</v>
      </c>
      <c r="W26" s="2110">
        <v>0</v>
      </c>
      <c r="X26" s="314" t="str">
        <f t="shared" si="2"/>
        <v>EB</v>
      </c>
      <c r="Y26" s="312" t="str">
        <f t="shared" si="3"/>
        <v>NC</v>
      </c>
      <c r="Z26" s="205"/>
      <c r="AA26" s="265" t="e">
        <f>重み_前!M26</f>
        <v>#DIV/0!</v>
      </c>
      <c r="AB26" s="265" t="e">
        <f>重み_後!N26</f>
        <v>#DIV/0!</v>
      </c>
      <c r="AC26" s="235" t="e">
        <f>重み_前!D26</f>
        <v>#DIV/0!</v>
      </c>
      <c r="AD26" s="235"/>
      <c r="AE26" s="235" t="e">
        <f>重み_後!D26</f>
        <v>#DIV/0!</v>
      </c>
      <c r="AF26" s="235"/>
      <c r="AG26" s="235"/>
      <c r="AH26" s="236" t="e">
        <f>重み_前!N26</f>
        <v>#DIV/0!</v>
      </c>
      <c r="AI26" s="236" t="e">
        <f>重み_後!O26</f>
        <v>#DIV/0!</v>
      </c>
      <c r="AJ26" s="235" t="e">
        <f>重み_前!E26</f>
        <v>#DIV/0!</v>
      </c>
      <c r="AK26" s="235"/>
      <c r="AL26" s="235" t="e">
        <f>重み_後!E26</f>
        <v>#DIV/0!</v>
      </c>
    </row>
    <row r="27" spans="2:38" ht="13.5" hidden="1">
      <c r="B27" s="288"/>
      <c r="C27" s="2401"/>
      <c r="D27" s="2106">
        <v>6</v>
      </c>
      <c r="E27" s="2082" t="s">
        <v>619</v>
      </c>
      <c r="F27" s="280" t="s">
        <v>620</v>
      </c>
      <c r="G27" s="280" t="s">
        <v>620</v>
      </c>
      <c r="H27" s="280" t="s">
        <v>602</v>
      </c>
      <c r="I27" s="280" t="s">
        <v>620</v>
      </c>
      <c r="J27" s="280" t="s">
        <v>620</v>
      </c>
      <c r="K27" s="298" t="s">
        <v>602</v>
      </c>
      <c r="L27" s="414" t="s">
        <v>570</v>
      </c>
      <c r="M27" s="300" t="str">
        <f t="shared" si="8"/>
        <v>EB</v>
      </c>
      <c r="N27" s="2110">
        <v>0</v>
      </c>
      <c r="O27" s="298" t="str">
        <f t="shared" si="9"/>
        <v>EB</v>
      </c>
      <c r="P27" s="2110">
        <v>0</v>
      </c>
      <c r="Q27" s="418" t="str">
        <f t="shared" si="0"/>
        <v>EB</v>
      </c>
      <c r="R27" s="414" t="str">
        <f t="shared" si="1"/>
        <v>EB</v>
      </c>
      <c r="S27" s="414"/>
      <c r="T27" s="300" t="str">
        <f t="shared" si="10"/>
        <v>EB</v>
      </c>
      <c r="U27" s="2110">
        <v>0</v>
      </c>
      <c r="V27" s="298" t="str">
        <f t="shared" si="11"/>
        <v>NC</v>
      </c>
      <c r="W27" s="2110">
        <v>0</v>
      </c>
      <c r="X27" s="314" t="str">
        <f t="shared" si="2"/>
        <v>EB</v>
      </c>
      <c r="Y27" s="312" t="str">
        <f t="shared" si="3"/>
        <v>NC</v>
      </c>
      <c r="Z27" s="205"/>
      <c r="AA27" s="265" t="e">
        <f>重み_前!M27</f>
        <v>#DIV/0!</v>
      </c>
      <c r="AB27" s="265" t="e">
        <f>重み_後!N27</f>
        <v>#DIV/0!</v>
      </c>
      <c r="AC27" s="235" t="e">
        <f>重み_前!D27</f>
        <v>#DIV/0!</v>
      </c>
      <c r="AD27" s="235"/>
      <c r="AE27" s="235" t="e">
        <f>重み_後!D27</f>
        <v>#DIV/0!</v>
      </c>
      <c r="AF27" s="235"/>
      <c r="AG27" s="235"/>
      <c r="AH27" s="236" t="e">
        <f>重み_前!N27</f>
        <v>#DIV/0!</v>
      </c>
      <c r="AI27" s="236" t="e">
        <f>重み_後!O27</f>
        <v>#DIV/0!</v>
      </c>
      <c r="AJ27" s="235" t="e">
        <f>重み_前!E27</f>
        <v>#DIV/0!</v>
      </c>
      <c r="AK27" s="235"/>
      <c r="AL27" s="235" t="e">
        <f>重み_後!E27</f>
        <v>#DIV/0!</v>
      </c>
    </row>
    <row r="28" spans="2:38" ht="13.5" hidden="1">
      <c r="B28" s="288"/>
      <c r="C28" s="2401"/>
      <c r="D28" s="2106">
        <v>7</v>
      </c>
      <c r="E28" s="2082" t="s">
        <v>1760</v>
      </c>
      <c r="F28" s="280" t="s">
        <v>616</v>
      </c>
      <c r="G28" s="280" t="s">
        <v>616</v>
      </c>
      <c r="H28" s="280" t="s">
        <v>602</v>
      </c>
      <c r="I28" s="280" t="s">
        <v>616</v>
      </c>
      <c r="J28" s="280" t="s">
        <v>616</v>
      </c>
      <c r="K28" s="298" t="s">
        <v>602</v>
      </c>
      <c r="L28" s="414" t="s">
        <v>570</v>
      </c>
      <c r="M28" s="300" t="str">
        <f t="shared" si="8"/>
        <v>EB</v>
      </c>
      <c r="N28" s="2110">
        <v>0</v>
      </c>
      <c r="O28" s="298" t="str">
        <f t="shared" si="9"/>
        <v>EB</v>
      </c>
      <c r="P28" s="2110">
        <v>0</v>
      </c>
      <c r="Q28" s="418" t="str">
        <f t="shared" si="0"/>
        <v>EB</v>
      </c>
      <c r="R28" s="414" t="str">
        <f t="shared" si="1"/>
        <v>EB</v>
      </c>
      <c r="S28" s="414"/>
      <c r="T28" s="300" t="str">
        <f t="shared" si="10"/>
        <v>EB</v>
      </c>
      <c r="U28" s="2110">
        <v>0</v>
      </c>
      <c r="V28" s="298" t="str">
        <f t="shared" si="11"/>
        <v>NC</v>
      </c>
      <c r="W28" s="2110">
        <v>0</v>
      </c>
      <c r="X28" s="314" t="str">
        <f t="shared" si="2"/>
        <v>EB</v>
      </c>
      <c r="Y28" s="312" t="str">
        <f t="shared" si="3"/>
        <v>NC</v>
      </c>
      <c r="Z28" s="205"/>
      <c r="AA28" s="265" t="e">
        <f>重み_前!M28</f>
        <v>#DIV/0!</v>
      </c>
      <c r="AB28" s="265" t="e">
        <f>重み_後!N28</f>
        <v>#DIV/0!</v>
      </c>
      <c r="AC28" s="235" t="e">
        <f>重み_前!D28</f>
        <v>#DIV/0!</v>
      </c>
      <c r="AD28" s="235"/>
      <c r="AE28" s="235" t="e">
        <f>重み_後!D28</f>
        <v>#DIV/0!</v>
      </c>
      <c r="AF28" s="235"/>
      <c r="AG28" s="235"/>
      <c r="AH28" s="236" t="e">
        <f>重み_前!N28</f>
        <v>#DIV/0!</v>
      </c>
      <c r="AI28" s="236" t="e">
        <f>重み_後!O28</f>
        <v>#DIV/0!</v>
      </c>
      <c r="AJ28" s="235" t="e">
        <f>重み_前!E28</f>
        <v>#DIV/0!</v>
      </c>
      <c r="AK28" s="235"/>
      <c r="AL28" s="235" t="e">
        <f>重み_後!E28</f>
        <v>#DIV/0!</v>
      </c>
    </row>
    <row r="29" spans="2:38" ht="13.5" hidden="1">
      <c r="B29" s="288"/>
      <c r="C29" s="2401"/>
      <c r="D29" s="2106">
        <v>8</v>
      </c>
      <c r="E29" s="2082" t="s">
        <v>621</v>
      </c>
      <c r="F29" s="280" t="s">
        <v>616</v>
      </c>
      <c r="G29" s="280" t="s">
        <v>616</v>
      </c>
      <c r="H29" s="280" t="s">
        <v>602</v>
      </c>
      <c r="I29" s="280" t="s">
        <v>616</v>
      </c>
      <c r="J29" s="280" t="s">
        <v>616</v>
      </c>
      <c r="K29" s="298" t="s">
        <v>602</v>
      </c>
      <c r="L29" s="414" t="s">
        <v>570</v>
      </c>
      <c r="M29" s="300" t="str">
        <f t="shared" si="8"/>
        <v>EB</v>
      </c>
      <c r="N29" s="2110">
        <v>0</v>
      </c>
      <c r="O29" s="298" t="str">
        <f t="shared" si="9"/>
        <v>EB</v>
      </c>
      <c r="P29" s="2110">
        <v>0</v>
      </c>
      <c r="Q29" s="418" t="str">
        <f t="shared" si="0"/>
        <v>EB</v>
      </c>
      <c r="R29" s="414" t="str">
        <f t="shared" si="1"/>
        <v>EB</v>
      </c>
      <c r="S29" s="414"/>
      <c r="T29" s="300" t="str">
        <f t="shared" si="10"/>
        <v>EB</v>
      </c>
      <c r="U29" s="2110">
        <v>0</v>
      </c>
      <c r="V29" s="298" t="str">
        <f t="shared" si="11"/>
        <v>NC</v>
      </c>
      <c r="W29" s="2110">
        <v>0</v>
      </c>
      <c r="X29" s="314" t="str">
        <f t="shared" si="2"/>
        <v>EB</v>
      </c>
      <c r="Y29" s="312" t="str">
        <f t="shared" si="3"/>
        <v>NC</v>
      </c>
      <c r="Z29" s="205"/>
      <c r="AA29" s="265" t="e">
        <f>重み_前!M29</f>
        <v>#DIV/0!</v>
      </c>
      <c r="AB29" s="265" t="e">
        <f>重み_後!N29</f>
        <v>#DIV/0!</v>
      </c>
      <c r="AC29" s="235" t="e">
        <f>重み_前!D29</f>
        <v>#DIV/0!</v>
      </c>
      <c r="AD29" s="235"/>
      <c r="AE29" s="235" t="e">
        <f>重み_後!D29</f>
        <v>#DIV/0!</v>
      </c>
      <c r="AF29" s="235"/>
      <c r="AG29" s="235"/>
      <c r="AH29" s="236" t="e">
        <f>重み_前!N29</f>
        <v>#DIV/0!</v>
      </c>
      <c r="AI29" s="236" t="e">
        <f>重み_後!O29</f>
        <v>#DIV/0!</v>
      </c>
      <c r="AJ29" s="235" t="e">
        <f>重み_前!E29</f>
        <v>#DIV/0!</v>
      </c>
      <c r="AK29" s="235"/>
      <c r="AL29" s="235" t="e">
        <f>重み_後!E29</f>
        <v>#DIV/0!</v>
      </c>
    </row>
    <row r="30" spans="2:38" ht="14.25" thickBot="1">
      <c r="B30" s="288"/>
      <c r="C30" s="316">
        <v>2.2000000000000002</v>
      </c>
      <c r="D30" s="317" t="s">
        <v>931</v>
      </c>
      <c r="E30" s="320"/>
      <c r="F30" s="280" t="s">
        <v>611</v>
      </c>
      <c r="G30" s="280" t="s">
        <v>611</v>
      </c>
      <c r="H30" s="280" t="s">
        <v>602</v>
      </c>
      <c r="I30" s="280" t="s">
        <v>611</v>
      </c>
      <c r="J30" s="280" t="s">
        <v>611</v>
      </c>
      <c r="K30" s="298" t="s">
        <v>602</v>
      </c>
      <c r="L30" s="312"/>
      <c r="M30" s="300" t="str">
        <f t="shared" si="8"/>
        <v>EB</v>
      </c>
      <c r="N30" s="318">
        <v>3</v>
      </c>
      <c r="O30" s="298" t="str">
        <f t="shared" si="9"/>
        <v>NC</v>
      </c>
      <c r="P30" s="318">
        <v>3</v>
      </c>
      <c r="Q30" s="307" t="str">
        <f t="shared" si="0"/>
        <v>EB</v>
      </c>
      <c r="R30" s="305" t="str">
        <f t="shared" si="1"/>
        <v>NC</v>
      </c>
      <c r="S30" s="312"/>
      <c r="T30" s="300" t="str">
        <f t="shared" si="10"/>
        <v>EB</v>
      </c>
      <c r="U30" s="318">
        <v>0</v>
      </c>
      <c r="V30" s="298" t="str">
        <f t="shared" si="11"/>
        <v>NC</v>
      </c>
      <c r="W30" s="318">
        <v>0</v>
      </c>
      <c r="X30" s="307" t="str">
        <f t="shared" si="2"/>
        <v>EB</v>
      </c>
      <c r="Y30" s="305" t="str">
        <f t="shared" si="3"/>
        <v>NC</v>
      </c>
      <c r="Z30" s="205"/>
      <c r="AA30" s="265" t="e">
        <f>重み_前!M30</f>
        <v>#DIV/0!</v>
      </c>
      <c r="AB30" s="265" t="e">
        <f>重み_後!N30</f>
        <v>#DIV/0!</v>
      </c>
      <c r="AC30" s="235" t="e">
        <f>重み_前!D30</f>
        <v>#DIV/0!</v>
      </c>
      <c r="AD30" s="235"/>
      <c r="AE30" s="235" t="e">
        <f>重み_後!D30</f>
        <v>#DIV/0!</v>
      </c>
      <c r="AF30" s="235"/>
      <c r="AG30" s="235"/>
      <c r="AH30" s="236" t="e">
        <f>重み_前!N30</f>
        <v>#DIV/0!</v>
      </c>
      <c r="AI30" s="236" t="e">
        <f>重み_後!O30</f>
        <v>#DIV/0!</v>
      </c>
      <c r="AJ30" s="235" t="e">
        <f>重み_前!E30</f>
        <v>#DIV/0!</v>
      </c>
      <c r="AK30" s="235"/>
      <c r="AL30" s="235" t="e">
        <f>重み_後!E30</f>
        <v>#DIV/0!</v>
      </c>
    </row>
    <row r="31" spans="2:38" ht="14.25" thickBot="1">
      <c r="B31" s="288"/>
      <c r="C31" s="308">
        <v>2.2999999999999998</v>
      </c>
      <c r="D31" s="317" t="s">
        <v>622</v>
      </c>
      <c r="E31" s="320"/>
      <c r="F31" s="280" t="s">
        <v>616</v>
      </c>
      <c r="G31" s="280" t="s">
        <v>616</v>
      </c>
      <c r="H31" s="280" t="s">
        <v>623</v>
      </c>
      <c r="I31" s="280">
        <v>0</v>
      </c>
      <c r="J31" s="280">
        <v>0</v>
      </c>
      <c r="K31" s="298" t="s">
        <v>602</v>
      </c>
      <c r="L31" s="305"/>
      <c r="M31" s="300">
        <f t="shared" si="8"/>
        <v>0</v>
      </c>
      <c r="N31" s="332"/>
      <c r="O31" s="298" t="str">
        <f t="shared" si="9"/>
        <v>NC</v>
      </c>
      <c r="P31" s="332"/>
      <c r="Q31" s="294" t="str">
        <f t="shared" si="0"/>
        <v>EB</v>
      </c>
      <c r="R31" s="295" t="str">
        <f t="shared" si="1"/>
        <v>NC</v>
      </c>
      <c r="S31" s="305"/>
      <c r="T31" s="300">
        <f t="shared" si="10"/>
        <v>0</v>
      </c>
      <c r="U31" s="332"/>
      <c r="V31" s="298" t="str">
        <f t="shared" si="11"/>
        <v>NC</v>
      </c>
      <c r="W31" s="332"/>
      <c r="X31" s="294" t="str">
        <f t="shared" si="2"/>
        <v>EB</v>
      </c>
      <c r="Y31" s="295" t="str">
        <f t="shared" si="3"/>
        <v>NC</v>
      </c>
      <c r="Z31" s="205"/>
      <c r="AA31" s="265" t="e">
        <f>重み_前!M31</f>
        <v>#DIV/0!</v>
      </c>
      <c r="AB31" s="265" t="e">
        <f>重み_後!N31</f>
        <v>#DIV/0!</v>
      </c>
      <c r="AC31" s="235" t="e">
        <f>重み_前!D31</f>
        <v>#DIV/0!</v>
      </c>
      <c r="AD31" s="235"/>
      <c r="AE31" s="235" t="e">
        <f>重み_後!D31</f>
        <v>#DIV/0!</v>
      </c>
      <c r="AF31" s="235"/>
      <c r="AG31" s="235"/>
      <c r="AH31" s="236" t="e">
        <f>重み_前!N31</f>
        <v>#DIV/0!</v>
      </c>
      <c r="AI31" s="236" t="e">
        <f>重み_後!O31</f>
        <v>#DIV/0!</v>
      </c>
      <c r="AJ31" s="235" t="e">
        <f>重み_前!E31</f>
        <v>#DIV/0!</v>
      </c>
      <c r="AK31" s="235"/>
      <c r="AL31" s="235" t="e">
        <f>重み_後!E31</f>
        <v>#DIV/0!</v>
      </c>
    </row>
    <row r="32" spans="2:38" ht="13.5">
      <c r="B32" s="288"/>
      <c r="C32" s="2402"/>
      <c r="D32" s="297">
        <v>1</v>
      </c>
      <c r="E32" s="317" t="s">
        <v>624</v>
      </c>
      <c r="F32" s="280" t="s">
        <v>625</v>
      </c>
      <c r="G32" s="280" t="s">
        <v>625</v>
      </c>
      <c r="H32" s="280" t="s">
        <v>626</v>
      </c>
      <c r="I32" s="280" t="s">
        <v>625</v>
      </c>
      <c r="J32" s="280" t="s">
        <v>625</v>
      </c>
      <c r="K32" s="298">
        <v>0</v>
      </c>
      <c r="L32" s="333">
        <f>L31</f>
        <v>0</v>
      </c>
      <c r="M32" s="300" t="str">
        <f t="shared" si="8"/>
        <v>EB</v>
      </c>
      <c r="N32" s="301">
        <v>3</v>
      </c>
      <c r="O32" s="298">
        <f t="shared" si="9"/>
        <v>0</v>
      </c>
      <c r="P32" s="301">
        <v>3</v>
      </c>
      <c r="Q32" s="334" t="str">
        <f t="shared" si="0"/>
        <v>EB</v>
      </c>
      <c r="R32" s="335" t="str">
        <f t="shared" si="1"/>
        <v>NC</v>
      </c>
      <c r="S32" s="333">
        <f>S31</f>
        <v>0</v>
      </c>
      <c r="T32" s="300" t="str">
        <f t="shared" si="10"/>
        <v>EB</v>
      </c>
      <c r="U32" s="301">
        <v>0</v>
      </c>
      <c r="V32" s="298">
        <f t="shared" si="11"/>
        <v>0</v>
      </c>
      <c r="W32" s="301">
        <v>0</v>
      </c>
      <c r="X32" s="334" t="str">
        <f t="shared" si="2"/>
        <v>EB</v>
      </c>
      <c r="Y32" s="335" t="str">
        <f t="shared" si="3"/>
        <v>NC</v>
      </c>
      <c r="Z32" s="205"/>
      <c r="AA32" s="265" t="e">
        <f>重み_前!M32</f>
        <v>#DIV/0!</v>
      </c>
      <c r="AB32" s="265" t="e">
        <f>重み_後!N32</f>
        <v>#DIV/0!</v>
      </c>
      <c r="AC32" s="235" t="e">
        <f>重み_前!D32</f>
        <v>#DIV/0!</v>
      </c>
      <c r="AD32" s="235"/>
      <c r="AE32" s="235" t="e">
        <f>重み_後!D32</f>
        <v>#DIV/0!</v>
      </c>
      <c r="AF32" s="235"/>
      <c r="AG32" s="235"/>
      <c r="AH32" s="236" t="e">
        <f>重み_前!N32</f>
        <v>#DIV/0!</v>
      </c>
      <c r="AI32" s="236" t="e">
        <f>重み_後!O32</f>
        <v>#DIV/0!</v>
      </c>
      <c r="AJ32" s="235" t="e">
        <f>重み_前!E32</f>
        <v>#DIV/0!</v>
      </c>
      <c r="AK32" s="235"/>
      <c r="AL32" s="235" t="e">
        <f>重み_後!E32</f>
        <v>#DIV/0!</v>
      </c>
    </row>
    <row r="33" spans="2:38" ht="14.25" thickBot="1">
      <c r="B33" s="2403"/>
      <c r="C33" s="2404"/>
      <c r="D33" s="297">
        <v>2</v>
      </c>
      <c r="E33" s="317" t="s">
        <v>627</v>
      </c>
      <c r="F33" s="280" t="s">
        <v>628</v>
      </c>
      <c r="G33" s="280" t="s">
        <v>628</v>
      </c>
      <c r="H33" s="280" t="s">
        <v>629</v>
      </c>
      <c r="I33" s="280" t="s">
        <v>628</v>
      </c>
      <c r="J33" s="280" t="s">
        <v>628</v>
      </c>
      <c r="K33" s="298">
        <v>0</v>
      </c>
      <c r="L33" s="300">
        <f>L31</f>
        <v>0</v>
      </c>
      <c r="M33" s="300" t="str">
        <f t="shared" si="8"/>
        <v>EB</v>
      </c>
      <c r="N33" s="318">
        <v>3</v>
      </c>
      <c r="O33" s="298">
        <f t="shared" si="9"/>
        <v>0</v>
      </c>
      <c r="P33" s="318">
        <v>3</v>
      </c>
      <c r="Q33" s="336" t="str">
        <f t="shared" si="0"/>
        <v>EB</v>
      </c>
      <c r="R33" s="337" t="str">
        <f t="shared" si="1"/>
        <v>NC</v>
      </c>
      <c r="S33" s="300">
        <f>S31</f>
        <v>0</v>
      </c>
      <c r="T33" s="300" t="str">
        <f t="shared" si="10"/>
        <v>EB</v>
      </c>
      <c r="U33" s="318">
        <v>0</v>
      </c>
      <c r="V33" s="298">
        <f t="shared" si="11"/>
        <v>0</v>
      </c>
      <c r="W33" s="318">
        <v>0</v>
      </c>
      <c r="X33" s="336" t="str">
        <f t="shared" si="2"/>
        <v>EB</v>
      </c>
      <c r="Y33" s="337" t="str">
        <f t="shared" si="3"/>
        <v>NC</v>
      </c>
      <c r="Z33" s="205"/>
      <c r="AA33" s="265" t="e">
        <f>重み_前!M33</f>
        <v>#DIV/0!</v>
      </c>
      <c r="AB33" s="265" t="e">
        <f>重み_後!N33</f>
        <v>#DIV/0!</v>
      </c>
      <c r="AC33" s="235" t="e">
        <f>重み_前!D33</f>
        <v>#DIV/0!</v>
      </c>
      <c r="AD33" s="235"/>
      <c r="AE33" s="235" t="e">
        <f>重み_後!D33</f>
        <v>#DIV/0!</v>
      </c>
      <c r="AF33" s="235"/>
      <c r="AG33" s="235"/>
      <c r="AH33" s="236" t="e">
        <f>重み_前!N33</f>
        <v>#DIV/0!</v>
      </c>
      <c r="AI33" s="236" t="e">
        <f>重み_後!O33</f>
        <v>#DIV/0!</v>
      </c>
      <c r="AJ33" s="235" t="e">
        <f>重み_前!E33</f>
        <v>#DIV/0!</v>
      </c>
      <c r="AK33" s="235"/>
      <c r="AL33" s="235" t="e">
        <f>重み_後!E33</f>
        <v>#DIV/0!</v>
      </c>
    </row>
    <row r="34" spans="2:38" ht="13.5">
      <c r="B34" s="388">
        <v>3</v>
      </c>
      <c r="C34" s="319" t="s">
        <v>630</v>
      </c>
      <c r="D34" s="389"/>
      <c r="E34" s="370"/>
      <c r="F34" s="280" t="s">
        <v>611</v>
      </c>
      <c r="G34" s="280" t="s">
        <v>611</v>
      </c>
      <c r="H34" s="280" t="s">
        <v>612</v>
      </c>
      <c r="I34" s="327"/>
      <c r="J34" s="327"/>
      <c r="K34" s="328"/>
      <c r="L34" s="338" t="str">
        <f>IF(COUNTIF(L35:L46,$AA$3)&gt;=ROWS(L35:L46),$AA$3,"")</f>
        <v/>
      </c>
      <c r="M34" s="329"/>
      <c r="N34" s="325"/>
      <c r="O34" s="328"/>
      <c r="P34" s="325"/>
      <c r="Q34" s="334" t="str">
        <f t="shared" si="0"/>
        <v>EB</v>
      </c>
      <c r="R34" s="335" t="str">
        <f t="shared" si="1"/>
        <v>NC</v>
      </c>
      <c r="S34" s="338" t="str">
        <f>IF(COUNTIF(S35:S46,$AA$3)&gt;=ROWS(S35:S46),$AA$3,"")</f>
        <v/>
      </c>
      <c r="T34" s="329"/>
      <c r="U34" s="325"/>
      <c r="V34" s="328"/>
      <c r="W34" s="325"/>
      <c r="X34" s="334" t="str">
        <f t="shared" si="2"/>
        <v>EB</v>
      </c>
      <c r="Y34" s="335" t="str">
        <f t="shared" si="3"/>
        <v>NC</v>
      </c>
      <c r="Z34" s="205"/>
      <c r="AA34" s="265" t="e">
        <f>重み_前!M34</f>
        <v>#DIV/0!</v>
      </c>
      <c r="AB34" s="265" t="e">
        <f>重み_後!N34</f>
        <v>#DIV/0!</v>
      </c>
      <c r="AC34" s="235" t="e">
        <f>重み_前!D34</f>
        <v>#DIV/0!</v>
      </c>
      <c r="AD34" s="235"/>
      <c r="AE34" s="235" t="e">
        <f>重み_後!D34</f>
        <v>#DIV/0!</v>
      </c>
      <c r="AF34" s="235"/>
      <c r="AG34" s="235"/>
      <c r="AH34" s="236">
        <f>重み_前!N34</f>
        <v>1</v>
      </c>
      <c r="AI34" s="236" t="e">
        <f>重み_後!O34</f>
        <v>#DIV/0!</v>
      </c>
      <c r="AJ34" s="235" t="e">
        <f>重み_前!E34</f>
        <v>#DIV/0!</v>
      </c>
      <c r="AK34" s="235"/>
      <c r="AL34" s="235" t="e">
        <f>重み_後!E34</f>
        <v>#DIV/0!</v>
      </c>
    </row>
    <row r="35" spans="2:38" ht="14.25" thickBot="1">
      <c r="B35" s="288"/>
      <c r="C35" s="289">
        <v>3.1</v>
      </c>
      <c r="D35" s="326" t="s">
        <v>631</v>
      </c>
      <c r="E35" s="370"/>
      <c r="F35" s="280" t="s">
        <v>632</v>
      </c>
      <c r="G35" s="280" t="s">
        <v>632</v>
      </c>
      <c r="H35" s="280" t="s">
        <v>633</v>
      </c>
      <c r="I35" s="327"/>
      <c r="J35" s="327"/>
      <c r="K35" s="328"/>
      <c r="L35" s="292" t="str">
        <f>IF(COUNTIF(L36:L38,$AA$3)&gt;=ROWS(L36:L38),$AA$3,"")</f>
        <v/>
      </c>
      <c r="M35" s="329"/>
      <c r="N35" s="293"/>
      <c r="O35" s="328"/>
      <c r="P35" s="293"/>
      <c r="Q35" s="294" t="str">
        <f t="shared" si="0"/>
        <v>EB</v>
      </c>
      <c r="R35" s="295" t="str">
        <f t="shared" si="1"/>
        <v>NC</v>
      </c>
      <c r="S35" s="292" t="str">
        <f>IF(COUNTIF(S36:S38,$AA$3)&gt;=ROWS(S36:S38),$AA$3,"")</f>
        <v/>
      </c>
      <c r="T35" s="329"/>
      <c r="U35" s="293"/>
      <c r="V35" s="328"/>
      <c r="W35" s="293"/>
      <c r="X35" s="294" t="str">
        <f t="shared" si="2"/>
        <v>EB</v>
      </c>
      <c r="Y35" s="295" t="str">
        <f t="shared" si="3"/>
        <v>NC</v>
      </c>
      <c r="Z35" s="205"/>
      <c r="AA35" s="265" t="e">
        <f>重み_前!M35</f>
        <v>#DIV/0!</v>
      </c>
      <c r="AB35" s="265" t="e">
        <f>重み_後!N35</f>
        <v>#DIV/0!</v>
      </c>
      <c r="AC35" s="235" t="e">
        <f>重み_前!D35</f>
        <v>#DIV/0!</v>
      </c>
      <c r="AD35" s="235"/>
      <c r="AE35" s="235" t="e">
        <f>重み_後!D35</f>
        <v>#DIV/0!</v>
      </c>
      <c r="AF35" s="235"/>
      <c r="AG35" s="235"/>
      <c r="AH35" s="236" t="e">
        <f>重み_前!N35</f>
        <v>#DIV/0!</v>
      </c>
      <c r="AI35" s="236" t="e">
        <f>重み_後!O35</f>
        <v>#DIV/0!</v>
      </c>
      <c r="AJ35" s="235" t="e">
        <f>重み_前!E35</f>
        <v>#DIV/0!</v>
      </c>
      <c r="AK35" s="235"/>
      <c r="AL35" s="235" t="e">
        <f>重み_後!E35</f>
        <v>#DIV/0!</v>
      </c>
    </row>
    <row r="36" spans="2:38" ht="13.5">
      <c r="B36" s="288"/>
      <c r="C36" s="2401"/>
      <c r="D36" s="297">
        <v>1</v>
      </c>
      <c r="E36" s="317" t="s">
        <v>634</v>
      </c>
      <c r="F36" s="280" t="s">
        <v>635</v>
      </c>
      <c r="G36" s="280" t="s">
        <v>635</v>
      </c>
      <c r="H36" s="280" t="s">
        <v>602</v>
      </c>
      <c r="I36" s="280" t="s">
        <v>635</v>
      </c>
      <c r="J36" s="280" t="s">
        <v>635</v>
      </c>
      <c r="K36" s="298" t="s">
        <v>602</v>
      </c>
      <c r="L36" s="299"/>
      <c r="M36" s="300" t="str">
        <f>IF(L36=$AA$3,$I36,$J36)</f>
        <v>EB</v>
      </c>
      <c r="N36" s="301">
        <v>3</v>
      </c>
      <c r="O36" s="298" t="str">
        <f>IF(L36=$AA$3,$I36,$K36)</f>
        <v>NC</v>
      </c>
      <c r="P36" s="301">
        <v>3</v>
      </c>
      <c r="Q36" s="302" t="str">
        <f t="shared" si="0"/>
        <v>EB</v>
      </c>
      <c r="R36" s="299" t="str">
        <f t="shared" si="1"/>
        <v>NC</v>
      </c>
      <c r="S36" s="299"/>
      <c r="T36" s="300" t="str">
        <f>IF(S36=$AA$3,$I36,$J36)</f>
        <v>EB</v>
      </c>
      <c r="U36" s="301">
        <v>3</v>
      </c>
      <c r="V36" s="298" t="str">
        <f>IF(S36=$AA$3,$I36,$K36)</f>
        <v>NC</v>
      </c>
      <c r="W36" s="301">
        <v>3</v>
      </c>
      <c r="X36" s="302" t="str">
        <f t="shared" si="2"/>
        <v>EB</v>
      </c>
      <c r="Y36" s="299" t="str">
        <f t="shared" si="3"/>
        <v>NC</v>
      </c>
      <c r="Z36" s="205"/>
      <c r="AA36" s="265" t="e">
        <f>重み_前!M36</f>
        <v>#DIV/0!</v>
      </c>
      <c r="AB36" s="265" t="e">
        <f>重み_後!N36</f>
        <v>#DIV/0!</v>
      </c>
      <c r="AC36" s="235" t="e">
        <f>重み_前!D36</f>
        <v>#DIV/0!</v>
      </c>
      <c r="AD36" s="235"/>
      <c r="AE36" s="235" t="e">
        <f>重み_後!D36</f>
        <v>#DIV/0!</v>
      </c>
      <c r="AF36" s="235"/>
      <c r="AG36" s="235"/>
      <c r="AH36" s="236" t="e">
        <f>重み_前!N36</f>
        <v>#DIV/0!</v>
      </c>
      <c r="AI36" s="236" t="e">
        <f>重み_後!O36</f>
        <v>#DIV/0!</v>
      </c>
      <c r="AJ36" s="235" t="e">
        <f>重み_前!E36</f>
        <v>#DIV/0!</v>
      </c>
      <c r="AK36" s="235"/>
      <c r="AL36" s="235" t="e">
        <f>重み_後!E36</f>
        <v>#DIV/0!</v>
      </c>
    </row>
    <row r="37" spans="2:38" ht="13.5">
      <c r="B37" s="288"/>
      <c r="C37" s="2401"/>
      <c r="D37" s="297">
        <v>2</v>
      </c>
      <c r="E37" s="317" t="s">
        <v>636</v>
      </c>
      <c r="F37" s="280" t="s">
        <v>637</v>
      </c>
      <c r="G37" s="280" t="s">
        <v>637</v>
      </c>
      <c r="H37" s="280" t="s">
        <v>602</v>
      </c>
      <c r="I37" s="280" t="s">
        <v>637</v>
      </c>
      <c r="J37" s="280" t="s">
        <v>637</v>
      </c>
      <c r="K37" s="298" t="s">
        <v>602</v>
      </c>
      <c r="L37" s="312"/>
      <c r="M37" s="300" t="str">
        <f>IF(L37=$AA$3,$I37,$J37)</f>
        <v>EB</v>
      </c>
      <c r="N37" s="313">
        <v>3</v>
      </c>
      <c r="O37" s="298" t="str">
        <f>IF(L37=$AA$3,$I37,$K37)</f>
        <v>NC</v>
      </c>
      <c r="P37" s="313">
        <v>3</v>
      </c>
      <c r="Q37" s="314" t="str">
        <f t="shared" si="0"/>
        <v>EB</v>
      </c>
      <c r="R37" s="312" t="str">
        <f t="shared" si="1"/>
        <v>NC</v>
      </c>
      <c r="S37" s="312"/>
      <c r="T37" s="300" t="str">
        <f>IF(S37=$AA$3,$I37,$J37)</f>
        <v>EB</v>
      </c>
      <c r="U37" s="313">
        <v>3</v>
      </c>
      <c r="V37" s="298" t="str">
        <f>IF(S37=$AA$3,$I37,$K37)</f>
        <v>NC</v>
      </c>
      <c r="W37" s="313">
        <v>3</v>
      </c>
      <c r="X37" s="314" t="str">
        <f t="shared" si="2"/>
        <v>EB</v>
      </c>
      <c r="Y37" s="312" t="str">
        <f t="shared" si="3"/>
        <v>NC</v>
      </c>
      <c r="Z37" s="205"/>
      <c r="AA37" s="265" t="e">
        <f>重み_前!M37</f>
        <v>#DIV/0!</v>
      </c>
      <c r="AB37" s="265" t="e">
        <f>重み_後!N37</f>
        <v>#DIV/0!</v>
      </c>
      <c r="AC37" s="235" t="e">
        <f>重み_前!D37</f>
        <v>#DIV/0!</v>
      </c>
      <c r="AD37" s="235"/>
      <c r="AE37" s="235" t="e">
        <f>重み_後!D37</f>
        <v>#DIV/0!</v>
      </c>
      <c r="AF37" s="235"/>
      <c r="AG37" s="235"/>
      <c r="AH37" s="236" t="e">
        <f>重み_前!N37</f>
        <v>#DIV/0!</v>
      </c>
      <c r="AI37" s="236" t="e">
        <f>重み_後!O37</f>
        <v>#DIV/0!</v>
      </c>
      <c r="AJ37" s="235" t="e">
        <f>重み_前!E37</f>
        <v>#DIV/0!</v>
      </c>
      <c r="AK37" s="235"/>
      <c r="AL37" s="235" t="e">
        <f>重み_後!E37</f>
        <v>#DIV/0!</v>
      </c>
    </row>
    <row r="38" spans="2:38" ht="14.25" thickBot="1">
      <c r="B38" s="288"/>
      <c r="C38" s="2405"/>
      <c r="D38" s="297">
        <v>3</v>
      </c>
      <c r="E38" s="317" t="s">
        <v>638</v>
      </c>
      <c r="F38" s="280" t="s">
        <v>639</v>
      </c>
      <c r="G38" s="280" t="s">
        <v>639</v>
      </c>
      <c r="H38" s="280" t="s">
        <v>602</v>
      </c>
      <c r="I38" s="280" t="s">
        <v>639</v>
      </c>
      <c r="J38" s="280" t="s">
        <v>639</v>
      </c>
      <c r="K38" s="298" t="s">
        <v>602</v>
      </c>
      <c r="L38" s="305"/>
      <c r="M38" s="300" t="str">
        <f>IF(L38=$AA$3,$I38,$J38)</f>
        <v>EB</v>
      </c>
      <c r="N38" s="306">
        <v>3</v>
      </c>
      <c r="O38" s="298" t="str">
        <f>IF(L38=$AA$3,$I38,$K38)</f>
        <v>NC</v>
      </c>
      <c r="P38" s="306">
        <v>3</v>
      </c>
      <c r="Q38" s="307" t="str">
        <f t="shared" si="0"/>
        <v>EB</v>
      </c>
      <c r="R38" s="305" t="str">
        <f t="shared" si="1"/>
        <v>NC</v>
      </c>
      <c r="S38" s="305"/>
      <c r="T38" s="300" t="str">
        <f>IF(S38=$AA$3,$I38,$J38)</f>
        <v>EB</v>
      </c>
      <c r="U38" s="306">
        <v>3</v>
      </c>
      <c r="V38" s="298" t="str">
        <f>IF(S38=$AA$3,$I38,$K38)</f>
        <v>NC</v>
      </c>
      <c r="W38" s="306">
        <v>3</v>
      </c>
      <c r="X38" s="307" t="str">
        <f t="shared" si="2"/>
        <v>EB</v>
      </c>
      <c r="Y38" s="305" t="str">
        <f t="shared" si="3"/>
        <v>NC</v>
      </c>
      <c r="Z38" s="205"/>
      <c r="AA38" s="265" t="e">
        <f>重み_前!M38</f>
        <v>#DIV/0!</v>
      </c>
      <c r="AB38" s="265" t="e">
        <f>重み_後!N38</f>
        <v>#DIV/0!</v>
      </c>
      <c r="AC38" s="235" t="e">
        <f>重み_前!D38</f>
        <v>#DIV/0!</v>
      </c>
      <c r="AD38" s="235"/>
      <c r="AE38" s="235" t="e">
        <f>重み_後!D38</f>
        <v>#DIV/0!</v>
      </c>
      <c r="AF38" s="235"/>
      <c r="AG38" s="235"/>
      <c r="AH38" s="236" t="e">
        <f>重み_前!N38</f>
        <v>#DIV/0!</v>
      </c>
      <c r="AI38" s="236" t="e">
        <f>重み_後!O38</f>
        <v>#DIV/0!</v>
      </c>
      <c r="AJ38" s="235" t="e">
        <f>重み_前!E38</f>
        <v>#DIV/0!</v>
      </c>
      <c r="AK38" s="235"/>
      <c r="AL38" s="235" t="e">
        <f>重み_後!E38</f>
        <v>#DIV/0!</v>
      </c>
    </row>
    <row r="39" spans="2:38" ht="14.25" thickBot="1">
      <c r="B39" s="331"/>
      <c r="C39" s="308">
        <v>3.2</v>
      </c>
      <c r="D39" s="290" t="s">
        <v>640</v>
      </c>
      <c r="E39" s="370"/>
      <c r="F39" s="280" t="s">
        <v>641</v>
      </c>
      <c r="G39" s="280" t="s">
        <v>641</v>
      </c>
      <c r="H39" s="280" t="s">
        <v>642</v>
      </c>
      <c r="I39" s="327"/>
      <c r="J39" s="327"/>
      <c r="K39" s="328"/>
      <c r="L39" s="295" t="str">
        <f>IF(COUNTIF(L40:L41,$AA$3)&gt;=ROWS(L40:L41),$AA$3,"")</f>
        <v/>
      </c>
      <c r="M39" s="329"/>
      <c r="N39" s="309"/>
      <c r="O39" s="328"/>
      <c r="P39" s="309"/>
      <c r="Q39" s="310" t="str">
        <f t="shared" si="0"/>
        <v>EB</v>
      </c>
      <c r="R39" s="311" t="str">
        <f t="shared" si="1"/>
        <v>NC</v>
      </c>
      <c r="S39" s="295" t="str">
        <f>IF(COUNTIF(S40:S41,$AA$3)&gt;=ROWS(S40:S41),$AA$3,"")</f>
        <v/>
      </c>
      <c r="T39" s="329"/>
      <c r="U39" s="309"/>
      <c r="V39" s="328"/>
      <c r="W39" s="309"/>
      <c r="X39" s="310" t="str">
        <f t="shared" si="2"/>
        <v>EB</v>
      </c>
      <c r="Y39" s="311" t="str">
        <f t="shared" si="3"/>
        <v>NC</v>
      </c>
      <c r="Z39" s="205"/>
      <c r="AA39" s="265" t="e">
        <f>重み_前!M39</f>
        <v>#DIV/0!</v>
      </c>
      <c r="AB39" s="265" t="e">
        <f>重み_後!N39</f>
        <v>#DIV/0!</v>
      </c>
      <c r="AC39" s="235" t="e">
        <f>重み_前!D39</f>
        <v>#DIV/0!</v>
      </c>
      <c r="AD39" s="235"/>
      <c r="AE39" s="235" t="e">
        <f>重み_後!D39</f>
        <v>#DIV/0!</v>
      </c>
      <c r="AF39" s="235"/>
      <c r="AG39" s="235"/>
      <c r="AH39" s="236" t="e">
        <f>重み_前!N39</f>
        <v>#DIV/0!</v>
      </c>
      <c r="AI39" s="236" t="e">
        <f>重み_後!O39</f>
        <v>#DIV/0!</v>
      </c>
      <c r="AJ39" s="235" t="e">
        <f>重み_前!E39</f>
        <v>#DIV/0!</v>
      </c>
      <c r="AK39" s="235"/>
      <c r="AL39" s="235" t="e">
        <f>重み_後!E39</f>
        <v>#DIV/0!</v>
      </c>
    </row>
    <row r="40" spans="2:38" ht="13.5" hidden="1">
      <c r="B40" s="331"/>
      <c r="C40" s="2401"/>
      <c r="D40" s="2106">
        <v>1</v>
      </c>
      <c r="E40" s="2082" t="s">
        <v>643</v>
      </c>
      <c r="F40" s="280" t="s">
        <v>644</v>
      </c>
      <c r="G40" s="280" t="s">
        <v>644</v>
      </c>
      <c r="H40" s="280" t="s">
        <v>602</v>
      </c>
      <c r="I40" s="280" t="s">
        <v>644</v>
      </c>
      <c r="J40" s="280" t="s">
        <v>644</v>
      </c>
      <c r="K40" s="298" t="s">
        <v>602</v>
      </c>
      <c r="L40" s="414" t="s">
        <v>570</v>
      </c>
      <c r="M40" s="300" t="str">
        <f>IF(L40=$AA$3,$I40,$J40)</f>
        <v>EB</v>
      </c>
      <c r="N40" s="2110">
        <v>0</v>
      </c>
      <c r="O40" s="298" t="str">
        <f>IF(L40=$AA$3,$I40,$K40)</f>
        <v>EB</v>
      </c>
      <c r="P40" s="2110">
        <v>0</v>
      </c>
      <c r="Q40" s="418" t="str">
        <f t="shared" si="0"/>
        <v>EB</v>
      </c>
      <c r="R40" s="414" t="str">
        <f t="shared" si="1"/>
        <v>EB</v>
      </c>
      <c r="S40" s="414"/>
      <c r="T40" s="300" t="str">
        <f>IF(S40=$AA$3,$I40,$J40)</f>
        <v>EB</v>
      </c>
      <c r="U40" s="2110">
        <v>0</v>
      </c>
      <c r="V40" s="298" t="str">
        <f>IF(S40=$AA$3,$I40,$K40)</f>
        <v>NC</v>
      </c>
      <c r="W40" s="2110">
        <v>0</v>
      </c>
      <c r="X40" s="302" t="str">
        <f t="shared" si="2"/>
        <v>EB</v>
      </c>
      <c r="Y40" s="299" t="str">
        <f t="shared" si="3"/>
        <v>NC</v>
      </c>
      <c r="Z40" s="205"/>
      <c r="AA40" s="265" t="e">
        <f>重み_前!M40</f>
        <v>#DIV/0!</v>
      </c>
      <c r="AB40" s="265" t="e">
        <f>重み_後!N40</f>
        <v>#DIV/0!</v>
      </c>
      <c r="AC40" s="235" t="e">
        <f>重み_前!D40</f>
        <v>#DIV/0!</v>
      </c>
      <c r="AD40" s="235"/>
      <c r="AE40" s="235" t="e">
        <f>重み_後!D40</f>
        <v>#DIV/0!</v>
      </c>
      <c r="AF40" s="235"/>
      <c r="AG40" s="235"/>
      <c r="AH40" s="236" t="e">
        <f>重み_前!N40</f>
        <v>#DIV/0!</v>
      </c>
      <c r="AI40" s="236" t="e">
        <f>重み_後!O40</f>
        <v>#DIV/0!</v>
      </c>
      <c r="AJ40" s="235" t="e">
        <f>重み_前!E40</f>
        <v>#DIV/0!</v>
      </c>
      <c r="AK40" s="235"/>
      <c r="AL40" s="235" t="e">
        <f>重み_後!E40</f>
        <v>#DIV/0!</v>
      </c>
    </row>
    <row r="41" spans="2:38" ht="13.5">
      <c r="B41" s="331"/>
      <c r="C41" s="2401"/>
      <c r="D41" s="297">
        <v>1</v>
      </c>
      <c r="E41" s="317" t="s">
        <v>645</v>
      </c>
      <c r="F41" s="280" t="s">
        <v>637</v>
      </c>
      <c r="G41" s="280" t="s">
        <v>637</v>
      </c>
      <c r="H41" s="280" t="s">
        <v>602</v>
      </c>
      <c r="I41" s="280" t="s">
        <v>637</v>
      </c>
      <c r="J41" s="280" t="s">
        <v>637</v>
      </c>
      <c r="K41" s="298" t="s">
        <v>602</v>
      </c>
      <c r="L41" s="312"/>
      <c r="M41" s="300" t="str">
        <f t="shared" ref="M41:M46" si="12">IF(L41=$AA$3,$I41,$J41)</f>
        <v>EB</v>
      </c>
      <c r="N41" s="313">
        <v>3</v>
      </c>
      <c r="O41" s="298" t="str">
        <f t="shared" ref="O41:O46" si="13">IF(L41=$AA$3,$I41,$K41)</f>
        <v>NC</v>
      </c>
      <c r="P41" s="313">
        <v>3</v>
      </c>
      <c r="Q41" s="314" t="str">
        <f>IF(L41=$AA$3,$F41,$G41)</f>
        <v>EB</v>
      </c>
      <c r="R41" s="312" t="str">
        <f>IF(L41=$AA$3,$F41,$H41)</f>
        <v>NC</v>
      </c>
      <c r="S41" s="312"/>
      <c r="T41" s="300" t="str">
        <f t="shared" ref="T41:T46" si="14">IF(S41=$AA$3,$I41,$J41)</f>
        <v>EB</v>
      </c>
      <c r="U41" s="313">
        <v>3</v>
      </c>
      <c r="V41" s="298" t="str">
        <f t="shared" ref="V41:V46" si="15">IF(S41=$AA$3,$I41,$K41)</f>
        <v>NC</v>
      </c>
      <c r="W41" s="313">
        <v>3</v>
      </c>
      <c r="X41" s="314" t="str">
        <f t="shared" si="2"/>
        <v>EB</v>
      </c>
      <c r="Y41" s="312" t="str">
        <f t="shared" si="3"/>
        <v>NC</v>
      </c>
      <c r="Z41" s="205"/>
      <c r="AA41" s="265" t="e">
        <f>重み_前!M41</f>
        <v>#DIV/0!</v>
      </c>
      <c r="AB41" s="265" t="e">
        <f>重み_後!N41</f>
        <v>#DIV/0!</v>
      </c>
      <c r="AC41" s="235" t="e">
        <f>重み_前!D41</f>
        <v>#DIV/0!</v>
      </c>
      <c r="AD41" s="235"/>
      <c r="AE41" s="235" t="e">
        <f>重み_後!D41</f>
        <v>#DIV/0!</v>
      </c>
      <c r="AF41" s="235"/>
      <c r="AG41" s="235"/>
      <c r="AH41" s="236" t="e">
        <f>重み_前!N41</f>
        <v>#DIV/0!</v>
      </c>
      <c r="AI41" s="236" t="e">
        <f>重み_後!O41</f>
        <v>#DIV/0!</v>
      </c>
      <c r="AJ41" s="235" t="e">
        <f>重み_前!E41</f>
        <v>#DIV/0!</v>
      </c>
      <c r="AK41" s="235"/>
      <c r="AL41" s="235" t="e">
        <f>重み_後!E41</f>
        <v>#DIV/0!</v>
      </c>
    </row>
    <row r="42" spans="2:38" ht="14.25" thickBot="1">
      <c r="B42" s="331"/>
      <c r="C42" s="2405"/>
      <c r="D42" s="297">
        <v>2</v>
      </c>
      <c r="E42" s="317" t="s">
        <v>844</v>
      </c>
      <c r="F42" s="280" t="s">
        <v>637</v>
      </c>
      <c r="G42" s="280" t="s">
        <v>637</v>
      </c>
      <c r="H42" s="280" t="s">
        <v>602</v>
      </c>
      <c r="I42" s="280" t="s">
        <v>637</v>
      </c>
      <c r="J42" s="280" t="s">
        <v>637</v>
      </c>
      <c r="K42" s="298">
        <v>0</v>
      </c>
      <c r="L42" s="313"/>
      <c r="M42" s="300" t="str">
        <f t="shared" si="12"/>
        <v>EB</v>
      </c>
      <c r="N42" s="313">
        <v>3</v>
      </c>
      <c r="O42" s="298">
        <f t="shared" si="13"/>
        <v>0</v>
      </c>
      <c r="P42" s="313">
        <v>3</v>
      </c>
      <c r="Q42" s="307" t="str">
        <f>IF(L42=$AA$3,$F42,$G42)</f>
        <v>EB</v>
      </c>
      <c r="R42" s="305" t="str">
        <f>IF(L42=$AA$3,$F42,$H42)</f>
        <v>NC</v>
      </c>
      <c r="S42" s="313"/>
      <c r="T42" s="300" t="str">
        <f t="shared" si="14"/>
        <v>EB</v>
      </c>
      <c r="U42" s="313">
        <v>3</v>
      </c>
      <c r="V42" s="298">
        <f t="shared" si="15"/>
        <v>0</v>
      </c>
      <c r="W42" s="313">
        <v>3</v>
      </c>
      <c r="X42" s="307" t="str">
        <f t="shared" si="2"/>
        <v>EB</v>
      </c>
      <c r="Y42" s="305" t="str">
        <f t="shared" si="3"/>
        <v>NC</v>
      </c>
      <c r="Z42" s="205"/>
      <c r="AA42" s="265" t="e">
        <f>重み_前!M42</f>
        <v>#DIV/0!</v>
      </c>
      <c r="AB42" s="265" t="e">
        <f>重み_後!N42</f>
        <v>#DIV/0!</v>
      </c>
      <c r="AC42" s="235" t="e">
        <f>重み_前!D42</f>
        <v>#DIV/0!</v>
      </c>
      <c r="AD42" s="235"/>
      <c r="AE42" s="235" t="e">
        <f>重み_後!D42</f>
        <v>#DIV/0!</v>
      </c>
      <c r="AF42" s="235"/>
      <c r="AG42" s="235"/>
      <c r="AH42" s="236" t="e">
        <f>重み_前!N42</f>
        <v>#DIV/0!</v>
      </c>
      <c r="AI42" s="236" t="e">
        <f>重み_後!O42</f>
        <v>#DIV/0!</v>
      </c>
      <c r="AJ42" s="235" t="e">
        <f>重み_前!E42</f>
        <v>#DIV/0!</v>
      </c>
      <c r="AK42" s="235"/>
      <c r="AL42" s="235" t="e">
        <f>重み_後!E42</f>
        <v>#DIV/0!</v>
      </c>
    </row>
    <row r="43" spans="2:38" ht="13.5">
      <c r="B43" s="340"/>
      <c r="C43" s="289">
        <v>3.3</v>
      </c>
      <c r="D43" s="326" t="s">
        <v>646</v>
      </c>
      <c r="E43" s="326"/>
      <c r="F43" s="280" t="s">
        <v>421</v>
      </c>
      <c r="G43" s="280" t="s">
        <v>421</v>
      </c>
      <c r="H43" s="280" t="s">
        <v>422</v>
      </c>
      <c r="I43" s="280" t="s">
        <v>637</v>
      </c>
      <c r="J43" s="280" t="s">
        <v>637</v>
      </c>
      <c r="K43" s="298" t="s">
        <v>602</v>
      </c>
      <c r="L43" s="312"/>
      <c r="M43" s="300" t="str">
        <f t="shared" si="12"/>
        <v>EB</v>
      </c>
      <c r="N43" s="313">
        <v>3</v>
      </c>
      <c r="O43" s="298" t="str">
        <f t="shared" si="13"/>
        <v>NC</v>
      </c>
      <c r="P43" s="313">
        <v>3</v>
      </c>
      <c r="Q43" s="302" t="str">
        <f>IF(L43=$AA$3,$F43,$G43)</f>
        <v>EB</v>
      </c>
      <c r="R43" s="299" t="str">
        <f>IF(L43=$AA$3,$F43,$H43)</f>
        <v>NC</v>
      </c>
      <c r="S43" s="312"/>
      <c r="T43" s="300" t="str">
        <f t="shared" si="14"/>
        <v>EB</v>
      </c>
      <c r="U43" s="313">
        <v>3</v>
      </c>
      <c r="V43" s="298" t="str">
        <f t="shared" si="15"/>
        <v>NC</v>
      </c>
      <c r="W43" s="313">
        <v>3</v>
      </c>
      <c r="X43" s="310" t="str">
        <f t="shared" ref="X43:X60" si="16">IF(S43=$AA$3,$F43,$G43)</f>
        <v>EB</v>
      </c>
      <c r="Y43" s="311" t="str">
        <f t="shared" ref="Y43:Y60" si="17">IF(S43=$AA$3,$F43,$H43)</f>
        <v>NC</v>
      </c>
      <c r="Z43" s="205"/>
      <c r="AA43" s="265" t="e">
        <f>重み_前!M43</f>
        <v>#DIV/0!</v>
      </c>
      <c r="AB43" s="265" t="e">
        <f>重み_後!N43</f>
        <v>#DIV/0!</v>
      </c>
      <c r="AC43" s="235" t="e">
        <f>重み_前!D43</f>
        <v>#DIV/0!</v>
      </c>
      <c r="AD43" s="235"/>
      <c r="AE43" s="235" t="e">
        <f>重み_後!D43</f>
        <v>#DIV/0!</v>
      </c>
      <c r="AF43" s="235"/>
      <c r="AG43" s="235"/>
      <c r="AH43" s="236" t="e">
        <f>重み_前!N43</f>
        <v>#DIV/0!</v>
      </c>
      <c r="AI43" s="236" t="e">
        <f>重み_後!O43</f>
        <v>#DIV/0!</v>
      </c>
      <c r="AJ43" s="235" t="e">
        <f>重み_前!E43</f>
        <v>#DIV/0!</v>
      </c>
      <c r="AK43" s="235"/>
      <c r="AL43" s="235" t="e">
        <f>重み_後!E43</f>
        <v>#DIV/0!</v>
      </c>
    </row>
    <row r="44" spans="2:38" ht="13.5" hidden="1">
      <c r="B44" s="340"/>
      <c r="C44" s="2406"/>
      <c r="D44" s="2106">
        <v>1</v>
      </c>
      <c r="E44" s="2082" t="s">
        <v>1761</v>
      </c>
      <c r="F44" s="280" t="s">
        <v>421</v>
      </c>
      <c r="G44" s="280" t="s">
        <v>421</v>
      </c>
      <c r="H44" s="280" t="s">
        <v>602</v>
      </c>
      <c r="I44" s="280" t="s">
        <v>421</v>
      </c>
      <c r="J44" s="280" t="s">
        <v>421</v>
      </c>
      <c r="K44" s="298" t="s">
        <v>602</v>
      </c>
      <c r="L44" s="299" t="s">
        <v>570</v>
      </c>
      <c r="M44" s="300" t="str">
        <f t="shared" si="12"/>
        <v>EB</v>
      </c>
      <c r="N44" s="301"/>
      <c r="O44" s="298" t="str">
        <f t="shared" si="13"/>
        <v>EB</v>
      </c>
      <c r="P44" s="301"/>
      <c r="Q44" s="302" t="str">
        <f t="shared" ref="Q44:Q60" si="18">IF(L44=$AA$3,$F44,$G44)</f>
        <v>EB</v>
      </c>
      <c r="R44" s="299" t="str">
        <f t="shared" ref="R44:R60" si="19">IF(L44=$AA$3,$F44,$H44)</f>
        <v>EB</v>
      </c>
      <c r="S44" s="299"/>
      <c r="T44" s="300" t="str">
        <f t="shared" si="14"/>
        <v>EB</v>
      </c>
      <c r="U44" s="301">
        <v>0</v>
      </c>
      <c r="V44" s="298" t="str">
        <f t="shared" si="15"/>
        <v>NC</v>
      </c>
      <c r="W44" s="301">
        <v>0</v>
      </c>
      <c r="X44" s="302" t="str">
        <f t="shared" si="16"/>
        <v>EB</v>
      </c>
      <c r="Y44" s="299" t="str">
        <f t="shared" si="17"/>
        <v>NC</v>
      </c>
      <c r="Z44" s="205"/>
      <c r="AA44" s="265" t="e">
        <f>重み_前!M44</f>
        <v>#DIV/0!</v>
      </c>
      <c r="AB44" s="265">
        <f>重み_後!N44</f>
        <v>0</v>
      </c>
      <c r="AC44" s="235" t="e">
        <f>重み_前!D44</f>
        <v>#DIV/0!</v>
      </c>
      <c r="AD44" s="235"/>
      <c r="AE44" s="235">
        <f>重み_後!D44</f>
        <v>0</v>
      </c>
      <c r="AF44" s="235"/>
      <c r="AG44" s="235"/>
      <c r="AH44" s="236" t="e">
        <f>重み_前!N44</f>
        <v>#DIV/0!</v>
      </c>
      <c r="AI44" s="236">
        <f>重み_後!O44</f>
        <v>0</v>
      </c>
      <c r="AJ44" s="235" t="e">
        <f>重み_前!E44</f>
        <v>#DIV/0!</v>
      </c>
      <c r="AK44" s="235"/>
      <c r="AL44" s="235">
        <f>重み_後!E44</f>
        <v>0</v>
      </c>
    </row>
    <row r="45" spans="2:38" ht="13.5" hidden="1">
      <c r="B45" s="340"/>
      <c r="C45" s="2407"/>
      <c r="D45" s="2106">
        <v>2</v>
      </c>
      <c r="E45" s="2082" t="s">
        <v>1762</v>
      </c>
      <c r="F45" s="280" t="s">
        <v>635</v>
      </c>
      <c r="G45" s="280" t="s">
        <v>635</v>
      </c>
      <c r="H45" s="280" t="s">
        <v>602</v>
      </c>
      <c r="I45" s="280" t="s">
        <v>635</v>
      </c>
      <c r="J45" s="280" t="s">
        <v>635</v>
      </c>
      <c r="K45" s="298" t="s">
        <v>602</v>
      </c>
      <c r="L45" s="313" t="s">
        <v>570</v>
      </c>
      <c r="M45" s="300" t="str">
        <f t="shared" si="12"/>
        <v>EB</v>
      </c>
      <c r="N45" s="313"/>
      <c r="O45" s="298" t="str">
        <f t="shared" si="13"/>
        <v>EB</v>
      </c>
      <c r="P45" s="313"/>
      <c r="Q45" s="341" t="str">
        <f t="shared" si="18"/>
        <v>EB</v>
      </c>
      <c r="R45" s="342" t="str">
        <f t="shared" si="19"/>
        <v>EB</v>
      </c>
      <c r="S45" s="313"/>
      <c r="T45" s="300" t="str">
        <f t="shared" si="14"/>
        <v>EB</v>
      </c>
      <c r="U45" s="343">
        <v>0</v>
      </c>
      <c r="V45" s="298" t="str">
        <f t="shared" si="15"/>
        <v>NC</v>
      </c>
      <c r="W45" s="343">
        <v>0</v>
      </c>
      <c r="X45" s="341" t="str">
        <f t="shared" si="16"/>
        <v>EB</v>
      </c>
      <c r="Y45" s="342" t="str">
        <f t="shared" si="17"/>
        <v>NC</v>
      </c>
      <c r="Z45" s="205"/>
      <c r="AA45" s="265" t="e">
        <f>重み_前!M45</f>
        <v>#DIV/0!</v>
      </c>
      <c r="AB45" s="265">
        <f>重み_後!N45</f>
        <v>0</v>
      </c>
      <c r="AC45" s="235" t="e">
        <f>重み_前!D45</f>
        <v>#DIV/0!</v>
      </c>
      <c r="AD45" s="235"/>
      <c r="AE45" s="235">
        <f>重み_後!D45</f>
        <v>0</v>
      </c>
      <c r="AF45" s="235"/>
      <c r="AG45" s="235"/>
      <c r="AH45" s="236" t="e">
        <f>重み_前!N45</f>
        <v>#DIV/0!</v>
      </c>
      <c r="AI45" s="236">
        <f>重み_後!O45</f>
        <v>0</v>
      </c>
      <c r="AJ45" s="235" t="e">
        <f>重み_前!E45</f>
        <v>#DIV/0!</v>
      </c>
      <c r="AK45" s="235"/>
      <c r="AL45" s="235">
        <f>重み_後!E45</f>
        <v>0</v>
      </c>
    </row>
    <row r="46" spans="2:38" ht="14.25" thickBot="1">
      <c r="B46" s="344"/>
      <c r="C46" s="316">
        <v>3.4</v>
      </c>
      <c r="D46" s="2949" t="s">
        <v>647</v>
      </c>
      <c r="E46" s="2950"/>
      <c r="F46" s="280" t="s">
        <v>637</v>
      </c>
      <c r="G46" s="280" t="s">
        <v>637</v>
      </c>
      <c r="H46" s="280" t="s">
        <v>602</v>
      </c>
      <c r="I46" s="280" t="s">
        <v>637</v>
      </c>
      <c r="J46" s="280" t="s">
        <v>637</v>
      </c>
      <c r="K46" s="298" t="s">
        <v>602</v>
      </c>
      <c r="L46" s="306"/>
      <c r="M46" s="300" t="str">
        <f t="shared" si="12"/>
        <v>EB</v>
      </c>
      <c r="N46" s="318">
        <v>3</v>
      </c>
      <c r="O46" s="298" t="str">
        <f t="shared" si="13"/>
        <v>NC</v>
      </c>
      <c r="P46" s="318">
        <v>3</v>
      </c>
      <c r="Q46" s="307" t="str">
        <f t="shared" si="18"/>
        <v>EB</v>
      </c>
      <c r="R46" s="305" t="str">
        <f t="shared" si="19"/>
        <v>NC</v>
      </c>
      <c r="S46" s="306"/>
      <c r="T46" s="300" t="str">
        <f t="shared" si="14"/>
        <v>EB</v>
      </c>
      <c r="U46" s="318">
        <v>3</v>
      </c>
      <c r="V46" s="298" t="str">
        <f t="shared" si="15"/>
        <v>NC</v>
      </c>
      <c r="W46" s="318">
        <v>3</v>
      </c>
      <c r="X46" s="307" t="str">
        <f t="shared" si="16"/>
        <v>EB</v>
      </c>
      <c r="Y46" s="305" t="str">
        <f t="shared" si="17"/>
        <v>NC</v>
      </c>
      <c r="Z46" s="205"/>
      <c r="AA46" s="265" t="e">
        <f>重み_前!M46</f>
        <v>#DIV/0!</v>
      </c>
      <c r="AB46" s="265" t="e">
        <f>重み_後!N46</f>
        <v>#DIV/0!</v>
      </c>
      <c r="AC46" s="235" t="e">
        <f>重み_前!D46</f>
        <v>#DIV/0!</v>
      </c>
      <c r="AD46" s="235"/>
      <c r="AE46" s="235" t="e">
        <f>重み_後!D46</f>
        <v>#DIV/0!</v>
      </c>
      <c r="AF46" s="235"/>
      <c r="AG46" s="235"/>
      <c r="AH46" s="236" t="e">
        <f>重み_前!N46</f>
        <v>#DIV/0!</v>
      </c>
      <c r="AI46" s="236" t="e">
        <f>重み_後!O46</f>
        <v>#DIV/0!</v>
      </c>
      <c r="AJ46" s="235" t="e">
        <f>重み_前!E46</f>
        <v>#DIV/0!</v>
      </c>
      <c r="AK46" s="235"/>
      <c r="AL46" s="235" t="e">
        <f>重み_後!E46</f>
        <v>#DIV/0!</v>
      </c>
    </row>
    <row r="47" spans="2:38" ht="13.5">
      <c r="B47" s="388">
        <v>4</v>
      </c>
      <c r="C47" s="319" t="s">
        <v>648</v>
      </c>
      <c r="D47" s="389"/>
      <c r="E47" s="370"/>
      <c r="F47" s="280" t="s">
        <v>601</v>
      </c>
      <c r="G47" s="280" t="s">
        <v>601</v>
      </c>
      <c r="H47" s="280" t="s">
        <v>604</v>
      </c>
      <c r="I47" s="327"/>
      <c r="J47" s="327"/>
      <c r="K47" s="328"/>
      <c r="L47" s="323" t="str">
        <f>IF(COUNTIF(L48:L60,$AA$3)&gt;=ROWS(L48:L60),$AA$3,"")</f>
        <v/>
      </c>
      <c r="M47" s="329"/>
      <c r="N47" s="325"/>
      <c r="O47" s="328"/>
      <c r="P47" s="325"/>
      <c r="Q47" s="286" t="str">
        <f t="shared" si="18"/>
        <v>EB</v>
      </c>
      <c r="R47" s="287" t="str">
        <f t="shared" si="19"/>
        <v>NC</v>
      </c>
      <c r="S47" s="323" t="str">
        <f>IF(COUNTIF(S48:S60,$AA$3)&gt;=ROWS(S48:S60),$AA$3,"")</f>
        <v/>
      </c>
      <c r="T47" s="329"/>
      <c r="U47" s="325"/>
      <c r="V47" s="328"/>
      <c r="W47" s="325"/>
      <c r="X47" s="286" t="str">
        <f t="shared" si="16"/>
        <v>EB</v>
      </c>
      <c r="Y47" s="287" t="str">
        <f t="shared" si="17"/>
        <v>NC</v>
      </c>
      <c r="Z47" s="205"/>
      <c r="AA47" s="265" t="e">
        <f>重み_前!M47</f>
        <v>#DIV/0!</v>
      </c>
      <c r="AB47" s="265" t="e">
        <f>重み_後!N47</f>
        <v>#DIV/0!</v>
      </c>
      <c r="AC47" s="235" t="e">
        <f>重み_前!D47</f>
        <v>#DIV/0!</v>
      </c>
      <c r="AD47" s="235"/>
      <c r="AE47" s="235" t="e">
        <f>重み_後!D47</f>
        <v>#DIV/0!</v>
      </c>
      <c r="AF47" s="235"/>
      <c r="AG47" s="235"/>
      <c r="AH47" s="236">
        <f>重み_前!N47</f>
        <v>1</v>
      </c>
      <c r="AI47" s="236" t="e">
        <f>重み_後!O47</f>
        <v>#DIV/0!</v>
      </c>
      <c r="AJ47" s="235" t="e">
        <f>重み_前!E47</f>
        <v>#DIV/0!</v>
      </c>
      <c r="AK47" s="235"/>
      <c r="AL47" s="235" t="e">
        <f>重み_後!E47</f>
        <v>#DIV/0!</v>
      </c>
    </row>
    <row r="48" spans="2:38" ht="14.25" thickBot="1">
      <c r="B48" s="288"/>
      <c r="C48" s="289">
        <v>4.0999999999999996</v>
      </c>
      <c r="D48" s="326" t="s">
        <v>649</v>
      </c>
      <c r="E48" s="326"/>
      <c r="F48" s="280" t="s">
        <v>650</v>
      </c>
      <c r="G48" s="280" t="s">
        <v>650</v>
      </c>
      <c r="H48" s="280" t="s">
        <v>651</v>
      </c>
      <c r="I48" s="327"/>
      <c r="J48" s="327"/>
      <c r="K48" s="328"/>
      <c r="L48" s="292" t="str">
        <f>IF(COUNTIF(L49:L52,$AA$3)&gt;=ROWS(L49:L52),$AA$3,"")</f>
        <v/>
      </c>
      <c r="M48" s="329"/>
      <c r="N48" s="293"/>
      <c r="O48" s="328"/>
      <c r="P48" s="293"/>
      <c r="Q48" s="294" t="str">
        <f t="shared" si="18"/>
        <v>EB</v>
      </c>
      <c r="R48" s="295" t="str">
        <f t="shared" si="19"/>
        <v>NC</v>
      </c>
      <c r="S48" s="292" t="str">
        <f>IF(COUNTIF(S49:S52,$AA$3)&gt;=ROWS(S49:S52),$AA$3,"")</f>
        <v/>
      </c>
      <c r="T48" s="329"/>
      <c r="U48" s="293"/>
      <c r="V48" s="328"/>
      <c r="W48" s="293"/>
      <c r="X48" s="294" t="str">
        <f t="shared" si="16"/>
        <v>EB</v>
      </c>
      <c r="Y48" s="295" t="str">
        <f t="shared" si="17"/>
        <v>NC</v>
      </c>
      <c r="Z48" s="205"/>
      <c r="AA48" s="265" t="e">
        <f>重み_前!M48</f>
        <v>#DIV/0!</v>
      </c>
      <c r="AB48" s="265" t="e">
        <f>重み_後!N48</f>
        <v>#DIV/0!</v>
      </c>
      <c r="AC48" s="235" t="e">
        <f>重み_前!D48</f>
        <v>#DIV/0!</v>
      </c>
      <c r="AD48" s="235"/>
      <c r="AE48" s="235" t="e">
        <f>重み_後!D48</f>
        <v>#DIV/0!</v>
      </c>
      <c r="AF48" s="235"/>
      <c r="AG48" s="235"/>
      <c r="AH48" s="236" t="e">
        <f>重み_前!N48</f>
        <v>#DIV/0!</v>
      </c>
      <c r="AI48" s="236" t="e">
        <f>重み_後!O48</f>
        <v>#DIV/0!</v>
      </c>
      <c r="AJ48" s="235" t="e">
        <f>重み_前!E48</f>
        <v>#DIV/0!</v>
      </c>
      <c r="AK48" s="235"/>
      <c r="AL48" s="235" t="e">
        <f>重み_後!E48</f>
        <v>#DIV/0!</v>
      </c>
    </row>
    <row r="49" spans="2:38" ht="13.5">
      <c r="B49" s="288"/>
      <c r="C49" s="2401"/>
      <c r="D49" s="297">
        <v>1</v>
      </c>
      <c r="E49" s="317" t="s">
        <v>652</v>
      </c>
      <c r="F49" s="280" t="s">
        <v>635</v>
      </c>
      <c r="G49" s="280" t="s">
        <v>635</v>
      </c>
      <c r="H49" s="280" t="s">
        <v>602</v>
      </c>
      <c r="I49" s="280" t="s">
        <v>635</v>
      </c>
      <c r="J49" s="280" t="s">
        <v>635</v>
      </c>
      <c r="K49" s="298" t="s">
        <v>602</v>
      </c>
      <c r="L49" s="301"/>
      <c r="M49" s="300" t="str">
        <f>IF(L49=$AA$3,$I49,$J49)</f>
        <v>EB</v>
      </c>
      <c r="N49" s="301">
        <v>3</v>
      </c>
      <c r="O49" s="298" t="str">
        <f>IF(L49=$AA$3,$I49,$K49)</f>
        <v>NC</v>
      </c>
      <c r="P49" s="301">
        <v>3</v>
      </c>
      <c r="Q49" s="302" t="str">
        <f t="shared" si="18"/>
        <v>EB</v>
      </c>
      <c r="R49" s="299" t="str">
        <f t="shared" si="19"/>
        <v>NC</v>
      </c>
      <c r="S49" s="301"/>
      <c r="T49" s="300" t="str">
        <f>IF(S49=$AA$3,$I49,$J49)</f>
        <v>EB</v>
      </c>
      <c r="U49" s="301">
        <v>3</v>
      </c>
      <c r="V49" s="298" t="str">
        <f>IF(S49=$AA$3,$I49,$K49)</f>
        <v>NC</v>
      </c>
      <c r="W49" s="301">
        <v>3</v>
      </c>
      <c r="X49" s="302" t="str">
        <f t="shared" si="16"/>
        <v>EB</v>
      </c>
      <c r="Y49" s="299" t="str">
        <f t="shared" si="17"/>
        <v>NC</v>
      </c>
      <c r="Z49" s="205"/>
      <c r="AA49" s="265" t="e">
        <f>重み_前!M49</f>
        <v>#DIV/0!</v>
      </c>
      <c r="AB49" s="265" t="e">
        <f>重み_後!N49</f>
        <v>#DIV/0!</v>
      </c>
      <c r="AC49" s="235" t="e">
        <f>重み_前!D49</f>
        <v>#DIV/0!</v>
      </c>
      <c r="AD49" s="235"/>
      <c r="AE49" s="235" t="e">
        <f>重み_後!D49</f>
        <v>#DIV/0!</v>
      </c>
      <c r="AF49" s="235"/>
      <c r="AG49" s="235"/>
      <c r="AH49" s="236" t="e">
        <f>重み_前!N49</f>
        <v>#DIV/0!</v>
      </c>
      <c r="AI49" s="236" t="e">
        <f>重み_後!O49</f>
        <v>#DIV/0!</v>
      </c>
      <c r="AJ49" s="235" t="e">
        <f>重み_前!E49</f>
        <v>#DIV/0!</v>
      </c>
      <c r="AK49" s="235"/>
      <c r="AL49" s="235" t="e">
        <f>重み_後!E49</f>
        <v>#DIV/0!</v>
      </c>
    </row>
    <row r="50" spans="2:38" ht="14.25" thickBot="1">
      <c r="B50" s="288"/>
      <c r="C50" s="2401"/>
      <c r="D50" s="297">
        <v>2</v>
      </c>
      <c r="E50" s="317" t="s">
        <v>653</v>
      </c>
      <c r="F50" s="280" t="s">
        <v>641</v>
      </c>
      <c r="G50" s="280" t="s">
        <v>641</v>
      </c>
      <c r="H50" s="280" t="s">
        <v>602</v>
      </c>
      <c r="I50" s="280" t="s">
        <v>641</v>
      </c>
      <c r="J50" s="280" t="s">
        <v>641</v>
      </c>
      <c r="K50" s="298">
        <v>0</v>
      </c>
      <c r="L50" s="306"/>
      <c r="M50" s="300" t="str">
        <f>IF(L50=$AA$3,$I50,$J50)</f>
        <v>EB</v>
      </c>
      <c r="N50" s="306">
        <v>3</v>
      </c>
      <c r="O50" s="298">
        <f>IF(L50=$AA$3,$I50,$K50)</f>
        <v>0</v>
      </c>
      <c r="P50" s="306">
        <v>3</v>
      </c>
      <c r="Q50" s="307" t="str">
        <f t="shared" si="18"/>
        <v>EB</v>
      </c>
      <c r="R50" s="305" t="str">
        <f t="shared" si="19"/>
        <v>NC</v>
      </c>
      <c r="S50" s="306"/>
      <c r="T50" s="300" t="str">
        <f>IF(S50=$AA$3,$I50,$J50)</f>
        <v>EB</v>
      </c>
      <c r="U50" s="306">
        <v>3</v>
      </c>
      <c r="V50" s="298">
        <f>IF(S50=$AA$3,$I50,$K50)</f>
        <v>0</v>
      </c>
      <c r="W50" s="306">
        <v>3</v>
      </c>
      <c r="X50" s="314" t="str">
        <f t="shared" si="16"/>
        <v>EB</v>
      </c>
      <c r="Y50" s="312" t="str">
        <f t="shared" si="17"/>
        <v>NC</v>
      </c>
      <c r="Z50" s="205"/>
      <c r="AA50" s="265" t="e">
        <f>重み_前!M50</f>
        <v>#DIV/0!</v>
      </c>
      <c r="AB50" s="265" t="e">
        <f>重み_後!N50</f>
        <v>#DIV/0!</v>
      </c>
      <c r="AC50" s="235" t="e">
        <f>重み_前!D50</f>
        <v>#DIV/0!</v>
      </c>
      <c r="AD50" s="235"/>
      <c r="AE50" s="235" t="e">
        <f>重み_後!D50</f>
        <v>#DIV/0!</v>
      </c>
      <c r="AF50" s="235"/>
      <c r="AG50" s="235"/>
      <c r="AH50" s="236" t="e">
        <f>重み_前!N50</f>
        <v>#DIV/0!</v>
      </c>
      <c r="AI50" s="236" t="e">
        <f>重み_後!O50</f>
        <v>#DIV/0!</v>
      </c>
      <c r="AJ50" s="235" t="e">
        <f>重み_前!E50</f>
        <v>#DIV/0!</v>
      </c>
      <c r="AK50" s="235"/>
      <c r="AL50" s="235" t="e">
        <f>重み_後!E50</f>
        <v>#DIV/0!</v>
      </c>
    </row>
    <row r="51" spans="2:38" ht="13.5" hidden="1">
      <c r="B51" s="288"/>
      <c r="C51" s="2401"/>
      <c r="D51" s="2106">
        <v>3</v>
      </c>
      <c r="E51" s="2082" t="s">
        <v>654</v>
      </c>
      <c r="F51" s="280" t="s">
        <v>421</v>
      </c>
      <c r="G51" s="280" t="s">
        <v>421</v>
      </c>
      <c r="H51" s="280" t="s">
        <v>602</v>
      </c>
      <c r="I51" s="280" t="s">
        <v>421</v>
      </c>
      <c r="J51" s="280" t="s">
        <v>421</v>
      </c>
      <c r="K51" s="298" t="s">
        <v>602</v>
      </c>
      <c r="L51" s="414" t="s">
        <v>570</v>
      </c>
      <c r="M51" s="300" t="str">
        <f>IF(L51=$AA$3,$I51,$J51)</f>
        <v>EB</v>
      </c>
      <c r="N51" s="2110">
        <v>0</v>
      </c>
      <c r="O51" s="298" t="str">
        <f>IF(L51=$AA$3,$I51,$K51)</f>
        <v>EB</v>
      </c>
      <c r="P51" s="2110">
        <v>0</v>
      </c>
      <c r="Q51" s="418" t="str">
        <f t="shared" si="18"/>
        <v>EB</v>
      </c>
      <c r="R51" s="414" t="str">
        <f t="shared" si="19"/>
        <v>EB</v>
      </c>
      <c r="S51" s="414"/>
      <c r="T51" s="300" t="str">
        <f>IF(S51=$AA$3,$I51,$J51)</f>
        <v>EB</v>
      </c>
      <c r="U51" s="2110"/>
      <c r="V51" s="298" t="str">
        <f>IF(S51=$AA$3,$I51,$K51)</f>
        <v>NC</v>
      </c>
      <c r="W51" s="2110">
        <v>0</v>
      </c>
      <c r="X51" s="314" t="str">
        <f t="shared" si="16"/>
        <v>EB</v>
      </c>
      <c r="Y51" s="312" t="str">
        <f t="shared" si="17"/>
        <v>NC</v>
      </c>
      <c r="Z51" s="205"/>
      <c r="AA51" s="265" t="e">
        <f>重み_前!M51</f>
        <v>#DIV/0!</v>
      </c>
      <c r="AB51" s="265" t="e">
        <f>重み_後!N51</f>
        <v>#DIV/0!</v>
      </c>
      <c r="AC51" s="235" t="e">
        <f>重み_前!D51</f>
        <v>#DIV/0!</v>
      </c>
      <c r="AD51" s="235"/>
      <c r="AE51" s="235" t="e">
        <f>重み_後!D51</f>
        <v>#DIV/0!</v>
      </c>
      <c r="AF51" s="235"/>
      <c r="AG51" s="235"/>
      <c r="AH51" s="236" t="e">
        <f>重み_前!N51</f>
        <v>#DIV/0!</v>
      </c>
      <c r="AI51" s="236" t="e">
        <f>重み_後!O51</f>
        <v>#DIV/0!</v>
      </c>
      <c r="AJ51" s="235" t="e">
        <f>重み_前!E51</f>
        <v>#DIV/0!</v>
      </c>
      <c r="AK51" s="235"/>
      <c r="AL51" s="235" t="e">
        <f>重み_後!E51</f>
        <v>#DIV/0!</v>
      </c>
    </row>
    <row r="52" spans="2:38" ht="14.25" hidden="1" thickBot="1">
      <c r="B52" s="288"/>
      <c r="C52" s="2405"/>
      <c r="D52" s="2106">
        <v>4</v>
      </c>
      <c r="E52" s="2082" t="s">
        <v>655</v>
      </c>
      <c r="F52" s="280" t="s">
        <v>641</v>
      </c>
      <c r="G52" s="280" t="s">
        <v>641</v>
      </c>
      <c r="H52" s="280" t="s">
        <v>602</v>
      </c>
      <c r="I52" s="280" t="s">
        <v>641</v>
      </c>
      <c r="J52" s="280" t="s">
        <v>641</v>
      </c>
      <c r="K52" s="298" t="s">
        <v>602</v>
      </c>
      <c r="L52" s="305" t="s">
        <v>570</v>
      </c>
      <c r="M52" s="300" t="str">
        <f>IF(L52=$AA$3,$I52,$J52)</f>
        <v>EB</v>
      </c>
      <c r="N52" s="306">
        <v>0</v>
      </c>
      <c r="O52" s="298" t="str">
        <f>IF(L52=$AA$3,$I52,$K52)</f>
        <v>EB</v>
      </c>
      <c r="P52" s="306">
        <v>0</v>
      </c>
      <c r="Q52" s="307" t="str">
        <f t="shared" si="18"/>
        <v>EB</v>
      </c>
      <c r="R52" s="305" t="str">
        <f t="shared" si="19"/>
        <v>EB</v>
      </c>
      <c r="S52" s="305"/>
      <c r="T52" s="300" t="str">
        <f>IF(S52=$AA$3,$I52,$J52)</f>
        <v>EB</v>
      </c>
      <c r="U52" s="306">
        <v>3</v>
      </c>
      <c r="V52" s="298" t="str">
        <f>IF(S52=$AA$3,$I52,$K52)</f>
        <v>NC</v>
      </c>
      <c r="W52" s="306">
        <v>3</v>
      </c>
      <c r="X52" s="307" t="str">
        <f t="shared" si="16"/>
        <v>EB</v>
      </c>
      <c r="Y52" s="305" t="str">
        <f t="shared" si="17"/>
        <v>NC</v>
      </c>
      <c r="Z52" s="205"/>
      <c r="AA52" s="265" t="e">
        <f>重み_前!M52</f>
        <v>#DIV/0!</v>
      </c>
      <c r="AB52" s="265" t="e">
        <f>重み_後!N52</f>
        <v>#DIV/0!</v>
      </c>
      <c r="AC52" s="235" t="e">
        <f>重み_前!D52</f>
        <v>#DIV/0!</v>
      </c>
      <c r="AD52" s="235"/>
      <c r="AE52" s="235" t="e">
        <f>重み_後!D52</f>
        <v>#DIV/0!</v>
      </c>
      <c r="AF52" s="235"/>
      <c r="AG52" s="235"/>
      <c r="AH52" s="236" t="e">
        <f>重み_前!N52</f>
        <v>#DIV/0!</v>
      </c>
      <c r="AI52" s="236" t="e">
        <f>重み_後!O52</f>
        <v>#DIV/0!</v>
      </c>
      <c r="AJ52" s="235" t="e">
        <f>重み_前!E52</f>
        <v>#DIV/0!</v>
      </c>
      <c r="AK52" s="235"/>
      <c r="AL52" s="235" t="e">
        <f>重み_後!E52</f>
        <v>#DIV/0!</v>
      </c>
    </row>
    <row r="53" spans="2:38" ht="14.25" thickBot="1">
      <c r="B53" s="331"/>
      <c r="C53" s="289">
        <v>4.2</v>
      </c>
      <c r="D53" s="326" t="s">
        <v>656</v>
      </c>
      <c r="E53" s="370"/>
      <c r="F53" s="280" t="s">
        <v>657</v>
      </c>
      <c r="G53" s="280" t="s">
        <v>657</v>
      </c>
      <c r="H53" s="280" t="s">
        <v>658</v>
      </c>
      <c r="I53" s="327"/>
      <c r="J53" s="327"/>
      <c r="K53" s="328"/>
      <c r="L53" s="295" t="str">
        <f>IF(COUNTIF(L54:L57,$AA$3)&gt;=ROWS(L54:L57),$AA$3,"")</f>
        <v/>
      </c>
      <c r="M53" s="329"/>
      <c r="N53" s="309"/>
      <c r="O53" s="328"/>
      <c r="P53" s="309"/>
      <c r="Q53" s="310" t="str">
        <f t="shared" si="18"/>
        <v>EB</v>
      </c>
      <c r="R53" s="311" t="str">
        <f t="shared" si="19"/>
        <v>NC</v>
      </c>
      <c r="S53" s="295" t="str">
        <f>IF(COUNTIF(S54:S57,$AA$3)&gt;=ROWS(S54:S57),$AA$3,"")</f>
        <v/>
      </c>
      <c r="T53" s="329"/>
      <c r="U53" s="309"/>
      <c r="V53" s="328"/>
      <c r="W53" s="309"/>
      <c r="X53" s="310" t="str">
        <f t="shared" si="16"/>
        <v>EB</v>
      </c>
      <c r="Y53" s="311" t="str">
        <f t="shared" si="17"/>
        <v>NC</v>
      </c>
      <c r="Z53" s="205"/>
      <c r="AA53" s="265" t="e">
        <f>重み_前!M53</f>
        <v>#DIV/0!</v>
      </c>
      <c r="AB53" s="265" t="e">
        <f>重み_後!N53</f>
        <v>#DIV/0!</v>
      </c>
      <c r="AC53" s="235" t="e">
        <f>重み_前!D53</f>
        <v>#DIV/0!</v>
      </c>
      <c r="AD53" s="235"/>
      <c r="AE53" s="235" t="e">
        <f>重み_後!D53</f>
        <v>#DIV/0!</v>
      </c>
      <c r="AF53" s="235"/>
      <c r="AG53" s="235"/>
      <c r="AH53" s="236" t="e">
        <f>重み_前!N53</f>
        <v>#DIV/0!</v>
      </c>
      <c r="AI53" s="236" t="e">
        <f>重み_後!O53</f>
        <v>#DIV/0!</v>
      </c>
      <c r="AJ53" s="235" t="e">
        <f>重み_前!E53</f>
        <v>#DIV/0!</v>
      </c>
      <c r="AK53" s="235"/>
      <c r="AL53" s="235" t="e">
        <f>重み_後!E53</f>
        <v>#DIV/0!</v>
      </c>
    </row>
    <row r="54" spans="2:38" ht="13.5">
      <c r="B54" s="331"/>
      <c r="C54" s="2406"/>
      <c r="D54" s="297">
        <v>1</v>
      </c>
      <c r="E54" s="317" t="s">
        <v>659</v>
      </c>
      <c r="F54" s="280" t="s">
        <v>657</v>
      </c>
      <c r="G54" s="280" t="s">
        <v>657</v>
      </c>
      <c r="H54" s="280" t="s">
        <v>602</v>
      </c>
      <c r="I54" s="280" t="s">
        <v>657</v>
      </c>
      <c r="J54" s="280" t="s">
        <v>657</v>
      </c>
      <c r="K54" s="298" t="s">
        <v>602</v>
      </c>
      <c r="L54" s="301"/>
      <c r="M54" s="300" t="str">
        <f>IF(L54=$AA$3,$I54,$J54)</f>
        <v>EB</v>
      </c>
      <c r="N54" s="301">
        <v>3</v>
      </c>
      <c r="O54" s="298" t="str">
        <f>IF(L54=$AA$3,$I54,$K54)</f>
        <v>NC</v>
      </c>
      <c r="P54" s="301">
        <v>3</v>
      </c>
      <c r="Q54" s="302" t="str">
        <f t="shared" si="18"/>
        <v>EB</v>
      </c>
      <c r="R54" s="299" t="str">
        <f t="shared" si="19"/>
        <v>NC</v>
      </c>
      <c r="S54" s="301"/>
      <c r="T54" s="300" t="str">
        <f>IF(S54=$AA$3,$I54,$J54)</f>
        <v>EB</v>
      </c>
      <c r="U54" s="301">
        <v>3</v>
      </c>
      <c r="V54" s="298" t="str">
        <f>IF(S54=$AA$3,$I54,$K54)</f>
        <v>NC</v>
      </c>
      <c r="W54" s="301">
        <v>3</v>
      </c>
      <c r="X54" s="302" t="str">
        <f t="shared" si="16"/>
        <v>EB</v>
      </c>
      <c r="Y54" s="299" t="str">
        <f t="shared" si="17"/>
        <v>NC</v>
      </c>
      <c r="Z54" s="205"/>
      <c r="AA54" s="265" t="e">
        <f>重み_前!M54</f>
        <v>#DIV/0!</v>
      </c>
      <c r="AB54" s="265" t="e">
        <f>重み_後!N54</f>
        <v>#DIV/0!</v>
      </c>
      <c r="AC54" s="235" t="e">
        <f>重み_前!D54</f>
        <v>#DIV/0!</v>
      </c>
      <c r="AD54" s="235"/>
      <c r="AE54" s="235" t="e">
        <f>重み_後!D54</f>
        <v>#DIV/0!</v>
      </c>
      <c r="AF54" s="235"/>
      <c r="AG54" s="235"/>
      <c r="AH54" s="236" t="e">
        <f>重み_前!N54</f>
        <v>#DIV/0!</v>
      </c>
      <c r="AI54" s="236" t="e">
        <f>重み_後!O54</f>
        <v>#DIV/0!</v>
      </c>
      <c r="AJ54" s="235" t="e">
        <f>重み_前!E54</f>
        <v>#DIV/0!</v>
      </c>
      <c r="AK54" s="235"/>
      <c r="AL54" s="235" t="e">
        <f>重み_後!E54</f>
        <v>#DIV/0!</v>
      </c>
    </row>
    <row r="55" spans="2:38" ht="13.5">
      <c r="B55" s="331"/>
      <c r="C55" s="2406"/>
      <c r="D55" s="297">
        <v>2</v>
      </c>
      <c r="E55" s="317" t="s">
        <v>660</v>
      </c>
      <c r="F55" s="280" t="s">
        <v>618</v>
      </c>
      <c r="G55" s="280" t="s">
        <v>618</v>
      </c>
      <c r="H55" s="280" t="s">
        <v>602</v>
      </c>
      <c r="I55" s="280" t="s">
        <v>618</v>
      </c>
      <c r="J55" s="280" t="s">
        <v>618</v>
      </c>
      <c r="K55" s="298" t="s">
        <v>602</v>
      </c>
      <c r="L55" s="313"/>
      <c r="M55" s="300" t="str">
        <f>IF(L55=$AA$3,$I55,$J55)</f>
        <v>EB</v>
      </c>
      <c r="N55" s="313">
        <v>3</v>
      </c>
      <c r="O55" s="298" t="str">
        <f>IF(L55=$AA$3,$I55,$K55)</f>
        <v>NC</v>
      </c>
      <c r="P55" s="313">
        <v>3</v>
      </c>
      <c r="Q55" s="314" t="str">
        <f t="shared" si="18"/>
        <v>EB</v>
      </c>
      <c r="R55" s="312" t="str">
        <f t="shared" si="19"/>
        <v>NC</v>
      </c>
      <c r="S55" s="313"/>
      <c r="T55" s="300" t="str">
        <f>IF(S55=$AA$3,$I55,$J55)</f>
        <v>EB</v>
      </c>
      <c r="U55" s="313">
        <v>3</v>
      </c>
      <c r="V55" s="298" t="str">
        <f>IF(S55=$AA$3,$I55,$K55)</f>
        <v>NC</v>
      </c>
      <c r="W55" s="313">
        <v>3</v>
      </c>
      <c r="X55" s="314" t="str">
        <f t="shared" si="16"/>
        <v>EB</v>
      </c>
      <c r="Y55" s="312" t="str">
        <f t="shared" si="17"/>
        <v>NC</v>
      </c>
      <c r="Z55" s="205"/>
      <c r="AA55" s="265" t="e">
        <f>重み_前!M55</f>
        <v>#DIV/0!</v>
      </c>
      <c r="AB55" s="265" t="e">
        <f>重み_後!N55</f>
        <v>#DIV/0!</v>
      </c>
      <c r="AC55" s="235" t="e">
        <f>重み_前!D55</f>
        <v>#DIV/0!</v>
      </c>
      <c r="AD55" s="235"/>
      <c r="AE55" s="235" t="e">
        <f>重み_後!D55</f>
        <v>#DIV/0!</v>
      </c>
      <c r="AF55" s="235"/>
      <c r="AG55" s="235"/>
      <c r="AH55" s="236" t="e">
        <f>重み_前!N55</f>
        <v>#DIV/0!</v>
      </c>
      <c r="AI55" s="236" t="e">
        <f>重み_後!O55</f>
        <v>#DIV/0!</v>
      </c>
      <c r="AJ55" s="235" t="e">
        <f>重み_前!E55</f>
        <v>#DIV/0!</v>
      </c>
      <c r="AK55" s="235"/>
      <c r="AL55" s="235" t="e">
        <f>重み_後!E55</f>
        <v>#DIV/0!</v>
      </c>
    </row>
    <row r="56" spans="2:38" ht="14.25" thickBot="1">
      <c r="B56" s="331"/>
      <c r="C56" s="2406"/>
      <c r="D56" s="297">
        <v>3</v>
      </c>
      <c r="E56" s="317" t="s">
        <v>661</v>
      </c>
      <c r="F56" s="280" t="s">
        <v>637</v>
      </c>
      <c r="G56" s="280" t="s">
        <v>637</v>
      </c>
      <c r="H56" s="280" t="s">
        <v>602</v>
      </c>
      <c r="I56" s="280" t="s">
        <v>637</v>
      </c>
      <c r="J56" s="280" t="s">
        <v>637</v>
      </c>
      <c r="K56" s="298" t="s">
        <v>602</v>
      </c>
      <c r="L56" s="306"/>
      <c r="M56" s="300" t="str">
        <f>IF(L56=$AA$3,$I56,$J56)</f>
        <v>EB</v>
      </c>
      <c r="N56" s="306">
        <v>3</v>
      </c>
      <c r="O56" s="298" t="str">
        <f>IF(L56=$AA$3,$I56,$K56)</f>
        <v>NC</v>
      </c>
      <c r="P56" s="306">
        <v>3</v>
      </c>
      <c r="Q56" s="314" t="str">
        <f t="shared" si="18"/>
        <v>EB</v>
      </c>
      <c r="R56" s="312" t="str">
        <f t="shared" si="19"/>
        <v>NC</v>
      </c>
      <c r="S56" s="306"/>
      <c r="T56" s="300" t="str">
        <f>IF(S56=$AA$3,$I56,$J56)</f>
        <v>EB</v>
      </c>
      <c r="U56" s="306">
        <v>3</v>
      </c>
      <c r="V56" s="298" t="str">
        <f>IF(S56=$AA$3,$I56,$K56)</f>
        <v>NC</v>
      </c>
      <c r="W56" s="306">
        <v>3</v>
      </c>
      <c r="X56" s="314" t="str">
        <f t="shared" si="16"/>
        <v>EB</v>
      </c>
      <c r="Y56" s="312" t="str">
        <f t="shared" si="17"/>
        <v>NC</v>
      </c>
      <c r="Z56" s="205"/>
      <c r="AA56" s="265" t="e">
        <f>重み_前!M56</f>
        <v>#DIV/0!</v>
      </c>
      <c r="AB56" s="265" t="e">
        <f>重み_後!N56</f>
        <v>#DIV/0!</v>
      </c>
      <c r="AC56" s="235" t="e">
        <f>重み_前!D56</f>
        <v>#DIV/0!</v>
      </c>
      <c r="AD56" s="235"/>
      <c r="AE56" s="235" t="e">
        <f>重み_後!D56</f>
        <v>#DIV/0!</v>
      </c>
      <c r="AF56" s="235"/>
      <c r="AG56" s="235"/>
      <c r="AH56" s="236" t="e">
        <f>重み_前!N56</f>
        <v>#DIV/0!</v>
      </c>
      <c r="AI56" s="236" t="e">
        <f>重み_後!O56</f>
        <v>#DIV/0!</v>
      </c>
      <c r="AJ56" s="235" t="e">
        <f>重み_前!E56</f>
        <v>#DIV/0!</v>
      </c>
      <c r="AK56" s="235"/>
      <c r="AL56" s="235" t="e">
        <f>重み_後!E56</f>
        <v>#DIV/0!</v>
      </c>
    </row>
    <row r="57" spans="2:38" ht="14.25" hidden="1" thickBot="1">
      <c r="B57" s="331"/>
      <c r="C57" s="2407"/>
      <c r="D57" s="2106">
        <v>4</v>
      </c>
      <c r="E57" s="2082" t="s">
        <v>662</v>
      </c>
      <c r="F57" s="280" t="s">
        <v>663</v>
      </c>
      <c r="G57" s="280" t="s">
        <v>663</v>
      </c>
      <c r="H57" s="280" t="s">
        <v>602</v>
      </c>
      <c r="I57" s="280" t="s">
        <v>663</v>
      </c>
      <c r="J57" s="280" t="s">
        <v>663</v>
      </c>
      <c r="K57" s="298" t="s">
        <v>602</v>
      </c>
      <c r="L57" s="2107" t="s">
        <v>570</v>
      </c>
      <c r="M57" s="300" t="str">
        <f>IF(L57=$AA$3,$I57,$J57)</f>
        <v>EB</v>
      </c>
      <c r="N57" s="2109">
        <v>0</v>
      </c>
      <c r="O57" s="298" t="str">
        <f>IF(L57=$AA$3,$I57,$K57)</f>
        <v>EB</v>
      </c>
      <c r="P57" s="2109">
        <v>0</v>
      </c>
      <c r="Q57" s="2108" t="str">
        <f t="shared" si="18"/>
        <v>EB</v>
      </c>
      <c r="R57" s="2107" t="str">
        <f t="shared" si="19"/>
        <v>EB</v>
      </c>
      <c r="S57" s="2107"/>
      <c r="T57" s="300" t="str">
        <f>IF(S57=$AA$3,$I57,$J57)</f>
        <v>EB</v>
      </c>
      <c r="U57" s="2109">
        <v>0</v>
      </c>
      <c r="V57" s="298" t="str">
        <f>IF(S57=$AA$3,$I57,$K57)</f>
        <v>NC</v>
      </c>
      <c r="W57" s="2109">
        <v>0</v>
      </c>
      <c r="X57" s="307" t="str">
        <f t="shared" si="16"/>
        <v>EB</v>
      </c>
      <c r="Y57" s="305" t="str">
        <f t="shared" si="17"/>
        <v>NC</v>
      </c>
      <c r="Z57" s="205"/>
      <c r="AA57" s="265" t="e">
        <f>重み_前!M57</f>
        <v>#DIV/0!</v>
      </c>
      <c r="AB57" s="265" t="e">
        <f>重み_後!N57</f>
        <v>#DIV/0!</v>
      </c>
      <c r="AC57" s="235" t="e">
        <f>重み_前!D57</f>
        <v>#DIV/0!</v>
      </c>
      <c r="AD57" s="235"/>
      <c r="AE57" s="235" t="e">
        <f>重み_後!D57</f>
        <v>#DIV/0!</v>
      </c>
      <c r="AF57" s="235"/>
      <c r="AG57" s="235"/>
      <c r="AH57" s="236" t="e">
        <f>重み_前!N57</f>
        <v>#DIV/0!</v>
      </c>
      <c r="AI57" s="236" t="e">
        <f>重み_後!O57</f>
        <v>#DIV/0!</v>
      </c>
      <c r="AJ57" s="235" t="e">
        <f>重み_前!E57</f>
        <v>#DIV/0!</v>
      </c>
      <c r="AK57" s="235"/>
      <c r="AL57" s="235" t="e">
        <f>重み_後!E57</f>
        <v>#DIV/0!</v>
      </c>
    </row>
    <row r="58" spans="2:38" ht="14.25" thickBot="1">
      <c r="B58" s="331"/>
      <c r="C58" s="289">
        <v>4.3</v>
      </c>
      <c r="D58" s="326" t="s">
        <v>664</v>
      </c>
      <c r="E58" s="370"/>
      <c r="F58" s="280" t="s">
        <v>665</v>
      </c>
      <c r="G58" s="280" t="s">
        <v>665</v>
      </c>
      <c r="H58" s="280" t="s">
        <v>666</v>
      </c>
      <c r="I58" s="327"/>
      <c r="J58" s="327"/>
      <c r="K58" s="328"/>
      <c r="L58" s="295" t="str">
        <f>IF(COUNTIF(L59:L60,$AA$3)&gt;=ROWS(L59:L60),$AA$3,"")</f>
        <v/>
      </c>
      <c r="M58" s="329"/>
      <c r="N58" s="309"/>
      <c r="O58" s="328"/>
      <c r="P58" s="309"/>
      <c r="Q58" s="310" t="str">
        <f t="shared" si="18"/>
        <v>EB</v>
      </c>
      <c r="R58" s="311" t="str">
        <f t="shared" si="19"/>
        <v>NC</v>
      </c>
      <c r="S58" s="295" t="str">
        <f>IF(COUNTIF(S59:S60,$AA$3)&gt;=ROWS(S59:S60),$AA$3,"")</f>
        <v/>
      </c>
      <c r="T58" s="329"/>
      <c r="U58" s="309"/>
      <c r="V58" s="328"/>
      <c r="W58" s="309"/>
      <c r="X58" s="310" t="str">
        <f t="shared" si="16"/>
        <v>EB</v>
      </c>
      <c r="Y58" s="311" t="str">
        <f t="shared" si="17"/>
        <v>NC</v>
      </c>
      <c r="Z58" s="205"/>
      <c r="AA58" s="265" t="e">
        <f>重み_前!M58</f>
        <v>#DIV/0!</v>
      </c>
      <c r="AB58" s="265" t="e">
        <f>重み_後!N58</f>
        <v>#DIV/0!</v>
      </c>
      <c r="AC58" s="235" t="e">
        <f>重み_前!D58</f>
        <v>#DIV/0!</v>
      </c>
      <c r="AD58" s="235"/>
      <c r="AE58" s="235" t="e">
        <f>重み_後!D58</f>
        <v>#DIV/0!</v>
      </c>
      <c r="AF58" s="235"/>
      <c r="AG58" s="235"/>
      <c r="AH58" s="236" t="e">
        <f>重み_前!N58</f>
        <v>#DIV/0!</v>
      </c>
      <c r="AI58" s="236" t="e">
        <f>重み_後!O58</f>
        <v>#DIV/0!</v>
      </c>
      <c r="AJ58" s="235" t="e">
        <f>重み_前!E58</f>
        <v>#DIV/0!</v>
      </c>
      <c r="AK58" s="235"/>
      <c r="AL58" s="235" t="e">
        <f>重み_後!E58</f>
        <v>#DIV/0!</v>
      </c>
    </row>
    <row r="59" spans="2:38" ht="13.5">
      <c r="B59" s="331"/>
      <c r="C59" s="2406"/>
      <c r="D59" s="297">
        <v>1</v>
      </c>
      <c r="E59" s="317" t="s">
        <v>667</v>
      </c>
      <c r="F59" s="280" t="s">
        <v>665</v>
      </c>
      <c r="G59" s="280" t="s">
        <v>665</v>
      </c>
      <c r="H59" s="280" t="s">
        <v>602</v>
      </c>
      <c r="I59" s="280" t="s">
        <v>665</v>
      </c>
      <c r="J59" s="280" t="s">
        <v>665</v>
      </c>
      <c r="K59" s="298" t="s">
        <v>602</v>
      </c>
      <c r="L59" s="299"/>
      <c r="M59" s="300" t="str">
        <f>IF(L59=$AA$3,$I59,$J59)</f>
        <v>EB</v>
      </c>
      <c r="N59" s="301">
        <v>3</v>
      </c>
      <c r="O59" s="298" t="str">
        <f>IF(L59=$AA$3,$I59,$K59)</f>
        <v>NC</v>
      </c>
      <c r="P59" s="301">
        <v>3</v>
      </c>
      <c r="Q59" s="302" t="str">
        <f t="shared" si="18"/>
        <v>EB</v>
      </c>
      <c r="R59" s="299" t="str">
        <f t="shared" si="19"/>
        <v>NC</v>
      </c>
      <c r="S59" s="299"/>
      <c r="T59" s="300" t="str">
        <f>IF(S59=$AA$3,$I59,$J59)</f>
        <v>EB</v>
      </c>
      <c r="U59" s="301">
        <v>3</v>
      </c>
      <c r="V59" s="298" t="str">
        <f>IF(S59=$AA$3,$I59,$K59)</f>
        <v>NC</v>
      </c>
      <c r="W59" s="301">
        <v>3</v>
      </c>
      <c r="X59" s="302" t="str">
        <f t="shared" si="16"/>
        <v>EB</v>
      </c>
      <c r="Y59" s="299" t="str">
        <f t="shared" si="17"/>
        <v>NC</v>
      </c>
      <c r="Z59" s="205"/>
      <c r="AA59" s="265" t="e">
        <f>重み_前!M59</f>
        <v>#DIV/0!</v>
      </c>
      <c r="AB59" s="265" t="e">
        <f>重み_後!N59</f>
        <v>#DIV/0!</v>
      </c>
      <c r="AC59" s="235" t="e">
        <f>重み_前!D59</f>
        <v>#DIV/0!</v>
      </c>
      <c r="AD59" s="235"/>
      <c r="AE59" s="235" t="e">
        <f>重み_後!D59</f>
        <v>#DIV/0!</v>
      </c>
      <c r="AF59" s="235"/>
      <c r="AG59" s="235"/>
      <c r="AH59" s="236" t="e">
        <f>重み_前!N59</f>
        <v>#DIV/0!</v>
      </c>
      <c r="AI59" s="236" t="e">
        <f>重み_後!O59</f>
        <v>#DIV/0!</v>
      </c>
      <c r="AJ59" s="235" t="e">
        <f>重み_前!E59</f>
        <v>#DIV/0!</v>
      </c>
      <c r="AK59" s="235"/>
      <c r="AL59" s="235" t="e">
        <f>重み_後!E59</f>
        <v>#DIV/0!</v>
      </c>
    </row>
    <row r="60" spans="2:38" ht="14.25" thickBot="1">
      <c r="B60" s="331"/>
      <c r="C60" s="2406"/>
      <c r="D60" s="391">
        <v>2</v>
      </c>
      <c r="E60" s="290" t="s">
        <v>668</v>
      </c>
      <c r="F60" s="280" t="s">
        <v>669</v>
      </c>
      <c r="G60" s="280" t="s">
        <v>669</v>
      </c>
      <c r="H60" s="280" t="s">
        <v>602</v>
      </c>
      <c r="I60" s="280" t="s">
        <v>669</v>
      </c>
      <c r="J60" s="280" t="s">
        <v>669</v>
      </c>
      <c r="K60" s="298" t="s">
        <v>602</v>
      </c>
      <c r="L60" s="305"/>
      <c r="M60" s="351" t="str">
        <f>IF(L60=$AA$3,$I60,$J60)</f>
        <v>EB</v>
      </c>
      <c r="N60" s="306">
        <v>3</v>
      </c>
      <c r="O60" s="352" t="str">
        <f>IF(L60=$AA$3,$I60,$K60)</f>
        <v>NC</v>
      </c>
      <c r="P60" s="306">
        <v>3</v>
      </c>
      <c r="Q60" s="307" t="str">
        <f t="shared" si="18"/>
        <v>EB</v>
      </c>
      <c r="R60" s="305" t="str">
        <f t="shared" si="19"/>
        <v>NC</v>
      </c>
      <c r="S60" s="305"/>
      <c r="T60" s="351" t="str">
        <f>IF(S60=$AA$3,$I60,$J60)</f>
        <v>EB</v>
      </c>
      <c r="U60" s="306">
        <v>3</v>
      </c>
      <c r="V60" s="352" t="str">
        <f>IF(S60=$AA$3,$I60,$K60)</f>
        <v>NC</v>
      </c>
      <c r="W60" s="306">
        <v>3</v>
      </c>
      <c r="X60" s="307" t="str">
        <f t="shared" si="16"/>
        <v>EB</v>
      </c>
      <c r="Y60" s="305" t="str">
        <f t="shared" si="17"/>
        <v>NC</v>
      </c>
      <c r="Z60" s="205"/>
      <c r="AA60" s="265" t="e">
        <f>重み_前!M60</f>
        <v>#DIV/0!</v>
      </c>
      <c r="AB60" s="265" t="e">
        <f>重み_後!N60</f>
        <v>#DIV/0!</v>
      </c>
      <c r="AC60" s="235" t="e">
        <f>重み_前!D60</f>
        <v>#DIV/0!</v>
      </c>
      <c r="AD60" s="235"/>
      <c r="AE60" s="235" t="e">
        <f>重み_後!D60</f>
        <v>#DIV/0!</v>
      </c>
      <c r="AF60" s="235"/>
      <c r="AG60" s="235"/>
      <c r="AH60" s="236" t="e">
        <f>重み_前!N60</f>
        <v>#DIV/0!</v>
      </c>
      <c r="AI60" s="236" t="e">
        <f>重み_後!O60</f>
        <v>#DIV/0!</v>
      </c>
      <c r="AJ60" s="235" t="e">
        <f>重み_前!E60</f>
        <v>#DIV/0!</v>
      </c>
      <c r="AK60" s="235"/>
      <c r="AL60" s="235" t="e">
        <f>重み_後!E60</f>
        <v>#DIV/0!</v>
      </c>
    </row>
    <row r="61" spans="2:38" ht="14.25" thickBot="1">
      <c r="B61" s="353" t="s">
        <v>670</v>
      </c>
      <c r="C61" s="354" t="s">
        <v>671</v>
      </c>
      <c r="D61" s="354"/>
      <c r="E61" s="354"/>
      <c r="F61" s="355"/>
      <c r="G61" s="355"/>
      <c r="H61" s="355"/>
      <c r="I61" s="355"/>
      <c r="J61" s="355"/>
      <c r="K61" s="356"/>
      <c r="L61" s="357"/>
      <c r="M61" s="358"/>
      <c r="N61" s="359"/>
      <c r="O61" s="360"/>
      <c r="P61" s="359"/>
      <c r="Q61" s="361"/>
      <c r="R61" s="357"/>
      <c r="S61" s="357"/>
      <c r="T61" s="358"/>
      <c r="U61" s="359"/>
      <c r="V61" s="360"/>
      <c r="W61" s="359"/>
      <c r="X61" s="361"/>
      <c r="Y61" s="357"/>
      <c r="Z61" s="205"/>
      <c r="AA61" s="265" t="e">
        <f>重み_前!M61</f>
        <v>#DIV/0!</v>
      </c>
      <c r="AB61" s="265" t="e">
        <f>重み_後!N61</f>
        <v>#DIV/0!</v>
      </c>
      <c r="AC61" s="235" t="e">
        <f>重み_前!D61</f>
        <v>#DIV/0!</v>
      </c>
      <c r="AD61" s="235"/>
      <c r="AE61" s="235" t="e">
        <f>重み_後!D61</f>
        <v>#DIV/0!</v>
      </c>
      <c r="AF61" s="235"/>
      <c r="AG61" s="235"/>
      <c r="AH61" s="236" t="e">
        <f>重み_前!N61</f>
        <v>#DIV/0!</v>
      </c>
      <c r="AI61" s="236" t="e">
        <f>重み_後!O61</f>
        <v>#DIV/0!</v>
      </c>
      <c r="AJ61" s="235" t="e">
        <f>重み_前!E61</f>
        <v>#DIV/0!</v>
      </c>
      <c r="AK61" s="235"/>
      <c r="AL61" s="235" t="e">
        <f>重み_後!E61</f>
        <v>#DIV/0!</v>
      </c>
    </row>
    <row r="62" spans="2:38" ht="13.5">
      <c r="B62" s="276">
        <v>1</v>
      </c>
      <c r="C62" s="362" t="s">
        <v>672</v>
      </c>
      <c r="D62" s="363"/>
      <c r="E62" s="317"/>
      <c r="F62" s="280" t="s">
        <v>421</v>
      </c>
      <c r="G62" s="280" t="s">
        <v>421</v>
      </c>
      <c r="H62" s="280" t="s">
        <v>422</v>
      </c>
      <c r="I62" s="364"/>
      <c r="J62" s="364"/>
      <c r="K62" s="365"/>
      <c r="L62" s="283" t="str">
        <f>IF(COUNTIF(L63:L74,$AA$3)&gt;=ROWS(L63:L74),$AA$3,"")</f>
        <v/>
      </c>
      <c r="M62" s="366"/>
      <c r="N62" s="367"/>
      <c r="O62" s="365"/>
      <c r="P62" s="367"/>
      <c r="Q62" s="368" t="str">
        <f t="shared" ref="Q62:Q108" si="20">IF(L62=$AA$3,$F62,$G62)</f>
        <v>EB</v>
      </c>
      <c r="R62" s="369" t="str">
        <f t="shared" ref="R62:R108" si="21">IF(L62=$AA$3,$F62,$H62)</f>
        <v>NC</v>
      </c>
      <c r="S62" s="283" t="str">
        <f>IF(COUNTIF(S63:S74,$AA$3)&gt;=ROWS(S63:S74),$AA$3,"")</f>
        <v/>
      </c>
      <c r="T62" s="366"/>
      <c r="U62" s="367"/>
      <c r="V62" s="365"/>
      <c r="W62" s="367"/>
      <c r="X62" s="368" t="str">
        <f t="shared" ref="X62:X108" si="22">IF(S62=$AA$3,$F62,$G62)</f>
        <v>EB</v>
      </c>
      <c r="Y62" s="369" t="str">
        <f t="shared" ref="Y62:Y108" si="23">IF(S62=$AA$3,$F62,$H62)</f>
        <v>NC</v>
      </c>
      <c r="Z62" s="205"/>
      <c r="AA62" s="265" t="e">
        <f>重み_前!M62</f>
        <v>#DIV/0!</v>
      </c>
      <c r="AB62" s="265" t="e">
        <f>重み_後!N62</f>
        <v>#DIV/0!</v>
      </c>
      <c r="AC62" s="235" t="e">
        <f>重み_前!D62</f>
        <v>#DIV/0!</v>
      </c>
      <c r="AD62" s="235"/>
      <c r="AE62" s="235" t="e">
        <f>重み_後!D62</f>
        <v>#DIV/0!</v>
      </c>
      <c r="AF62" s="235"/>
      <c r="AG62" s="235"/>
      <c r="AH62" s="236">
        <f>重み_前!N62</f>
        <v>1</v>
      </c>
      <c r="AI62" s="236" t="e">
        <f>重み_後!O62</f>
        <v>#DIV/0!</v>
      </c>
      <c r="AJ62" s="235" t="e">
        <f>重み_前!E62</f>
        <v>#DIV/0!</v>
      </c>
      <c r="AK62" s="235"/>
      <c r="AL62" s="235" t="e">
        <f>重み_後!E62</f>
        <v>#DIV/0!</v>
      </c>
    </row>
    <row r="63" spans="2:38" ht="14.25" thickBot="1">
      <c r="B63" s="331"/>
      <c r="C63" s="308">
        <v>1.1000000000000001</v>
      </c>
      <c r="D63" s="290" t="s">
        <v>673</v>
      </c>
      <c r="E63" s="370"/>
      <c r="F63" s="280" t="s">
        <v>663</v>
      </c>
      <c r="G63" s="280" t="s">
        <v>663</v>
      </c>
      <c r="H63" s="280" t="s">
        <v>674</v>
      </c>
      <c r="I63" s="327"/>
      <c r="J63" s="327"/>
      <c r="K63" s="328"/>
      <c r="L63" s="292" t="str">
        <f>IF(COUNTIF(L64:L66,$AA$3)&gt;=ROWS(L64:L66),$AA$3,"")</f>
        <v/>
      </c>
      <c r="M63" s="329"/>
      <c r="N63" s="309"/>
      <c r="O63" s="328"/>
      <c r="P63" s="309"/>
      <c r="Q63" s="371" t="str">
        <f t="shared" si="20"/>
        <v>EB</v>
      </c>
      <c r="R63" s="292" t="str">
        <f t="shared" si="21"/>
        <v>NC</v>
      </c>
      <c r="S63" s="292" t="str">
        <f>IF(COUNTIF(S64:S66,$AA$3)&gt;=ROWS(S64:S66),$AA$3,"")</f>
        <v/>
      </c>
      <c r="T63" s="329"/>
      <c r="U63" s="309"/>
      <c r="V63" s="328"/>
      <c r="W63" s="309"/>
      <c r="X63" s="371" t="str">
        <f t="shared" si="22"/>
        <v>EB</v>
      </c>
      <c r="Y63" s="292" t="str">
        <f t="shared" si="23"/>
        <v>NC</v>
      </c>
      <c r="Z63" s="205"/>
      <c r="AA63" s="265" t="e">
        <f>重み_前!M63</f>
        <v>#DIV/0!</v>
      </c>
      <c r="AB63" s="265" t="e">
        <f>重み_後!N63</f>
        <v>#DIV/0!</v>
      </c>
      <c r="AC63" s="235" t="e">
        <f>重み_前!D63</f>
        <v>#DIV/0!</v>
      </c>
      <c r="AD63" s="235"/>
      <c r="AE63" s="235" t="e">
        <f>重み_後!D63</f>
        <v>#DIV/0!</v>
      </c>
      <c r="AF63" s="235"/>
      <c r="AG63" s="235"/>
      <c r="AH63" s="236" t="e">
        <f>重み_前!N63</f>
        <v>#DIV/0!</v>
      </c>
      <c r="AI63" s="236" t="e">
        <f>重み_後!O63</f>
        <v>#DIV/0!</v>
      </c>
      <c r="AJ63" s="235" t="e">
        <f>重み_前!E63</f>
        <v>#DIV/0!</v>
      </c>
      <c r="AK63" s="235"/>
      <c r="AL63" s="235" t="e">
        <f>重み_後!E63</f>
        <v>#DIV/0!</v>
      </c>
    </row>
    <row r="64" spans="2:38" ht="13.5">
      <c r="B64" s="331"/>
      <c r="C64" s="296"/>
      <c r="D64" s="297">
        <v>1</v>
      </c>
      <c r="E64" s="317" t="s">
        <v>675</v>
      </c>
      <c r="F64" s="280" t="s">
        <v>616</v>
      </c>
      <c r="G64" s="280" t="s">
        <v>616</v>
      </c>
      <c r="H64" s="280" t="s">
        <v>602</v>
      </c>
      <c r="I64" s="280" t="s">
        <v>616</v>
      </c>
      <c r="J64" s="280" t="s">
        <v>616</v>
      </c>
      <c r="K64" s="298" t="s">
        <v>602</v>
      </c>
      <c r="L64" s="299"/>
      <c r="M64" s="300" t="str">
        <f>IF(L64=$AA$3,$I64,$J64)</f>
        <v>EB</v>
      </c>
      <c r="N64" s="301">
        <v>3</v>
      </c>
      <c r="O64" s="298" t="str">
        <f>IF(L64=$AA$3,$I64,$K64)</f>
        <v>NC</v>
      </c>
      <c r="P64" s="301">
        <v>3</v>
      </c>
      <c r="Q64" s="302" t="str">
        <f t="shared" si="20"/>
        <v>EB</v>
      </c>
      <c r="R64" s="299" t="str">
        <f t="shared" si="21"/>
        <v>NC</v>
      </c>
      <c r="S64" s="299"/>
      <c r="T64" s="300" t="str">
        <f>IF(S64=$AA$3,$I64,$J64)</f>
        <v>EB</v>
      </c>
      <c r="U64" s="301">
        <v>3</v>
      </c>
      <c r="V64" s="298" t="str">
        <f>IF(S64=$AA$3,$I64,$K64)</f>
        <v>NC</v>
      </c>
      <c r="W64" s="301">
        <v>3</v>
      </c>
      <c r="X64" s="302" t="str">
        <f t="shared" si="22"/>
        <v>EB</v>
      </c>
      <c r="Y64" s="299" t="str">
        <f t="shared" si="23"/>
        <v>NC</v>
      </c>
      <c r="Z64" s="205"/>
      <c r="AA64" s="265" t="e">
        <f>重み_前!M64</f>
        <v>#DIV/0!</v>
      </c>
      <c r="AB64" s="265" t="e">
        <f>重み_後!N64</f>
        <v>#DIV/0!</v>
      </c>
      <c r="AC64" s="235" t="e">
        <f>重み_前!D64</f>
        <v>#DIV/0!</v>
      </c>
      <c r="AD64" s="235"/>
      <c r="AE64" s="235" t="e">
        <f>重み_後!D64</f>
        <v>#DIV/0!</v>
      </c>
      <c r="AF64" s="235"/>
      <c r="AG64" s="235"/>
      <c r="AH64" s="236" t="e">
        <f>重み_前!N64</f>
        <v>#DIV/0!</v>
      </c>
      <c r="AI64" s="236" t="e">
        <f>重み_後!O64</f>
        <v>#DIV/0!</v>
      </c>
      <c r="AJ64" s="235" t="e">
        <f>重み_前!E64</f>
        <v>#DIV/0!</v>
      </c>
      <c r="AK64" s="235"/>
      <c r="AL64" s="235" t="e">
        <f>重み_後!E64</f>
        <v>#DIV/0!</v>
      </c>
    </row>
    <row r="65" spans="2:38" ht="13.5">
      <c r="B65" s="331"/>
      <c r="C65" s="296"/>
      <c r="D65" s="297">
        <v>2</v>
      </c>
      <c r="E65" s="317" t="s">
        <v>676</v>
      </c>
      <c r="F65" s="280" t="s">
        <v>616</v>
      </c>
      <c r="G65" s="280" t="s">
        <v>616</v>
      </c>
      <c r="H65" s="280" t="s">
        <v>602</v>
      </c>
      <c r="I65" s="280" t="s">
        <v>616</v>
      </c>
      <c r="J65" s="280" t="s">
        <v>616</v>
      </c>
      <c r="K65" s="298" t="s">
        <v>602</v>
      </c>
      <c r="L65" s="312"/>
      <c r="M65" s="300" t="str">
        <f>IF(L65=$AA$3,$I65,$J65)</f>
        <v>EB</v>
      </c>
      <c r="N65" s="313">
        <v>3</v>
      </c>
      <c r="O65" s="298" t="str">
        <f>IF(L65=$AA$3,$I65,$K65)</f>
        <v>NC</v>
      </c>
      <c r="P65" s="313">
        <v>3</v>
      </c>
      <c r="Q65" s="314" t="str">
        <f t="shared" si="20"/>
        <v>EB</v>
      </c>
      <c r="R65" s="312" t="str">
        <f t="shared" si="21"/>
        <v>NC</v>
      </c>
      <c r="S65" s="312"/>
      <c r="T65" s="300" t="str">
        <f>IF(S65=$AA$3,$I65,$J65)</f>
        <v>EB</v>
      </c>
      <c r="U65" s="313">
        <v>0</v>
      </c>
      <c r="V65" s="298" t="str">
        <f>IF(S65=$AA$3,$I65,$K65)</f>
        <v>NC</v>
      </c>
      <c r="W65" s="313">
        <v>0</v>
      </c>
      <c r="X65" s="314" t="str">
        <f t="shared" si="22"/>
        <v>EB</v>
      </c>
      <c r="Y65" s="312" t="str">
        <f t="shared" si="23"/>
        <v>NC</v>
      </c>
      <c r="Z65" s="205"/>
      <c r="AA65" s="265" t="e">
        <f>重み_前!M65</f>
        <v>#DIV/0!</v>
      </c>
      <c r="AB65" s="265" t="e">
        <f>重み_後!N65</f>
        <v>#DIV/0!</v>
      </c>
      <c r="AC65" s="235" t="e">
        <f>重み_前!D65</f>
        <v>#DIV/0!</v>
      </c>
      <c r="AD65" s="235"/>
      <c r="AE65" s="235" t="e">
        <f>重み_後!D65</f>
        <v>#DIV/0!</v>
      </c>
      <c r="AF65" s="235"/>
      <c r="AG65" s="235"/>
      <c r="AH65" s="236" t="e">
        <f>重み_前!N65</f>
        <v>#DIV/0!</v>
      </c>
      <c r="AI65" s="236" t="e">
        <f>重み_後!O65</f>
        <v>#DIV/0!</v>
      </c>
      <c r="AJ65" s="235" t="e">
        <f>重み_前!E65</f>
        <v>#DIV/0!</v>
      </c>
      <c r="AK65" s="235"/>
      <c r="AL65" s="235" t="e">
        <f>重み_後!E65</f>
        <v>#DIV/0!</v>
      </c>
    </row>
    <row r="66" spans="2:38" ht="14.25" thickBot="1">
      <c r="B66" s="331"/>
      <c r="C66" s="303"/>
      <c r="D66" s="297">
        <v>3</v>
      </c>
      <c r="E66" s="317" t="s">
        <v>677</v>
      </c>
      <c r="F66" s="280" t="s">
        <v>641</v>
      </c>
      <c r="G66" s="280" t="s">
        <v>641</v>
      </c>
      <c r="H66" s="280" t="s">
        <v>602</v>
      </c>
      <c r="I66" s="280" t="s">
        <v>641</v>
      </c>
      <c r="J66" s="280" t="s">
        <v>641</v>
      </c>
      <c r="K66" s="298" t="s">
        <v>602</v>
      </c>
      <c r="L66" s="305"/>
      <c r="M66" s="300" t="str">
        <f>IF(L66=$AA$3,$I66,$J66)</f>
        <v>EB</v>
      </c>
      <c r="N66" s="306">
        <v>3</v>
      </c>
      <c r="O66" s="298" t="str">
        <f>IF(L66=$AA$3,$I66,$K66)</f>
        <v>NC</v>
      </c>
      <c r="P66" s="306">
        <v>3</v>
      </c>
      <c r="Q66" s="307" t="str">
        <f t="shared" si="20"/>
        <v>EB</v>
      </c>
      <c r="R66" s="305" t="str">
        <f t="shared" si="21"/>
        <v>NC</v>
      </c>
      <c r="S66" s="305"/>
      <c r="T66" s="300" t="str">
        <f>IF(S66=$AA$3,$I66,$J66)</f>
        <v>EB</v>
      </c>
      <c r="U66" s="306">
        <v>0</v>
      </c>
      <c r="V66" s="298" t="str">
        <f>IF(S66=$AA$3,$I66,$K66)</f>
        <v>NC</v>
      </c>
      <c r="W66" s="306">
        <v>0</v>
      </c>
      <c r="X66" s="307" t="str">
        <f t="shared" si="22"/>
        <v>EB</v>
      </c>
      <c r="Y66" s="305" t="str">
        <f t="shared" si="23"/>
        <v>NC</v>
      </c>
      <c r="Z66" s="205"/>
      <c r="AA66" s="265" t="e">
        <f>重み_前!M66</f>
        <v>#DIV/0!</v>
      </c>
      <c r="AB66" s="265" t="e">
        <f>重み_後!N66</f>
        <v>#DIV/0!</v>
      </c>
      <c r="AC66" s="235" t="e">
        <f>重み_前!D66</f>
        <v>#DIV/0!</v>
      </c>
      <c r="AD66" s="235"/>
      <c r="AE66" s="235" t="e">
        <f>重み_後!D66</f>
        <v>#DIV/0!</v>
      </c>
      <c r="AF66" s="235"/>
      <c r="AG66" s="235"/>
      <c r="AH66" s="236" t="e">
        <f>重み_前!N66</f>
        <v>#DIV/0!</v>
      </c>
      <c r="AI66" s="236" t="e">
        <f>重み_後!O66</f>
        <v>#DIV/0!</v>
      </c>
      <c r="AJ66" s="235" t="e">
        <f>重み_前!E66</f>
        <v>#DIV/0!</v>
      </c>
      <c r="AK66" s="235"/>
      <c r="AL66" s="235" t="e">
        <f>重み_後!E66</f>
        <v>#DIV/0!</v>
      </c>
    </row>
    <row r="67" spans="2:38" ht="14.25" thickBot="1">
      <c r="B67" s="331"/>
      <c r="C67" s="289">
        <v>1.2</v>
      </c>
      <c r="D67" s="290" t="s">
        <v>678</v>
      </c>
      <c r="E67" s="370"/>
      <c r="F67" s="280" t="s">
        <v>679</v>
      </c>
      <c r="G67" s="280" t="s">
        <v>679</v>
      </c>
      <c r="H67" s="280" t="s">
        <v>680</v>
      </c>
      <c r="I67" s="327"/>
      <c r="J67" s="327"/>
      <c r="K67" s="328"/>
      <c r="L67" s="292" t="str">
        <f>IF(COUNTIF(L68:L70,$AA$3)&gt;=ROWS(L68:L70),$AA$3,"")</f>
        <v/>
      </c>
      <c r="M67" s="329"/>
      <c r="N67" s="309"/>
      <c r="O67" s="328"/>
      <c r="P67" s="309"/>
      <c r="Q67" s="310" t="str">
        <f t="shared" si="20"/>
        <v>EB</v>
      </c>
      <c r="R67" s="311" t="str">
        <f t="shared" si="21"/>
        <v>NC</v>
      </c>
      <c r="S67" s="292" t="str">
        <f>IF(COUNTIF(S68:S70,$AA$3)&gt;=ROWS(S68:S70),$AA$3,"")</f>
        <v/>
      </c>
      <c r="T67" s="329"/>
      <c r="U67" s="309"/>
      <c r="V67" s="328"/>
      <c r="W67" s="309"/>
      <c r="X67" s="310" t="str">
        <f t="shared" si="22"/>
        <v>EB</v>
      </c>
      <c r="Y67" s="311" t="str">
        <f t="shared" si="23"/>
        <v>NC</v>
      </c>
      <c r="Z67" s="205"/>
      <c r="AA67" s="265" t="e">
        <f>重み_前!M67</f>
        <v>#DIV/0!</v>
      </c>
      <c r="AB67" s="265" t="e">
        <f>重み_後!N67</f>
        <v>#DIV/0!</v>
      </c>
      <c r="AC67" s="235" t="e">
        <f>重み_前!D67</f>
        <v>#DIV/0!</v>
      </c>
      <c r="AD67" s="235"/>
      <c r="AE67" s="235" t="e">
        <f>重み_後!D67</f>
        <v>#DIV/0!</v>
      </c>
      <c r="AF67" s="235"/>
      <c r="AG67" s="235"/>
      <c r="AH67" s="236" t="e">
        <f>重み_前!N67</f>
        <v>#DIV/0!</v>
      </c>
      <c r="AI67" s="236" t="e">
        <f>重み_後!O67</f>
        <v>#DIV/0!</v>
      </c>
      <c r="AJ67" s="235" t="e">
        <f>重み_前!E67</f>
        <v>#DIV/0!</v>
      </c>
      <c r="AK67" s="235"/>
      <c r="AL67" s="235" t="e">
        <f>重み_後!E67</f>
        <v>#DIV/0!</v>
      </c>
    </row>
    <row r="68" spans="2:38" ht="13.5">
      <c r="B68" s="331"/>
      <c r="C68" s="296"/>
      <c r="D68" s="297">
        <v>1</v>
      </c>
      <c r="E68" s="317" t="s">
        <v>681</v>
      </c>
      <c r="F68" s="280" t="s">
        <v>663</v>
      </c>
      <c r="G68" s="280" t="s">
        <v>663</v>
      </c>
      <c r="H68" s="280" t="s">
        <v>602</v>
      </c>
      <c r="I68" s="280" t="s">
        <v>663</v>
      </c>
      <c r="J68" s="280" t="s">
        <v>663</v>
      </c>
      <c r="K68" s="298" t="s">
        <v>602</v>
      </c>
      <c r="L68" s="299"/>
      <c r="M68" s="300" t="str">
        <f>IF(L68=$AA$3,$I68,$J68)</f>
        <v>EB</v>
      </c>
      <c r="N68" s="301">
        <v>3</v>
      </c>
      <c r="O68" s="298" t="str">
        <f>IF(L68=$AA$3,$I68,$K68)</f>
        <v>NC</v>
      </c>
      <c r="P68" s="301">
        <v>3</v>
      </c>
      <c r="Q68" s="302" t="str">
        <f t="shared" si="20"/>
        <v>EB</v>
      </c>
      <c r="R68" s="299" t="str">
        <f t="shared" si="21"/>
        <v>NC</v>
      </c>
      <c r="S68" s="299"/>
      <c r="T68" s="300" t="str">
        <f>IF(S68=$AA$3,$I68,$J68)</f>
        <v>EB</v>
      </c>
      <c r="U68" s="301">
        <v>3</v>
      </c>
      <c r="V68" s="298" t="str">
        <f>IF(S68=$AA$3,$I68,$K68)</f>
        <v>NC</v>
      </c>
      <c r="W68" s="301">
        <v>3</v>
      </c>
      <c r="X68" s="302" t="str">
        <f t="shared" si="22"/>
        <v>EB</v>
      </c>
      <c r="Y68" s="299" t="str">
        <f t="shared" si="23"/>
        <v>NC</v>
      </c>
      <c r="Z68" s="205"/>
      <c r="AA68" s="265" t="e">
        <f>重み_前!M68</f>
        <v>#DIV/0!</v>
      </c>
      <c r="AB68" s="265" t="e">
        <f>重み_後!N68</f>
        <v>#DIV/0!</v>
      </c>
      <c r="AC68" s="235" t="e">
        <f>重み_前!D68</f>
        <v>#DIV/0!</v>
      </c>
      <c r="AD68" s="235"/>
      <c r="AE68" s="235" t="e">
        <f>重み_後!D68</f>
        <v>#DIV/0!</v>
      </c>
      <c r="AF68" s="235"/>
      <c r="AG68" s="235"/>
      <c r="AH68" s="236" t="e">
        <f>重み_前!N68</f>
        <v>#DIV/0!</v>
      </c>
      <c r="AI68" s="236" t="e">
        <f>重み_後!O68</f>
        <v>#DIV/0!</v>
      </c>
      <c r="AJ68" s="235" t="e">
        <f>重み_前!E68</f>
        <v>#DIV/0!</v>
      </c>
      <c r="AK68" s="235"/>
      <c r="AL68" s="235" t="e">
        <f>重み_後!E68</f>
        <v>#DIV/0!</v>
      </c>
    </row>
    <row r="69" spans="2:38" ht="13.5">
      <c r="B69" s="331"/>
      <c r="C69" s="296"/>
      <c r="D69" s="297">
        <v>2</v>
      </c>
      <c r="E69" s="317" t="s">
        <v>682</v>
      </c>
      <c r="F69" s="280" t="s">
        <v>663</v>
      </c>
      <c r="G69" s="280" t="s">
        <v>663</v>
      </c>
      <c r="H69" s="280" t="s">
        <v>602</v>
      </c>
      <c r="I69" s="280" t="s">
        <v>663</v>
      </c>
      <c r="J69" s="280" t="s">
        <v>663</v>
      </c>
      <c r="K69" s="298" t="s">
        <v>602</v>
      </c>
      <c r="L69" s="312"/>
      <c r="M69" s="300" t="str">
        <f>IF(L69=$AA$3,$I69,$J69)</f>
        <v>EB</v>
      </c>
      <c r="N69" s="313">
        <v>3</v>
      </c>
      <c r="O69" s="298" t="str">
        <f>IF(L69=$AA$3,$I69,$K69)</f>
        <v>NC</v>
      </c>
      <c r="P69" s="313">
        <v>3</v>
      </c>
      <c r="Q69" s="314" t="str">
        <f t="shared" si="20"/>
        <v>EB</v>
      </c>
      <c r="R69" s="312" t="str">
        <f t="shared" si="21"/>
        <v>NC</v>
      </c>
      <c r="S69" s="312"/>
      <c r="T69" s="300" t="str">
        <f>IF(S69=$AA$3,$I69,$J69)</f>
        <v>EB</v>
      </c>
      <c r="U69" s="313">
        <v>3</v>
      </c>
      <c r="V69" s="298" t="str">
        <f>IF(S69=$AA$3,$I69,$K69)</f>
        <v>NC</v>
      </c>
      <c r="W69" s="313">
        <v>3</v>
      </c>
      <c r="X69" s="314" t="str">
        <f t="shared" si="22"/>
        <v>EB</v>
      </c>
      <c r="Y69" s="312" t="str">
        <f t="shared" si="23"/>
        <v>NC</v>
      </c>
      <c r="Z69" s="205"/>
      <c r="AA69" s="265" t="e">
        <f>重み_前!M69</f>
        <v>#DIV/0!</v>
      </c>
      <c r="AB69" s="265" t="e">
        <f>重み_後!N69</f>
        <v>#DIV/0!</v>
      </c>
      <c r="AC69" s="235" t="e">
        <f>重み_前!D69</f>
        <v>#DIV/0!</v>
      </c>
      <c r="AD69" s="235"/>
      <c r="AE69" s="235" t="e">
        <f>重み_後!D69</f>
        <v>#DIV/0!</v>
      </c>
      <c r="AF69" s="235"/>
      <c r="AG69" s="235"/>
      <c r="AH69" s="236" t="e">
        <f>重み_前!N69</f>
        <v>#DIV/0!</v>
      </c>
      <c r="AI69" s="236" t="e">
        <f>重み_後!O69</f>
        <v>#DIV/0!</v>
      </c>
      <c r="AJ69" s="235" t="e">
        <f>重み_前!E69</f>
        <v>#DIV/0!</v>
      </c>
      <c r="AK69" s="235"/>
      <c r="AL69" s="235" t="e">
        <f>重み_後!E69</f>
        <v>#DIV/0!</v>
      </c>
    </row>
    <row r="70" spans="2:38" ht="14.25" thickBot="1">
      <c r="B70" s="372"/>
      <c r="C70" s="303"/>
      <c r="D70" s="297">
        <v>3</v>
      </c>
      <c r="E70" s="317" t="s">
        <v>683</v>
      </c>
      <c r="F70" s="280" t="s">
        <v>663</v>
      </c>
      <c r="G70" s="280" t="s">
        <v>663</v>
      </c>
      <c r="H70" s="280" t="s">
        <v>602</v>
      </c>
      <c r="I70" s="280" t="s">
        <v>663</v>
      </c>
      <c r="J70" s="280" t="s">
        <v>663</v>
      </c>
      <c r="K70" s="298" t="s">
        <v>602</v>
      </c>
      <c r="L70" s="305"/>
      <c r="M70" s="300" t="str">
        <f>IF(L70=$AA$3,$I70,$J70)</f>
        <v>EB</v>
      </c>
      <c r="N70" s="306">
        <v>3</v>
      </c>
      <c r="O70" s="298" t="str">
        <f>IF(L70=$AA$3,$I70,$K70)</f>
        <v>NC</v>
      </c>
      <c r="P70" s="306">
        <v>3</v>
      </c>
      <c r="Q70" s="307" t="str">
        <f t="shared" si="20"/>
        <v>EB</v>
      </c>
      <c r="R70" s="305" t="str">
        <f t="shared" si="21"/>
        <v>NC</v>
      </c>
      <c r="S70" s="305"/>
      <c r="T70" s="300" t="str">
        <f>IF(S70=$AA$3,$I70,$J70)</f>
        <v>EB</v>
      </c>
      <c r="U70" s="306">
        <v>3</v>
      </c>
      <c r="V70" s="298" t="str">
        <f>IF(S70=$AA$3,$I70,$K70)</f>
        <v>NC</v>
      </c>
      <c r="W70" s="306">
        <v>3</v>
      </c>
      <c r="X70" s="307" t="str">
        <f t="shared" si="22"/>
        <v>EB</v>
      </c>
      <c r="Y70" s="305" t="str">
        <f t="shared" si="23"/>
        <v>NC</v>
      </c>
      <c r="Z70" s="205"/>
      <c r="AA70" s="265" t="e">
        <f>重み_前!M70</f>
        <v>#DIV/0!</v>
      </c>
      <c r="AB70" s="265" t="e">
        <f>重み_後!N70</f>
        <v>#DIV/0!</v>
      </c>
      <c r="AC70" s="235" t="e">
        <f>重み_前!D70</f>
        <v>#DIV/0!</v>
      </c>
      <c r="AD70" s="235"/>
      <c r="AE70" s="235" t="e">
        <f>重み_後!D70</f>
        <v>#DIV/0!</v>
      </c>
      <c r="AF70" s="235"/>
      <c r="AG70" s="235"/>
      <c r="AH70" s="236" t="e">
        <f>重み_前!N70</f>
        <v>#DIV/0!</v>
      </c>
      <c r="AI70" s="236" t="e">
        <f>重み_後!O70</f>
        <v>#DIV/0!</v>
      </c>
      <c r="AJ70" s="235" t="e">
        <f>重み_前!E70</f>
        <v>#DIV/0!</v>
      </c>
      <c r="AK70" s="235"/>
      <c r="AL70" s="235" t="e">
        <f>重み_後!E70</f>
        <v>#DIV/0!</v>
      </c>
    </row>
    <row r="71" spans="2:38" ht="14.25" thickBot="1">
      <c r="B71" s="331"/>
      <c r="C71" s="289">
        <v>1.3</v>
      </c>
      <c r="D71" s="290" t="s">
        <v>684</v>
      </c>
      <c r="E71" s="370"/>
      <c r="F71" s="280" t="s">
        <v>599</v>
      </c>
      <c r="G71" s="280" t="s">
        <v>599</v>
      </c>
      <c r="H71" s="280" t="s">
        <v>600</v>
      </c>
      <c r="I71" s="327"/>
      <c r="J71" s="327"/>
      <c r="K71" s="328"/>
      <c r="L71" s="292" t="str">
        <f>IF(COUNTIF(L72:L74,$AA$3)&gt;=ROWS(L72:L74),$AA$3,"")</f>
        <v/>
      </c>
      <c r="M71" s="329"/>
      <c r="N71" s="309"/>
      <c r="O71" s="328"/>
      <c r="P71" s="309"/>
      <c r="Q71" s="310" t="str">
        <f t="shared" si="20"/>
        <v>EB</v>
      </c>
      <c r="R71" s="311" t="str">
        <f t="shared" si="21"/>
        <v>NC</v>
      </c>
      <c r="S71" s="292" t="str">
        <f>IF(COUNTIF(S72:S74,$AA$3)&gt;=ROWS(S72:S74),$AA$3,"")</f>
        <v/>
      </c>
      <c r="T71" s="329"/>
      <c r="U71" s="309"/>
      <c r="V71" s="328"/>
      <c r="W71" s="309"/>
      <c r="X71" s="310" t="str">
        <f t="shared" si="22"/>
        <v>EB</v>
      </c>
      <c r="Y71" s="311" t="str">
        <f t="shared" si="23"/>
        <v>NC</v>
      </c>
      <c r="Z71" s="205"/>
      <c r="AA71" s="265" t="e">
        <f>重み_前!M71</f>
        <v>#DIV/0!</v>
      </c>
      <c r="AB71" s="265" t="e">
        <f>重み_後!N71</f>
        <v>#DIV/0!</v>
      </c>
      <c r="AC71" s="235" t="e">
        <f>重み_前!D71</f>
        <v>#DIV/0!</v>
      </c>
      <c r="AD71" s="235"/>
      <c r="AE71" s="235" t="e">
        <f>重み_後!D71</f>
        <v>#DIV/0!</v>
      </c>
      <c r="AF71" s="235"/>
      <c r="AG71" s="235"/>
      <c r="AH71" s="236" t="e">
        <f>重み_前!N71</f>
        <v>#DIV/0!</v>
      </c>
      <c r="AI71" s="236" t="e">
        <f>重み_後!O71</f>
        <v>#DIV/0!</v>
      </c>
      <c r="AJ71" s="235" t="e">
        <f>重み_前!E71</f>
        <v>#DIV/0!</v>
      </c>
      <c r="AK71" s="235"/>
      <c r="AL71" s="235" t="e">
        <f>重み_後!E71</f>
        <v>#DIV/0!</v>
      </c>
    </row>
    <row r="72" spans="2:38" ht="13.5">
      <c r="B72" s="331"/>
      <c r="C72" s="296"/>
      <c r="D72" s="297">
        <v>1</v>
      </c>
      <c r="E72" s="346" t="s">
        <v>1808</v>
      </c>
      <c r="F72" s="280" t="s">
        <v>685</v>
      </c>
      <c r="G72" s="280" t="s">
        <v>685</v>
      </c>
      <c r="H72" s="280" t="s">
        <v>602</v>
      </c>
      <c r="I72" s="280" t="s">
        <v>685</v>
      </c>
      <c r="J72" s="280" t="s">
        <v>685</v>
      </c>
      <c r="K72" s="298" t="s">
        <v>602</v>
      </c>
      <c r="L72" s="299"/>
      <c r="M72" s="300" t="str">
        <f>IF(L72=$AA$3,$I72,$J72)</f>
        <v>EB</v>
      </c>
      <c r="N72" s="301">
        <v>3</v>
      </c>
      <c r="O72" s="298" t="str">
        <f>IF(L72=$AA$3,$I72,$K72)</f>
        <v>NC</v>
      </c>
      <c r="P72" s="301">
        <v>3</v>
      </c>
      <c r="Q72" s="302" t="str">
        <f t="shared" si="20"/>
        <v>EB</v>
      </c>
      <c r="R72" s="299" t="str">
        <f t="shared" si="21"/>
        <v>NC</v>
      </c>
      <c r="S72" s="299"/>
      <c r="T72" s="300" t="str">
        <f>IF(S72=$AA$3,$I72,$J72)</f>
        <v>EB</v>
      </c>
      <c r="U72" s="301">
        <v>0</v>
      </c>
      <c r="V72" s="298" t="str">
        <f>IF(S72=$AA$3,$I72,$K72)</f>
        <v>NC</v>
      </c>
      <c r="W72" s="301">
        <v>0</v>
      </c>
      <c r="X72" s="302" t="str">
        <f t="shared" si="22"/>
        <v>EB</v>
      </c>
      <c r="Y72" s="299" t="str">
        <f t="shared" si="23"/>
        <v>NC</v>
      </c>
      <c r="Z72" s="205"/>
      <c r="AA72" s="265" t="e">
        <f>重み_前!M72</f>
        <v>#DIV/0!</v>
      </c>
      <c r="AB72" s="265" t="e">
        <f>重み_後!N72</f>
        <v>#DIV/0!</v>
      </c>
      <c r="AC72" s="235" t="e">
        <f>重み_前!D72</f>
        <v>#DIV/0!</v>
      </c>
      <c r="AD72" s="235"/>
      <c r="AE72" s="235" t="e">
        <f>重み_後!D72</f>
        <v>#DIV/0!</v>
      </c>
      <c r="AF72" s="235"/>
      <c r="AG72" s="235"/>
      <c r="AH72" s="236" t="e">
        <f>重み_前!N72</f>
        <v>#DIV/0!</v>
      </c>
      <c r="AI72" s="236" t="e">
        <f>重み_後!O72</f>
        <v>#DIV/0!</v>
      </c>
      <c r="AJ72" s="235" t="e">
        <f>重み_前!E72</f>
        <v>#DIV/0!</v>
      </c>
      <c r="AK72" s="235"/>
      <c r="AL72" s="235" t="e">
        <f>重み_後!E72</f>
        <v>#DIV/0!</v>
      </c>
    </row>
    <row r="73" spans="2:38" ht="13.5">
      <c r="B73" s="331"/>
      <c r="C73" s="296"/>
      <c r="D73" s="297">
        <v>2</v>
      </c>
      <c r="E73" s="346" t="s">
        <v>686</v>
      </c>
      <c r="F73" s="280" t="s">
        <v>665</v>
      </c>
      <c r="G73" s="280" t="s">
        <v>665</v>
      </c>
      <c r="H73" s="280" t="s">
        <v>602</v>
      </c>
      <c r="I73" s="280" t="s">
        <v>665</v>
      </c>
      <c r="J73" s="280" t="s">
        <v>665</v>
      </c>
      <c r="K73" s="298" t="s">
        <v>602</v>
      </c>
      <c r="L73" s="312"/>
      <c r="M73" s="300" t="str">
        <f>IF(L73=$AA$3,$I73,$J73)</f>
        <v>EB</v>
      </c>
      <c r="N73" s="313">
        <v>3</v>
      </c>
      <c r="O73" s="298" t="str">
        <f>IF(L73=$AA$3,$I73,$K73)</f>
        <v>NC</v>
      </c>
      <c r="P73" s="313">
        <v>3</v>
      </c>
      <c r="Q73" s="314" t="str">
        <f t="shared" si="20"/>
        <v>EB</v>
      </c>
      <c r="R73" s="312" t="str">
        <f t="shared" si="21"/>
        <v>NC</v>
      </c>
      <c r="S73" s="312"/>
      <c r="T73" s="300" t="str">
        <f>IF(S73=$AA$3,$I73,$J73)</f>
        <v>EB</v>
      </c>
      <c r="U73" s="313">
        <v>0</v>
      </c>
      <c r="V73" s="298" t="str">
        <f>IF(S73=$AA$3,$I73,$K73)</f>
        <v>NC</v>
      </c>
      <c r="W73" s="313">
        <v>0</v>
      </c>
      <c r="X73" s="314" t="str">
        <f t="shared" si="22"/>
        <v>EB</v>
      </c>
      <c r="Y73" s="312" t="str">
        <f t="shared" si="23"/>
        <v>NC</v>
      </c>
      <c r="Z73" s="205"/>
      <c r="AA73" s="265" t="e">
        <f>重み_前!M73</f>
        <v>#DIV/0!</v>
      </c>
      <c r="AB73" s="265" t="e">
        <f>重み_後!N73</f>
        <v>#DIV/0!</v>
      </c>
      <c r="AC73" s="235" t="e">
        <f>重み_前!D73</f>
        <v>#DIV/0!</v>
      </c>
      <c r="AD73" s="235"/>
      <c r="AE73" s="235" t="e">
        <f>重み_後!D73</f>
        <v>#DIV/0!</v>
      </c>
      <c r="AF73" s="235"/>
      <c r="AG73" s="235"/>
      <c r="AH73" s="236" t="e">
        <f>重み_前!N73</f>
        <v>#DIV/0!</v>
      </c>
      <c r="AI73" s="236" t="e">
        <f>重み_後!O73</f>
        <v>#DIV/0!</v>
      </c>
      <c r="AJ73" s="235" t="e">
        <f>重み_前!E73</f>
        <v>#DIV/0!</v>
      </c>
      <c r="AK73" s="235"/>
      <c r="AL73" s="235" t="e">
        <f>重み_後!E73</f>
        <v>#DIV/0!</v>
      </c>
    </row>
    <row r="74" spans="2:38" ht="14.25" thickBot="1">
      <c r="B74" s="373"/>
      <c r="C74" s="303"/>
      <c r="D74" s="297">
        <v>3</v>
      </c>
      <c r="E74" s="317" t="s">
        <v>687</v>
      </c>
      <c r="F74" s="280" t="s">
        <v>665</v>
      </c>
      <c r="G74" s="280" t="s">
        <v>665</v>
      </c>
      <c r="H74" s="280" t="s">
        <v>602</v>
      </c>
      <c r="I74" s="280" t="s">
        <v>665</v>
      </c>
      <c r="J74" s="280" t="s">
        <v>665</v>
      </c>
      <c r="K74" s="374">
        <v>0</v>
      </c>
      <c r="L74" s="305"/>
      <c r="M74" s="300" t="str">
        <f>IF(L74=$AA$3,$I74,$J74)</f>
        <v>EB</v>
      </c>
      <c r="N74" s="306">
        <v>3</v>
      </c>
      <c r="O74" s="298">
        <f>IF(L74=$AA$3,$I74,$K74)</f>
        <v>0</v>
      </c>
      <c r="P74" s="306">
        <v>3</v>
      </c>
      <c r="Q74" s="307" t="str">
        <f t="shared" si="20"/>
        <v>EB</v>
      </c>
      <c r="R74" s="305" t="str">
        <f t="shared" si="21"/>
        <v>NC</v>
      </c>
      <c r="S74" s="305"/>
      <c r="T74" s="300" t="str">
        <f>IF(S74=$AA$3,$I74,$J74)</f>
        <v>EB</v>
      </c>
      <c r="U74" s="306">
        <v>0</v>
      </c>
      <c r="V74" s="298">
        <f>IF(S74=$AA$3,$I74,$K74)</f>
        <v>0</v>
      </c>
      <c r="W74" s="306">
        <v>0</v>
      </c>
      <c r="X74" s="307" t="str">
        <f t="shared" si="22"/>
        <v>EB</v>
      </c>
      <c r="Y74" s="305" t="str">
        <f t="shared" si="23"/>
        <v>NC</v>
      </c>
      <c r="Z74" s="205"/>
      <c r="AA74" s="265" t="e">
        <f>重み_前!M74</f>
        <v>#DIV/0!</v>
      </c>
      <c r="AB74" s="265" t="e">
        <f>重み_後!N74</f>
        <v>#DIV/0!</v>
      </c>
      <c r="AC74" s="235" t="e">
        <f>重み_前!D74</f>
        <v>#DIV/0!</v>
      </c>
      <c r="AD74" s="235"/>
      <c r="AE74" s="235" t="e">
        <f>重み_後!D74</f>
        <v>#DIV/0!</v>
      </c>
      <c r="AF74" s="235"/>
      <c r="AG74" s="235"/>
      <c r="AH74" s="236" t="e">
        <f>重み_前!N74</f>
        <v>#DIV/0!</v>
      </c>
      <c r="AI74" s="236" t="e">
        <f>重み_後!O74</f>
        <v>#DIV/0!</v>
      </c>
      <c r="AJ74" s="235" t="e">
        <f>重み_前!E74</f>
        <v>#DIV/0!</v>
      </c>
      <c r="AK74" s="235"/>
      <c r="AL74" s="235" t="e">
        <f>重み_後!E74</f>
        <v>#DIV/0!</v>
      </c>
    </row>
    <row r="75" spans="2:38" ht="13.5">
      <c r="B75" s="276">
        <v>2</v>
      </c>
      <c r="C75" s="319" t="s">
        <v>688</v>
      </c>
      <c r="D75" s="278"/>
      <c r="E75" s="370"/>
      <c r="F75" s="280" t="s">
        <v>689</v>
      </c>
      <c r="G75" s="280" t="s">
        <v>689</v>
      </c>
      <c r="H75" s="280" t="s">
        <v>690</v>
      </c>
      <c r="I75" s="327"/>
      <c r="J75" s="327"/>
      <c r="K75" s="328"/>
      <c r="L75" s="323" t="str">
        <f>IF(COUNTIF(L76:L95,$AA$3)&gt;=ROWS(L76:L95),$AA$3,"")</f>
        <v/>
      </c>
      <c r="M75" s="329"/>
      <c r="N75" s="325"/>
      <c r="O75" s="328"/>
      <c r="P75" s="325"/>
      <c r="Q75" s="286" t="str">
        <f t="shared" si="20"/>
        <v>EB</v>
      </c>
      <c r="R75" s="287" t="str">
        <f t="shared" si="21"/>
        <v>NC</v>
      </c>
      <c r="S75" s="323" t="str">
        <f>IF(COUNTIF(S76:S95,$AA$3)&gt;=ROWS(S76:S95),$AA$3,"")</f>
        <v/>
      </c>
      <c r="T75" s="329"/>
      <c r="U75" s="325"/>
      <c r="V75" s="328"/>
      <c r="W75" s="325"/>
      <c r="X75" s="286" t="str">
        <f t="shared" si="22"/>
        <v>EB</v>
      </c>
      <c r="Y75" s="287" t="str">
        <f t="shared" si="23"/>
        <v>NC</v>
      </c>
      <c r="Z75" s="205"/>
      <c r="AA75" s="265" t="e">
        <f>重み_前!M75</f>
        <v>#DIV/0!</v>
      </c>
      <c r="AB75" s="265" t="e">
        <f>重み_後!N75</f>
        <v>#DIV/0!</v>
      </c>
      <c r="AC75" s="235" t="e">
        <f>重み_前!D75</f>
        <v>#DIV/0!</v>
      </c>
      <c r="AD75" s="235"/>
      <c r="AE75" s="235" t="e">
        <f>重み_後!D75</f>
        <v>#DIV/0!</v>
      </c>
      <c r="AF75" s="235"/>
      <c r="AG75" s="235"/>
      <c r="AH75" s="236">
        <f>重み_前!N75</f>
        <v>1</v>
      </c>
      <c r="AI75" s="236" t="e">
        <f>重み_後!O75</f>
        <v>#DIV/0!</v>
      </c>
      <c r="AJ75" s="235" t="e">
        <f>重み_前!E75</f>
        <v>#DIV/0!</v>
      </c>
      <c r="AK75" s="235"/>
      <c r="AL75" s="235" t="e">
        <f>重み_後!E75</f>
        <v>#DIV/0!</v>
      </c>
    </row>
    <row r="76" spans="2:38" ht="14.25" thickBot="1">
      <c r="B76" s="331"/>
      <c r="C76" s="289">
        <v>2.1</v>
      </c>
      <c r="D76" s="326" t="s">
        <v>691</v>
      </c>
      <c r="E76" s="370"/>
      <c r="F76" s="280" t="s">
        <v>692</v>
      </c>
      <c r="G76" s="280" t="s">
        <v>692</v>
      </c>
      <c r="H76" s="280" t="s">
        <v>693</v>
      </c>
      <c r="I76" s="327"/>
      <c r="J76" s="327"/>
      <c r="K76" s="328"/>
      <c r="L76" s="295" t="str">
        <f>IF(COUNTIF(L77:L78,$AA$3)&gt;=ROWS(L77:L78),$AA$3,"")</f>
        <v/>
      </c>
      <c r="M76" s="329"/>
      <c r="N76" s="293"/>
      <c r="O76" s="328"/>
      <c r="P76" s="293"/>
      <c r="Q76" s="294" t="str">
        <f t="shared" si="20"/>
        <v>EB</v>
      </c>
      <c r="R76" s="295" t="str">
        <f t="shared" si="21"/>
        <v>NC</v>
      </c>
      <c r="S76" s="295" t="str">
        <f>IF(COUNTIF(S77:S78,$AA$3)&gt;=ROWS(S77:S78),$AA$3,"")</f>
        <v/>
      </c>
      <c r="T76" s="329"/>
      <c r="U76" s="293"/>
      <c r="V76" s="328"/>
      <c r="W76" s="293"/>
      <c r="X76" s="294" t="str">
        <f t="shared" si="22"/>
        <v>EB</v>
      </c>
      <c r="Y76" s="295" t="str">
        <f t="shared" si="23"/>
        <v>NC</v>
      </c>
      <c r="Z76" s="205"/>
      <c r="AA76" s="265" t="e">
        <f>重み_前!M76</f>
        <v>#DIV/0!</v>
      </c>
      <c r="AB76" s="265" t="e">
        <f>重み_後!N76</f>
        <v>#DIV/0!</v>
      </c>
      <c r="AC76" s="235" t="e">
        <f>重み_前!D76</f>
        <v>#DIV/0!</v>
      </c>
      <c r="AD76" s="235"/>
      <c r="AE76" s="235" t="e">
        <f>重み_後!D76</f>
        <v>#DIV/0!</v>
      </c>
      <c r="AF76" s="235"/>
      <c r="AG76" s="235"/>
      <c r="AH76" s="236" t="e">
        <f>重み_前!N76</f>
        <v>#DIV/0!</v>
      </c>
      <c r="AI76" s="236" t="e">
        <f>重み_後!O76</f>
        <v>#DIV/0!</v>
      </c>
      <c r="AJ76" s="235" t="e">
        <f>重み_前!E76</f>
        <v>#DIV/0!</v>
      </c>
      <c r="AK76" s="235"/>
      <c r="AL76" s="235" t="e">
        <f>重み_後!E76</f>
        <v>#DIV/0!</v>
      </c>
    </row>
    <row r="77" spans="2:38" ht="13.5">
      <c r="B77" s="331"/>
      <c r="C77" s="330"/>
      <c r="D77" s="297">
        <v>1</v>
      </c>
      <c r="E77" s="317" t="s">
        <v>694</v>
      </c>
      <c r="F77" s="280" t="s">
        <v>692</v>
      </c>
      <c r="G77" s="280" t="s">
        <v>692</v>
      </c>
      <c r="H77" s="280" t="s">
        <v>602</v>
      </c>
      <c r="I77" s="280" t="s">
        <v>692</v>
      </c>
      <c r="J77" s="280" t="s">
        <v>692</v>
      </c>
      <c r="K77" s="298" t="s">
        <v>602</v>
      </c>
      <c r="L77" s="299"/>
      <c r="M77" s="300" t="str">
        <f>IF(L77=$AA$3,$I77,$J77)</f>
        <v>EB</v>
      </c>
      <c r="N77" s="301">
        <v>3</v>
      </c>
      <c r="O77" s="298" t="str">
        <f>IF(L77=$AA$3,$I77,$K77)</f>
        <v>NC</v>
      </c>
      <c r="P77" s="301">
        <v>3</v>
      </c>
      <c r="Q77" s="302" t="str">
        <f t="shared" si="20"/>
        <v>EB</v>
      </c>
      <c r="R77" s="299" t="str">
        <f t="shared" si="21"/>
        <v>NC</v>
      </c>
      <c r="S77" s="299"/>
      <c r="T77" s="300" t="str">
        <f>IF(S77=$AA$3,$I77,$J77)</f>
        <v>EB</v>
      </c>
      <c r="U77" s="301">
        <v>0</v>
      </c>
      <c r="V77" s="298" t="str">
        <f>IF(S77=$AA$3,$I77,$K77)</f>
        <v>NC</v>
      </c>
      <c r="W77" s="301">
        <v>0</v>
      </c>
      <c r="X77" s="302" t="str">
        <f t="shared" si="22"/>
        <v>EB</v>
      </c>
      <c r="Y77" s="299" t="str">
        <f t="shared" si="23"/>
        <v>NC</v>
      </c>
      <c r="Z77" s="205"/>
      <c r="AA77" s="265" t="e">
        <f>重み_前!M77</f>
        <v>#DIV/0!</v>
      </c>
      <c r="AB77" s="265" t="e">
        <f>重み_後!N77</f>
        <v>#DIV/0!</v>
      </c>
      <c r="AC77" s="235" t="e">
        <f>重み_前!D77</f>
        <v>#DIV/0!</v>
      </c>
      <c r="AD77" s="235"/>
      <c r="AE77" s="235" t="e">
        <f>重み_後!D77</f>
        <v>#DIV/0!</v>
      </c>
      <c r="AF77" s="235"/>
      <c r="AG77" s="235"/>
      <c r="AH77" s="236" t="e">
        <f>重み_前!N77</f>
        <v>#DIV/0!</v>
      </c>
      <c r="AI77" s="236" t="e">
        <f>重み_後!O77</f>
        <v>#DIV/0!</v>
      </c>
      <c r="AJ77" s="235" t="e">
        <f>重み_前!E77</f>
        <v>#DIV/0!</v>
      </c>
      <c r="AK77" s="235"/>
      <c r="AL77" s="235" t="e">
        <f>重み_後!E77</f>
        <v>#DIV/0!</v>
      </c>
    </row>
    <row r="78" spans="2:38" ht="14.25" thickBot="1">
      <c r="B78" s="331"/>
      <c r="C78" s="339"/>
      <c r="D78" s="297">
        <v>2</v>
      </c>
      <c r="E78" s="317" t="s">
        <v>695</v>
      </c>
      <c r="F78" s="280" t="s">
        <v>692</v>
      </c>
      <c r="G78" s="280" t="s">
        <v>692</v>
      </c>
      <c r="H78" s="280" t="s">
        <v>602</v>
      </c>
      <c r="I78" s="280" t="s">
        <v>696</v>
      </c>
      <c r="J78" s="280" t="s">
        <v>696</v>
      </c>
      <c r="K78" s="298" t="s">
        <v>602</v>
      </c>
      <c r="L78" s="305"/>
      <c r="M78" s="300" t="str">
        <f>IF(L78=$AA$3,$I78,$J78)</f>
        <v>EB</v>
      </c>
      <c r="N78" s="306">
        <v>3</v>
      </c>
      <c r="O78" s="298" t="str">
        <f>IF(L78=$AA$3,$I78,$K78)</f>
        <v>NC</v>
      </c>
      <c r="P78" s="306">
        <v>3</v>
      </c>
      <c r="Q78" s="307" t="str">
        <f t="shared" si="20"/>
        <v>EB</v>
      </c>
      <c r="R78" s="305" t="str">
        <f t="shared" si="21"/>
        <v>NC</v>
      </c>
      <c r="S78" s="305"/>
      <c r="T78" s="300" t="str">
        <f>IF(S78=$AA$3,$I78,$J78)</f>
        <v>EB</v>
      </c>
      <c r="U78" s="306">
        <v>0</v>
      </c>
      <c r="V78" s="298" t="str">
        <f>IF(S78=$AA$3,$I78,$K78)</f>
        <v>NC</v>
      </c>
      <c r="W78" s="306">
        <v>0</v>
      </c>
      <c r="X78" s="307" t="str">
        <f t="shared" si="22"/>
        <v>EB</v>
      </c>
      <c r="Y78" s="305" t="str">
        <f t="shared" si="23"/>
        <v>NC</v>
      </c>
      <c r="Z78" s="205"/>
      <c r="AA78" s="265" t="e">
        <f>重み_前!M78</f>
        <v>#DIV/0!</v>
      </c>
      <c r="AB78" s="265" t="e">
        <f>重み_後!N78</f>
        <v>#DIV/0!</v>
      </c>
      <c r="AC78" s="235" t="e">
        <f>重み_前!D78</f>
        <v>#DIV/0!</v>
      </c>
      <c r="AD78" s="235"/>
      <c r="AE78" s="235" t="e">
        <f>重み_後!D78</f>
        <v>#DIV/0!</v>
      </c>
      <c r="AF78" s="235"/>
      <c r="AG78" s="235"/>
      <c r="AH78" s="236" t="e">
        <f>重み_前!N78</f>
        <v>#DIV/0!</v>
      </c>
      <c r="AI78" s="236" t="e">
        <f>重み_後!O78</f>
        <v>#DIV/0!</v>
      </c>
      <c r="AJ78" s="235" t="e">
        <f>重み_前!E78</f>
        <v>#DIV/0!</v>
      </c>
      <c r="AK78" s="235"/>
      <c r="AL78" s="235" t="e">
        <f>重み_後!E78</f>
        <v>#DIV/0!</v>
      </c>
    </row>
    <row r="79" spans="2:38" ht="14.25" thickBot="1">
      <c r="B79" s="331"/>
      <c r="C79" s="308">
        <v>2.2000000000000002</v>
      </c>
      <c r="D79" s="326" t="s">
        <v>697</v>
      </c>
      <c r="E79" s="370"/>
      <c r="F79" s="280" t="s">
        <v>692</v>
      </c>
      <c r="G79" s="280" t="s">
        <v>692</v>
      </c>
      <c r="H79" s="280" t="s">
        <v>698</v>
      </c>
      <c r="I79" s="327"/>
      <c r="J79" s="327"/>
      <c r="K79" s="328"/>
      <c r="L79" s="292" t="str">
        <f>IF(COUNTIF(L80:L85,$AA$3)&gt;=ROWS(L80:L85),$AA$3,"")</f>
        <v/>
      </c>
      <c r="M79" s="329"/>
      <c r="N79" s="309"/>
      <c r="O79" s="328"/>
      <c r="P79" s="309"/>
      <c r="Q79" s="310" t="str">
        <f t="shared" si="20"/>
        <v>EB</v>
      </c>
      <c r="R79" s="311" t="str">
        <f t="shared" si="21"/>
        <v>NC</v>
      </c>
      <c r="S79" s="292" t="str">
        <f>IF(COUNTIF(S80:S85,$AA$3)&gt;=ROWS(S80:S85),$AA$3,"")</f>
        <v/>
      </c>
      <c r="T79" s="329"/>
      <c r="U79" s="309"/>
      <c r="V79" s="328"/>
      <c r="W79" s="309"/>
      <c r="X79" s="310" t="str">
        <f t="shared" si="22"/>
        <v>EB</v>
      </c>
      <c r="Y79" s="311" t="str">
        <f t="shared" si="23"/>
        <v>NC</v>
      </c>
      <c r="Z79" s="205"/>
      <c r="AA79" s="265" t="e">
        <f>重み_前!M79</f>
        <v>#DIV/0!</v>
      </c>
      <c r="AB79" s="265" t="e">
        <f>重み_後!N79</f>
        <v>#DIV/0!</v>
      </c>
      <c r="AC79" s="235" t="e">
        <f>重み_前!D79</f>
        <v>#DIV/0!</v>
      </c>
      <c r="AD79" s="235"/>
      <c r="AE79" s="235" t="e">
        <f>重み_後!D79</f>
        <v>#DIV/0!</v>
      </c>
      <c r="AF79" s="235"/>
      <c r="AG79" s="235"/>
      <c r="AH79" s="236" t="e">
        <f>重み_前!N79</f>
        <v>#DIV/0!</v>
      </c>
      <c r="AI79" s="236" t="e">
        <f>重み_後!O79</f>
        <v>#DIV/0!</v>
      </c>
      <c r="AJ79" s="235" t="e">
        <f>重み_前!E79</f>
        <v>#DIV/0!</v>
      </c>
      <c r="AK79" s="235"/>
      <c r="AL79" s="235" t="e">
        <f>重み_後!E79</f>
        <v>#DIV/0!</v>
      </c>
    </row>
    <row r="80" spans="2:38" ht="13.5">
      <c r="B80" s="331"/>
      <c r="C80" s="330"/>
      <c r="D80" s="297">
        <v>1</v>
      </c>
      <c r="E80" s="317" t="s">
        <v>699</v>
      </c>
      <c r="F80" s="280" t="s">
        <v>692</v>
      </c>
      <c r="G80" s="280" t="s">
        <v>692</v>
      </c>
      <c r="H80" s="280" t="s">
        <v>602</v>
      </c>
      <c r="I80" s="280" t="s">
        <v>620</v>
      </c>
      <c r="J80" s="280" t="s">
        <v>620</v>
      </c>
      <c r="K80" s="298" t="s">
        <v>602</v>
      </c>
      <c r="L80" s="301"/>
      <c r="M80" s="300" t="str">
        <f t="shared" ref="M80:M85" si="24">IF(L80=$AA$3,$I80,$J80)</f>
        <v>EB</v>
      </c>
      <c r="N80" s="301">
        <v>3</v>
      </c>
      <c r="O80" s="298" t="str">
        <f t="shared" ref="O80:O85" si="25">IF(L80=$AA$3,$I80,$K80)</f>
        <v>NC</v>
      </c>
      <c r="P80" s="301">
        <v>3</v>
      </c>
      <c r="Q80" s="301" t="str">
        <f t="shared" si="20"/>
        <v>EB</v>
      </c>
      <c r="R80" s="301" t="str">
        <f t="shared" si="21"/>
        <v>NC</v>
      </c>
      <c r="S80" s="301"/>
      <c r="T80" s="300" t="str">
        <f t="shared" ref="T80:T85" si="26">IF(S80=$AA$3,$I80,$J80)</f>
        <v>EB</v>
      </c>
      <c r="U80" s="301">
        <v>0</v>
      </c>
      <c r="V80" s="298" t="str">
        <f t="shared" ref="V80:V85" si="27">IF(S80=$AA$3,$I80,$K80)</f>
        <v>NC</v>
      </c>
      <c r="W80" s="301">
        <v>0</v>
      </c>
      <c r="X80" s="301" t="str">
        <f t="shared" si="22"/>
        <v>EB</v>
      </c>
      <c r="Y80" s="301" t="str">
        <f t="shared" si="23"/>
        <v>NC</v>
      </c>
      <c r="Z80" s="205"/>
      <c r="AA80" s="265" t="e">
        <f>重み_前!M80</f>
        <v>#DIV/0!</v>
      </c>
      <c r="AB80" s="265" t="e">
        <f>重み_後!N80</f>
        <v>#DIV/0!</v>
      </c>
      <c r="AC80" s="235" t="e">
        <f>重み_前!D80</f>
        <v>#DIV/0!</v>
      </c>
      <c r="AD80" s="235"/>
      <c r="AE80" s="235" t="e">
        <f>重み_後!D80</f>
        <v>#DIV/0!</v>
      </c>
      <c r="AF80" s="235"/>
      <c r="AG80" s="235"/>
      <c r="AH80" s="236" t="e">
        <f>重み_前!N80</f>
        <v>#DIV/0!</v>
      </c>
      <c r="AI80" s="236" t="e">
        <f>重み_後!O80</f>
        <v>#DIV/0!</v>
      </c>
      <c r="AJ80" s="235" t="e">
        <f>重み_前!E80</f>
        <v>#DIV/0!</v>
      </c>
      <c r="AK80" s="235"/>
      <c r="AL80" s="235" t="e">
        <f>重み_後!E80</f>
        <v>#DIV/0!</v>
      </c>
    </row>
    <row r="81" spans="2:38" ht="13.5">
      <c r="B81" s="331"/>
      <c r="C81" s="330"/>
      <c r="D81" s="297">
        <v>2</v>
      </c>
      <c r="E81" s="346" t="s">
        <v>702</v>
      </c>
      <c r="F81" s="280" t="s">
        <v>692</v>
      </c>
      <c r="G81" s="280" t="s">
        <v>692</v>
      </c>
      <c r="H81" s="280" t="s">
        <v>602</v>
      </c>
      <c r="I81" s="280" t="s">
        <v>620</v>
      </c>
      <c r="J81" s="280" t="s">
        <v>620</v>
      </c>
      <c r="K81" s="298" t="s">
        <v>602</v>
      </c>
      <c r="L81" s="313"/>
      <c r="M81" s="300" t="str">
        <f t="shared" si="24"/>
        <v>EB</v>
      </c>
      <c r="N81" s="313">
        <v>3</v>
      </c>
      <c r="O81" s="298" t="str">
        <f t="shared" si="25"/>
        <v>NC</v>
      </c>
      <c r="P81" s="313">
        <v>3</v>
      </c>
      <c r="Q81" s="313" t="str">
        <f t="shared" si="20"/>
        <v>EB</v>
      </c>
      <c r="R81" s="313" t="str">
        <f t="shared" si="21"/>
        <v>NC</v>
      </c>
      <c r="S81" s="313"/>
      <c r="T81" s="300" t="str">
        <f t="shared" si="26"/>
        <v>EB</v>
      </c>
      <c r="U81" s="313">
        <v>0</v>
      </c>
      <c r="V81" s="298" t="str">
        <f t="shared" si="27"/>
        <v>NC</v>
      </c>
      <c r="W81" s="313">
        <v>0</v>
      </c>
      <c r="X81" s="313" t="str">
        <f t="shared" si="22"/>
        <v>EB</v>
      </c>
      <c r="Y81" s="313" t="str">
        <f t="shared" si="23"/>
        <v>NC</v>
      </c>
      <c r="Z81" s="205"/>
      <c r="AA81" s="265" t="e">
        <f>重み_前!M81</f>
        <v>#DIV/0!</v>
      </c>
      <c r="AB81" s="265" t="e">
        <f>重み_後!N81</f>
        <v>#DIV/0!</v>
      </c>
      <c r="AC81" s="235" t="e">
        <f>重み_前!D81</f>
        <v>#DIV/0!</v>
      </c>
      <c r="AD81" s="235"/>
      <c r="AE81" s="235" t="e">
        <f>重み_後!D81</f>
        <v>#DIV/0!</v>
      </c>
      <c r="AF81" s="235"/>
      <c r="AG81" s="235"/>
      <c r="AH81" s="236" t="e">
        <f>重み_前!N81</f>
        <v>#DIV/0!</v>
      </c>
      <c r="AI81" s="236" t="e">
        <f>重み_後!O81</f>
        <v>#DIV/0!</v>
      </c>
      <c r="AJ81" s="235" t="e">
        <f>重み_前!E81</f>
        <v>#DIV/0!</v>
      </c>
      <c r="AK81" s="235"/>
      <c r="AL81" s="235" t="e">
        <f>重み_後!E81</f>
        <v>#DIV/0!</v>
      </c>
    </row>
    <row r="82" spans="2:38" ht="13.5">
      <c r="B82" s="331"/>
      <c r="C82" s="330"/>
      <c r="D82" s="297">
        <v>3</v>
      </c>
      <c r="E82" s="346" t="s">
        <v>703</v>
      </c>
      <c r="F82" s="280" t="s">
        <v>692</v>
      </c>
      <c r="G82" s="280" t="s">
        <v>692</v>
      </c>
      <c r="H82" s="280" t="s">
        <v>602</v>
      </c>
      <c r="I82" s="375" t="s">
        <v>824</v>
      </c>
      <c r="J82" s="375" t="s">
        <v>824</v>
      </c>
      <c r="K82" s="298" t="s">
        <v>602</v>
      </c>
      <c r="L82" s="313"/>
      <c r="M82" s="300" t="str">
        <f t="shared" si="24"/>
        <v>-</v>
      </c>
      <c r="N82" s="313">
        <v>0</v>
      </c>
      <c r="O82" s="298" t="str">
        <f t="shared" si="25"/>
        <v>NC</v>
      </c>
      <c r="P82" s="313">
        <v>3</v>
      </c>
      <c r="Q82" s="314" t="str">
        <f t="shared" si="20"/>
        <v>EB</v>
      </c>
      <c r="R82" s="312" t="str">
        <f t="shared" si="21"/>
        <v>NC</v>
      </c>
      <c r="S82" s="313"/>
      <c r="T82" s="300" t="str">
        <f t="shared" si="26"/>
        <v>-</v>
      </c>
      <c r="U82" s="313">
        <v>0</v>
      </c>
      <c r="V82" s="298" t="str">
        <f t="shared" si="27"/>
        <v>NC</v>
      </c>
      <c r="W82" s="313">
        <v>0</v>
      </c>
      <c r="X82" s="314" t="str">
        <f t="shared" si="22"/>
        <v>EB</v>
      </c>
      <c r="Y82" s="312" t="str">
        <f t="shared" si="23"/>
        <v>NC</v>
      </c>
      <c r="Z82" s="205"/>
      <c r="AA82" s="265" t="e">
        <f>重み_前!M82</f>
        <v>#DIV/0!</v>
      </c>
      <c r="AB82" s="265" t="e">
        <f>重み_後!N82</f>
        <v>#DIV/0!</v>
      </c>
      <c r="AC82" s="235" t="e">
        <f>重み_前!D82</f>
        <v>#DIV/0!</v>
      </c>
      <c r="AD82" s="235"/>
      <c r="AE82" s="235" t="e">
        <f>重み_後!D82</f>
        <v>#DIV/0!</v>
      </c>
      <c r="AF82" s="235"/>
      <c r="AG82" s="235"/>
      <c r="AH82" s="236" t="e">
        <f>重み_前!N82</f>
        <v>#DIV/0!</v>
      </c>
      <c r="AI82" s="236" t="e">
        <f>重み_後!O82</f>
        <v>#DIV/0!</v>
      </c>
      <c r="AJ82" s="235" t="e">
        <f>重み_前!E82</f>
        <v>#DIV/0!</v>
      </c>
      <c r="AK82" s="235"/>
      <c r="AL82" s="235" t="e">
        <f>重み_後!E82</f>
        <v>#DIV/0!</v>
      </c>
    </row>
    <row r="83" spans="2:38" ht="13.5">
      <c r="B83" s="331"/>
      <c r="C83" s="330"/>
      <c r="D83" s="297">
        <v>4</v>
      </c>
      <c r="E83" s="346" t="s">
        <v>704</v>
      </c>
      <c r="F83" s="280" t="s">
        <v>692</v>
      </c>
      <c r="G83" s="280" t="s">
        <v>692</v>
      </c>
      <c r="H83" s="280" t="s">
        <v>602</v>
      </c>
      <c r="I83" s="280" t="s">
        <v>620</v>
      </c>
      <c r="J83" s="280" t="s">
        <v>620</v>
      </c>
      <c r="K83" s="298" t="s">
        <v>602</v>
      </c>
      <c r="L83" s="313"/>
      <c r="M83" s="300" t="str">
        <f t="shared" si="24"/>
        <v>EB</v>
      </c>
      <c r="N83" s="313">
        <v>3</v>
      </c>
      <c r="O83" s="298" t="str">
        <f t="shared" si="25"/>
        <v>NC</v>
      </c>
      <c r="P83" s="313">
        <v>3</v>
      </c>
      <c r="Q83" s="314" t="str">
        <f t="shared" si="20"/>
        <v>EB</v>
      </c>
      <c r="R83" s="312" t="str">
        <f t="shared" si="21"/>
        <v>NC</v>
      </c>
      <c r="S83" s="313"/>
      <c r="T83" s="300" t="str">
        <f t="shared" si="26"/>
        <v>EB</v>
      </c>
      <c r="U83" s="313">
        <v>0</v>
      </c>
      <c r="V83" s="298" t="str">
        <f t="shared" si="27"/>
        <v>NC</v>
      </c>
      <c r="W83" s="313">
        <v>0</v>
      </c>
      <c r="X83" s="314" t="str">
        <f t="shared" si="22"/>
        <v>EB</v>
      </c>
      <c r="Y83" s="312" t="str">
        <f t="shared" si="23"/>
        <v>NC</v>
      </c>
      <c r="Z83" s="205"/>
      <c r="AA83" s="265" t="e">
        <f>重み_前!M83</f>
        <v>#DIV/0!</v>
      </c>
      <c r="AB83" s="265" t="e">
        <f>重み_後!N83</f>
        <v>#DIV/0!</v>
      </c>
      <c r="AC83" s="235" t="e">
        <f>重み_前!D83</f>
        <v>#DIV/0!</v>
      </c>
      <c r="AD83" s="235"/>
      <c r="AE83" s="235" t="e">
        <f>重み_後!D83</f>
        <v>#DIV/0!</v>
      </c>
      <c r="AF83" s="235"/>
      <c r="AG83" s="235"/>
      <c r="AH83" s="236" t="e">
        <f>重み_前!N83</f>
        <v>#DIV/0!</v>
      </c>
      <c r="AI83" s="236" t="e">
        <f>重み_後!O83</f>
        <v>#DIV/0!</v>
      </c>
      <c r="AJ83" s="235" t="e">
        <f>重み_前!E83</f>
        <v>#DIV/0!</v>
      </c>
      <c r="AK83" s="235"/>
      <c r="AL83" s="235" t="e">
        <f>重み_後!E83</f>
        <v>#DIV/0!</v>
      </c>
    </row>
    <row r="84" spans="2:38" ht="13.5">
      <c r="B84" s="331"/>
      <c r="C84" s="330"/>
      <c r="D84" s="297">
        <v>5</v>
      </c>
      <c r="E84" s="346" t="s">
        <v>705</v>
      </c>
      <c r="F84" s="280" t="s">
        <v>692</v>
      </c>
      <c r="G84" s="280" t="s">
        <v>692</v>
      </c>
      <c r="H84" s="280" t="s">
        <v>602</v>
      </c>
      <c r="I84" s="280" t="s">
        <v>620</v>
      </c>
      <c r="J84" s="280" t="s">
        <v>620</v>
      </c>
      <c r="K84" s="298" t="s">
        <v>602</v>
      </c>
      <c r="L84" s="313"/>
      <c r="M84" s="300" t="str">
        <f t="shared" si="24"/>
        <v>EB</v>
      </c>
      <c r="N84" s="313">
        <v>3</v>
      </c>
      <c r="O84" s="298" t="str">
        <f t="shared" si="25"/>
        <v>NC</v>
      </c>
      <c r="P84" s="313">
        <v>3</v>
      </c>
      <c r="Q84" s="314" t="str">
        <f t="shared" si="20"/>
        <v>EB</v>
      </c>
      <c r="R84" s="312" t="str">
        <f t="shared" si="21"/>
        <v>NC</v>
      </c>
      <c r="S84" s="313"/>
      <c r="T84" s="300" t="str">
        <f t="shared" si="26"/>
        <v>EB</v>
      </c>
      <c r="U84" s="313">
        <v>0</v>
      </c>
      <c r="V84" s="298" t="str">
        <f t="shared" si="27"/>
        <v>NC</v>
      </c>
      <c r="W84" s="313">
        <v>0</v>
      </c>
      <c r="X84" s="314" t="str">
        <f t="shared" si="22"/>
        <v>EB</v>
      </c>
      <c r="Y84" s="312" t="str">
        <f t="shared" si="23"/>
        <v>NC</v>
      </c>
      <c r="Z84" s="205"/>
      <c r="AA84" s="265" t="e">
        <f>重み_前!M84</f>
        <v>#DIV/0!</v>
      </c>
      <c r="AB84" s="265" t="e">
        <f>重み_後!N84</f>
        <v>#DIV/0!</v>
      </c>
      <c r="AC84" s="235" t="e">
        <f>重み_前!D84</f>
        <v>#DIV/0!</v>
      </c>
      <c r="AD84" s="235"/>
      <c r="AE84" s="235" t="e">
        <f>重み_後!D84</f>
        <v>#DIV/0!</v>
      </c>
      <c r="AF84" s="235"/>
      <c r="AG84" s="235"/>
      <c r="AH84" s="236" t="e">
        <f>重み_前!N84</f>
        <v>#DIV/0!</v>
      </c>
      <c r="AI84" s="236" t="e">
        <f>重み_後!O84</f>
        <v>#DIV/0!</v>
      </c>
      <c r="AJ84" s="235" t="e">
        <f>重み_前!E84</f>
        <v>#DIV/0!</v>
      </c>
      <c r="AK84" s="235"/>
      <c r="AL84" s="235" t="e">
        <f>重み_後!E84</f>
        <v>#DIV/0!</v>
      </c>
    </row>
    <row r="85" spans="2:38" ht="14.25" thickBot="1">
      <c r="B85" s="331"/>
      <c r="C85" s="339"/>
      <c r="D85" s="297">
        <v>6</v>
      </c>
      <c r="E85" s="346" t="s">
        <v>706</v>
      </c>
      <c r="F85" s="280" t="s">
        <v>692</v>
      </c>
      <c r="G85" s="280" t="s">
        <v>692</v>
      </c>
      <c r="H85" s="280" t="s">
        <v>602</v>
      </c>
      <c r="I85" s="280" t="s">
        <v>620</v>
      </c>
      <c r="J85" s="280" t="s">
        <v>620</v>
      </c>
      <c r="K85" s="298" t="s">
        <v>602</v>
      </c>
      <c r="L85" s="306"/>
      <c r="M85" s="300" t="str">
        <f t="shared" si="24"/>
        <v>EB</v>
      </c>
      <c r="N85" s="306">
        <v>3</v>
      </c>
      <c r="O85" s="298" t="str">
        <f t="shared" si="25"/>
        <v>NC</v>
      </c>
      <c r="P85" s="306">
        <v>3</v>
      </c>
      <c r="Q85" s="307" t="str">
        <f t="shared" si="20"/>
        <v>EB</v>
      </c>
      <c r="R85" s="305" t="str">
        <f t="shared" si="21"/>
        <v>NC</v>
      </c>
      <c r="S85" s="306"/>
      <c r="T85" s="300" t="str">
        <f t="shared" si="26"/>
        <v>EB</v>
      </c>
      <c r="U85" s="306">
        <v>0</v>
      </c>
      <c r="V85" s="298" t="str">
        <f t="shared" si="27"/>
        <v>NC</v>
      </c>
      <c r="W85" s="306">
        <v>0</v>
      </c>
      <c r="X85" s="307" t="str">
        <f t="shared" si="22"/>
        <v>EB</v>
      </c>
      <c r="Y85" s="305" t="str">
        <f t="shared" si="23"/>
        <v>NC</v>
      </c>
      <c r="Z85" s="205"/>
      <c r="AA85" s="265" t="e">
        <f>重み_前!M85</f>
        <v>#DIV/0!</v>
      </c>
      <c r="AB85" s="265" t="e">
        <f>重み_後!N85</f>
        <v>#DIV/0!</v>
      </c>
      <c r="AC85" s="235" t="e">
        <f>重み_前!D85</f>
        <v>#DIV/0!</v>
      </c>
      <c r="AD85" s="235"/>
      <c r="AE85" s="235" t="e">
        <f>重み_後!D85</f>
        <v>#DIV/0!</v>
      </c>
      <c r="AF85" s="235"/>
      <c r="AG85" s="235"/>
      <c r="AH85" s="236" t="e">
        <f>重み_前!N85</f>
        <v>#DIV/0!</v>
      </c>
      <c r="AI85" s="236" t="e">
        <f>重み_後!O85</f>
        <v>#DIV/0!</v>
      </c>
      <c r="AJ85" s="235" t="e">
        <f>重み_前!E85</f>
        <v>#DIV/0!</v>
      </c>
      <c r="AK85" s="235"/>
      <c r="AL85" s="235" t="e">
        <f>重み_後!E85</f>
        <v>#DIV/0!</v>
      </c>
    </row>
    <row r="86" spans="2:38" ht="14.25" thickBot="1">
      <c r="B86" s="331"/>
      <c r="C86" s="289">
        <v>2.2999999999999998</v>
      </c>
      <c r="D86" s="150" t="s">
        <v>707</v>
      </c>
      <c r="E86" s="150"/>
      <c r="F86" s="280" t="s">
        <v>692</v>
      </c>
      <c r="G86" s="280" t="s">
        <v>692</v>
      </c>
      <c r="H86" s="280" t="s">
        <v>642</v>
      </c>
      <c r="I86" s="327"/>
      <c r="J86" s="327"/>
      <c r="K86" s="328"/>
      <c r="L86" s="376" t="str">
        <f>IF(COUNTIF(L87:L89,$AA$3)&gt;=ROWS(L87:L89),$AA$3,"")</f>
        <v/>
      </c>
      <c r="M86" s="329"/>
      <c r="N86" s="377"/>
      <c r="O86" s="328"/>
      <c r="P86" s="377"/>
      <c r="Q86" s="378" t="str">
        <f t="shared" si="20"/>
        <v>EB</v>
      </c>
      <c r="R86" s="379" t="str">
        <f t="shared" si="21"/>
        <v>NC</v>
      </c>
      <c r="S86" s="376" t="str">
        <f>IF(COUNTIF(S87:S89,$AA$3)&gt;=ROWS(S87:S89),$AA$3,"")</f>
        <v/>
      </c>
      <c r="T86" s="329"/>
      <c r="U86" s="377"/>
      <c r="V86" s="328"/>
      <c r="W86" s="377"/>
      <c r="X86" s="310" t="str">
        <f t="shared" si="22"/>
        <v>EB</v>
      </c>
      <c r="Y86" s="311" t="str">
        <f t="shared" si="23"/>
        <v>NC</v>
      </c>
      <c r="Z86" s="205"/>
      <c r="AA86" s="265" t="e">
        <f>重み_前!M86</f>
        <v>#DIV/0!</v>
      </c>
      <c r="AB86" s="265" t="e">
        <f>重み_後!N86</f>
        <v>#DIV/0!</v>
      </c>
      <c r="AC86" s="235" t="e">
        <f>重み_前!D86</f>
        <v>#DIV/0!</v>
      </c>
      <c r="AD86" s="235"/>
      <c r="AE86" s="235" t="e">
        <f>重み_後!D86</f>
        <v>#DIV/0!</v>
      </c>
      <c r="AF86" s="235"/>
      <c r="AG86" s="235"/>
      <c r="AH86" s="236" t="e">
        <f>重み_前!N86</f>
        <v>#DIV/0!</v>
      </c>
      <c r="AI86" s="236" t="e">
        <f>重み_後!O86</f>
        <v>#DIV/0!</v>
      </c>
      <c r="AJ86" s="235" t="e">
        <f>重み_前!E86</f>
        <v>#DIV/0!</v>
      </c>
      <c r="AK86" s="235"/>
      <c r="AL86" s="235" t="e">
        <f>重み_後!E86</f>
        <v>#DIV/0!</v>
      </c>
    </row>
    <row r="87" spans="2:38" ht="13.5">
      <c r="B87" s="331"/>
      <c r="C87" s="380"/>
      <c r="D87" s="297">
        <v>1</v>
      </c>
      <c r="E87" s="346" t="s">
        <v>221</v>
      </c>
      <c r="F87" s="280" t="s">
        <v>692</v>
      </c>
      <c r="G87" s="280" t="s">
        <v>692</v>
      </c>
      <c r="H87" s="280" t="s">
        <v>642</v>
      </c>
      <c r="I87" s="280" t="s">
        <v>641</v>
      </c>
      <c r="J87" s="280" t="s">
        <v>641</v>
      </c>
      <c r="K87" s="374">
        <v>0</v>
      </c>
      <c r="L87" s="301"/>
      <c r="M87" s="300" t="str">
        <f>IF(L87=$AA$3,$I87,$J87)</f>
        <v>EB</v>
      </c>
      <c r="N87" s="301">
        <v>3</v>
      </c>
      <c r="O87" s="298">
        <f>IF(L87=$AA$3,$I87,$K87)</f>
        <v>0</v>
      </c>
      <c r="P87" s="301">
        <v>3</v>
      </c>
      <c r="Q87" s="302" t="str">
        <f t="shared" si="20"/>
        <v>EB</v>
      </c>
      <c r="R87" s="301" t="str">
        <f t="shared" si="21"/>
        <v>NC</v>
      </c>
      <c r="S87" s="301"/>
      <c r="T87" s="300" t="str">
        <f>IF(S87=$AA$3,$I87,$J87)</f>
        <v>EB</v>
      </c>
      <c r="U87" s="301">
        <v>0</v>
      </c>
      <c r="V87" s="298">
        <f>IF(S87=$AA$3,$I87,$K87)</f>
        <v>0</v>
      </c>
      <c r="W87" s="301">
        <v>0</v>
      </c>
      <c r="X87" s="302" t="str">
        <f t="shared" si="22"/>
        <v>EB</v>
      </c>
      <c r="Y87" s="301" t="str">
        <f t="shared" si="23"/>
        <v>NC</v>
      </c>
      <c r="Z87" s="205"/>
      <c r="AA87" s="265" t="e">
        <f>重み_前!M87</f>
        <v>#DIV/0!</v>
      </c>
      <c r="AB87" s="265" t="e">
        <f>重み_後!N87</f>
        <v>#DIV/0!</v>
      </c>
      <c r="AC87" s="235" t="e">
        <f>重み_前!D87</f>
        <v>#DIV/0!</v>
      </c>
      <c r="AD87" s="235"/>
      <c r="AE87" s="235" t="e">
        <f>重み_後!D87</f>
        <v>#DIV/0!</v>
      </c>
      <c r="AF87" s="235"/>
      <c r="AG87" s="235"/>
      <c r="AH87" s="236" t="e">
        <f>重み_前!N87</f>
        <v>#DIV/0!</v>
      </c>
      <c r="AI87" s="236" t="e">
        <f>重み_後!O87</f>
        <v>#DIV/0!</v>
      </c>
      <c r="AJ87" s="235" t="e">
        <f>重み_前!E87</f>
        <v>#DIV/0!</v>
      </c>
      <c r="AK87" s="235"/>
      <c r="AL87" s="235" t="e">
        <f>重み_後!E87</f>
        <v>#DIV/0!</v>
      </c>
    </row>
    <row r="88" spans="2:38" ht="13.5">
      <c r="B88" s="331"/>
      <c r="C88" s="380"/>
      <c r="D88" s="297">
        <v>2</v>
      </c>
      <c r="E88" s="317" t="s">
        <v>709</v>
      </c>
      <c r="F88" s="280" t="s">
        <v>692</v>
      </c>
      <c r="G88" s="280" t="s">
        <v>692</v>
      </c>
      <c r="H88" s="280" t="s">
        <v>642</v>
      </c>
      <c r="I88" s="280" t="s">
        <v>641</v>
      </c>
      <c r="J88" s="280" t="s">
        <v>641</v>
      </c>
      <c r="K88" s="374">
        <v>0</v>
      </c>
      <c r="L88" s="312"/>
      <c r="M88" s="300" t="str">
        <f>IF(L88=$AA$3,$I88,$J88)</f>
        <v>EB</v>
      </c>
      <c r="N88" s="313">
        <v>3</v>
      </c>
      <c r="O88" s="298">
        <f>IF(L88=$AA$3,$I88,$K88)</f>
        <v>0</v>
      </c>
      <c r="P88" s="313">
        <v>3</v>
      </c>
      <c r="Q88" s="314" t="str">
        <f t="shared" si="20"/>
        <v>EB</v>
      </c>
      <c r="R88" s="312" t="str">
        <f t="shared" si="21"/>
        <v>NC</v>
      </c>
      <c r="S88" s="312"/>
      <c r="T88" s="300" t="str">
        <f>IF(S88=$AA$3,$I88,$J88)</f>
        <v>EB</v>
      </c>
      <c r="U88" s="313">
        <v>0</v>
      </c>
      <c r="V88" s="298">
        <f>IF(S88=$AA$3,$I88,$K88)</f>
        <v>0</v>
      </c>
      <c r="W88" s="313">
        <v>0</v>
      </c>
      <c r="X88" s="314" t="str">
        <f t="shared" si="22"/>
        <v>EB</v>
      </c>
      <c r="Y88" s="312" t="str">
        <f t="shared" si="23"/>
        <v>NC</v>
      </c>
      <c r="Z88" s="205"/>
      <c r="AA88" s="265" t="e">
        <f>重み_前!M88</f>
        <v>#DIV/0!</v>
      </c>
      <c r="AB88" s="265" t="e">
        <f>重み_後!N88</f>
        <v>#DIV/0!</v>
      </c>
      <c r="AC88" s="235" t="e">
        <f>重み_前!D88</f>
        <v>#DIV/0!</v>
      </c>
      <c r="AD88" s="235"/>
      <c r="AE88" s="235" t="e">
        <f>重み_後!D88</f>
        <v>#DIV/0!</v>
      </c>
      <c r="AF88" s="235"/>
      <c r="AG88" s="235"/>
      <c r="AH88" s="236" t="e">
        <f>重み_前!N88</f>
        <v>#DIV/0!</v>
      </c>
      <c r="AI88" s="236" t="e">
        <f>重み_後!O88</f>
        <v>#DIV/0!</v>
      </c>
      <c r="AJ88" s="235" t="e">
        <f>重み_前!E88</f>
        <v>#DIV/0!</v>
      </c>
      <c r="AK88" s="235"/>
      <c r="AL88" s="235" t="e">
        <f>重み_後!E88</f>
        <v>#DIV/0!</v>
      </c>
    </row>
    <row r="89" spans="2:38" ht="14.25" thickBot="1">
      <c r="B89" s="331"/>
      <c r="C89" s="78"/>
      <c r="D89" s="297">
        <v>3</v>
      </c>
      <c r="E89" s="317" t="s">
        <v>710</v>
      </c>
      <c r="F89" s="280" t="s">
        <v>692</v>
      </c>
      <c r="G89" s="280" t="s">
        <v>692</v>
      </c>
      <c r="H89" s="280" t="s">
        <v>642</v>
      </c>
      <c r="I89" s="280" t="s">
        <v>641</v>
      </c>
      <c r="J89" s="280" t="s">
        <v>641</v>
      </c>
      <c r="K89" s="374">
        <v>0</v>
      </c>
      <c r="L89" s="305"/>
      <c r="M89" s="300" t="str">
        <f>IF(L89=$AA$3,$I89,$J89)</f>
        <v>EB</v>
      </c>
      <c r="N89" s="306">
        <v>3</v>
      </c>
      <c r="O89" s="298">
        <f>IF(L89=$AA$3,$I89,$K89)</f>
        <v>0</v>
      </c>
      <c r="P89" s="306">
        <v>3</v>
      </c>
      <c r="Q89" s="307" t="str">
        <f t="shared" si="20"/>
        <v>EB</v>
      </c>
      <c r="R89" s="305" t="str">
        <f t="shared" si="21"/>
        <v>NC</v>
      </c>
      <c r="S89" s="305"/>
      <c r="T89" s="300" t="str">
        <f>IF(S89=$AA$3,$I89,$J89)</f>
        <v>EB</v>
      </c>
      <c r="U89" s="306">
        <v>0</v>
      </c>
      <c r="V89" s="298">
        <f>IF(S89=$AA$3,$I89,$K89)</f>
        <v>0</v>
      </c>
      <c r="W89" s="306">
        <v>0</v>
      </c>
      <c r="X89" s="307" t="str">
        <f t="shared" si="22"/>
        <v>EB</v>
      </c>
      <c r="Y89" s="305" t="str">
        <f t="shared" si="23"/>
        <v>NC</v>
      </c>
      <c r="Z89" s="205"/>
      <c r="AA89" s="265" t="e">
        <f>重み_前!M89</f>
        <v>#DIV/0!</v>
      </c>
      <c r="AB89" s="265" t="e">
        <f>重み_後!N89</f>
        <v>#DIV/0!</v>
      </c>
      <c r="AC89" s="235" t="e">
        <f>重み_前!D89</f>
        <v>#DIV/0!</v>
      </c>
      <c r="AD89" s="235"/>
      <c r="AE89" s="235" t="e">
        <f>重み_後!D89</f>
        <v>#DIV/0!</v>
      </c>
      <c r="AF89" s="235"/>
      <c r="AG89" s="235"/>
      <c r="AH89" s="236" t="e">
        <f>重み_前!N89</f>
        <v>#DIV/0!</v>
      </c>
      <c r="AI89" s="236" t="e">
        <f>重み_後!O89</f>
        <v>#DIV/0!</v>
      </c>
      <c r="AJ89" s="235" t="e">
        <f>重み_前!E89</f>
        <v>#DIV/0!</v>
      </c>
      <c r="AK89" s="235"/>
      <c r="AL89" s="235" t="e">
        <f>重み_後!E89</f>
        <v>#DIV/0!</v>
      </c>
    </row>
    <row r="90" spans="2:38" ht="14.25" thickBot="1">
      <c r="B90" s="331"/>
      <c r="C90" s="289">
        <v>2.4</v>
      </c>
      <c r="D90" s="326" t="s">
        <v>711</v>
      </c>
      <c r="E90" s="370"/>
      <c r="F90" s="280" t="s">
        <v>692</v>
      </c>
      <c r="G90" s="280" t="s">
        <v>692</v>
      </c>
      <c r="H90" s="280" t="s">
        <v>642</v>
      </c>
      <c r="I90" s="327"/>
      <c r="J90" s="327"/>
      <c r="K90" s="328"/>
      <c r="L90" s="292" t="str">
        <f>IF(COUNTIF(L91:L95,$AA$3)&gt;=ROWS(L91:L95),$AA$3,"")</f>
        <v/>
      </c>
      <c r="M90" s="329"/>
      <c r="N90" s="309"/>
      <c r="O90" s="328"/>
      <c r="P90" s="309"/>
      <c r="Q90" s="334" t="str">
        <f t="shared" si="20"/>
        <v>EB</v>
      </c>
      <c r="R90" s="335" t="str">
        <f t="shared" si="21"/>
        <v>NC</v>
      </c>
      <c r="S90" s="292" t="str">
        <f>IF(COUNTIF(S91:S95,$AA$3)&gt;=ROWS(S91:S95),$AA$3,"")</f>
        <v/>
      </c>
      <c r="T90" s="329"/>
      <c r="U90" s="309"/>
      <c r="V90" s="328"/>
      <c r="W90" s="309"/>
      <c r="X90" s="334" t="str">
        <f t="shared" si="22"/>
        <v>EB</v>
      </c>
      <c r="Y90" s="335" t="str">
        <f t="shared" si="23"/>
        <v>NC</v>
      </c>
      <c r="Z90" s="205"/>
      <c r="AA90" s="265" t="e">
        <f>重み_前!M90</f>
        <v>#DIV/0!</v>
      </c>
      <c r="AB90" s="265" t="e">
        <f>重み_後!N90</f>
        <v>#DIV/0!</v>
      </c>
      <c r="AC90" s="235" t="e">
        <f>重み_前!D90</f>
        <v>#DIV/0!</v>
      </c>
      <c r="AD90" s="235"/>
      <c r="AE90" s="235" t="e">
        <f>重み_後!D90</f>
        <v>#DIV/0!</v>
      </c>
      <c r="AF90" s="235"/>
      <c r="AG90" s="235"/>
      <c r="AH90" s="236" t="e">
        <f>重み_前!N90</f>
        <v>#DIV/0!</v>
      </c>
      <c r="AI90" s="236" t="e">
        <f>重み_後!O90</f>
        <v>#DIV/0!</v>
      </c>
      <c r="AJ90" s="235" t="e">
        <f>重み_前!E90</f>
        <v>#DIV/0!</v>
      </c>
      <c r="AK90" s="235"/>
      <c r="AL90" s="235" t="e">
        <f>重み_後!E90</f>
        <v>#DIV/0!</v>
      </c>
    </row>
    <row r="91" spans="2:38" ht="13.5">
      <c r="B91" s="288"/>
      <c r="C91" s="330"/>
      <c r="D91" s="297">
        <v>1</v>
      </c>
      <c r="E91" s="317" t="s">
        <v>712</v>
      </c>
      <c r="F91" s="280" t="s">
        <v>692</v>
      </c>
      <c r="G91" s="280" t="s">
        <v>692</v>
      </c>
      <c r="H91" s="280" t="s">
        <v>602</v>
      </c>
      <c r="I91" s="280" t="s">
        <v>601</v>
      </c>
      <c r="J91" s="280" t="s">
        <v>601</v>
      </c>
      <c r="K91" s="298" t="s">
        <v>602</v>
      </c>
      <c r="L91" s="299"/>
      <c r="M91" s="300" t="str">
        <f t="shared" ref="M91:M96" si="28">IF(L91=$AA$3,$I91,$J91)</f>
        <v>EB</v>
      </c>
      <c r="N91" s="301">
        <v>3</v>
      </c>
      <c r="O91" s="298" t="str">
        <f t="shared" ref="O91:O96" si="29">IF(L91=$AA$3,$I91,$K91)</f>
        <v>NC</v>
      </c>
      <c r="P91" s="301">
        <v>3</v>
      </c>
      <c r="Q91" s="302" t="str">
        <f t="shared" si="20"/>
        <v>EB</v>
      </c>
      <c r="R91" s="299" t="str">
        <f t="shared" si="21"/>
        <v>NC</v>
      </c>
      <c r="S91" s="299"/>
      <c r="T91" s="300" t="str">
        <f t="shared" ref="T91:T96" si="30">IF(S91=$AA$3,$I91,$J91)</f>
        <v>EB</v>
      </c>
      <c r="U91" s="301">
        <v>0</v>
      </c>
      <c r="V91" s="298" t="str">
        <f t="shared" ref="V91:V96" si="31">IF(S91=$AA$3,$I91,$K91)</f>
        <v>NC</v>
      </c>
      <c r="W91" s="301">
        <v>0</v>
      </c>
      <c r="X91" s="302" t="str">
        <f t="shared" si="22"/>
        <v>EB</v>
      </c>
      <c r="Y91" s="299" t="str">
        <f t="shared" si="23"/>
        <v>NC</v>
      </c>
      <c r="Z91" s="205"/>
      <c r="AA91" s="265" t="e">
        <f>重み_前!M91</f>
        <v>#DIV/0!</v>
      </c>
      <c r="AB91" s="265" t="e">
        <f>重み_後!N91</f>
        <v>#DIV/0!</v>
      </c>
      <c r="AC91" s="235" t="e">
        <f>重み_前!D91</f>
        <v>#DIV/0!</v>
      </c>
      <c r="AD91" s="235"/>
      <c r="AE91" s="235" t="e">
        <f>重み_後!D91</f>
        <v>#DIV/0!</v>
      </c>
      <c r="AF91" s="235"/>
      <c r="AG91" s="235"/>
      <c r="AH91" s="236" t="e">
        <f>重み_前!N91</f>
        <v>#DIV/0!</v>
      </c>
      <c r="AI91" s="236" t="e">
        <f>重み_後!O91</f>
        <v>#DIV/0!</v>
      </c>
      <c r="AJ91" s="235" t="e">
        <f>重み_前!E91</f>
        <v>#DIV/0!</v>
      </c>
      <c r="AK91" s="235"/>
      <c r="AL91" s="235" t="e">
        <f>重み_後!E91</f>
        <v>#DIV/0!</v>
      </c>
    </row>
    <row r="92" spans="2:38" ht="13.5">
      <c r="B92" s="288"/>
      <c r="C92" s="330"/>
      <c r="D92" s="297">
        <v>2</v>
      </c>
      <c r="E92" s="317" t="s">
        <v>713</v>
      </c>
      <c r="F92" s="280" t="s">
        <v>692</v>
      </c>
      <c r="G92" s="280" t="s">
        <v>692</v>
      </c>
      <c r="H92" s="280" t="s">
        <v>602</v>
      </c>
      <c r="I92" s="280" t="s">
        <v>637</v>
      </c>
      <c r="J92" s="280" t="s">
        <v>637</v>
      </c>
      <c r="K92" s="298" t="s">
        <v>602</v>
      </c>
      <c r="L92" s="312"/>
      <c r="M92" s="300" t="str">
        <f t="shared" si="28"/>
        <v>EB</v>
      </c>
      <c r="N92" s="313">
        <v>3</v>
      </c>
      <c r="O92" s="298" t="str">
        <f t="shared" si="29"/>
        <v>NC</v>
      </c>
      <c r="P92" s="313">
        <v>3</v>
      </c>
      <c r="Q92" s="314" t="str">
        <f t="shared" si="20"/>
        <v>EB</v>
      </c>
      <c r="R92" s="312" t="str">
        <f t="shared" si="21"/>
        <v>NC</v>
      </c>
      <c r="S92" s="312"/>
      <c r="T92" s="300" t="str">
        <f t="shared" si="30"/>
        <v>EB</v>
      </c>
      <c r="U92" s="313">
        <v>0</v>
      </c>
      <c r="V92" s="298" t="str">
        <f t="shared" si="31"/>
        <v>NC</v>
      </c>
      <c r="W92" s="313">
        <v>0</v>
      </c>
      <c r="X92" s="314" t="str">
        <f t="shared" si="22"/>
        <v>EB</v>
      </c>
      <c r="Y92" s="312" t="str">
        <f t="shared" si="23"/>
        <v>NC</v>
      </c>
      <c r="Z92" s="205"/>
      <c r="AA92" s="265" t="e">
        <f>重み_前!M92</f>
        <v>#DIV/0!</v>
      </c>
      <c r="AB92" s="265" t="e">
        <f>重み_後!N92</f>
        <v>#DIV/0!</v>
      </c>
      <c r="AC92" s="235" t="e">
        <f>重み_前!D92</f>
        <v>#DIV/0!</v>
      </c>
      <c r="AD92" s="235"/>
      <c r="AE92" s="235" t="e">
        <f>重み_後!D92</f>
        <v>#DIV/0!</v>
      </c>
      <c r="AF92" s="235"/>
      <c r="AG92" s="235"/>
      <c r="AH92" s="236" t="e">
        <f>重み_前!N92</f>
        <v>#DIV/0!</v>
      </c>
      <c r="AI92" s="236" t="e">
        <f>重み_後!O92</f>
        <v>#DIV/0!</v>
      </c>
      <c r="AJ92" s="235" t="e">
        <f>重み_前!E92</f>
        <v>#DIV/0!</v>
      </c>
      <c r="AK92" s="235"/>
      <c r="AL92" s="235" t="e">
        <f>重み_後!E92</f>
        <v>#DIV/0!</v>
      </c>
    </row>
    <row r="93" spans="2:38" ht="13.5">
      <c r="B93" s="288"/>
      <c r="C93" s="330"/>
      <c r="D93" s="297">
        <v>3</v>
      </c>
      <c r="E93" s="317" t="s">
        <v>714</v>
      </c>
      <c r="F93" s="280" t="s">
        <v>692</v>
      </c>
      <c r="G93" s="280" t="s">
        <v>692</v>
      </c>
      <c r="H93" s="280" t="s">
        <v>602</v>
      </c>
      <c r="I93" s="280" t="s">
        <v>599</v>
      </c>
      <c r="J93" s="280" t="s">
        <v>599</v>
      </c>
      <c r="K93" s="298" t="s">
        <v>602</v>
      </c>
      <c r="L93" s="312"/>
      <c r="M93" s="300" t="str">
        <f t="shared" si="28"/>
        <v>EB</v>
      </c>
      <c r="N93" s="313">
        <v>3</v>
      </c>
      <c r="O93" s="298" t="str">
        <f t="shared" si="29"/>
        <v>NC</v>
      </c>
      <c r="P93" s="313">
        <v>3</v>
      </c>
      <c r="Q93" s="314" t="str">
        <f t="shared" si="20"/>
        <v>EB</v>
      </c>
      <c r="R93" s="312" t="str">
        <f t="shared" si="21"/>
        <v>NC</v>
      </c>
      <c r="S93" s="312"/>
      <c r="T93" s="300" t="str">
        <f t="shared" si="30"/>
        <v>EB</v>
      </c>
      <c r="U93" s="313">
        <v>0</v>
      </c>
      <c r="V93" s="298" t="str">
        <f t="shared" si="31"/>
        <v>NC</v>
      </c>
      <c r="W93" s="313">
        <v>0</v>
      </c>
      <c r="X93" s="314" t="str">
        <f t="shared" si="22"/>
        <v>EB</v>
      </c>
      <c r="Y93" s="312" t="str">
        <f t="shared" si="23"/>
        <v>NC</v>
      </c>
      <c r="Z93" s="205"/>
      <c r="AA93" s="265" t="e">
        <f>重み_前!M93</f>
        <v>#DIV/0!</v>
      </c>
      <c r="AB93" s="265" t="e">
        <f>重み_後!N93</f>
        <v>#DIV/0!</v>
      </c>
      <c r="AC93" s="235" t="e">
        <f>重み_前!D93</f>
        <v>#DIV/0!</v>
      </c>
      <c r="AD93" s="235"/>
      <c r="AE93" s="235" t="e">
        <f>重み_後!D93</f>
        <v>#DIV/0!</v>
      </c>
      <c r="AF93" s="235"/>
      <c r="AG93" s="235"/>
      <c r="AH93" s="236" t="e">
        <f>重み_前!N93</f>
        <v>#DIV/0!</v>
      </c>
      <c r="AI93" s="236" t="e">
        <f>重み_後!O93</f>
        <v>#DIV/0!</v>
      </c>
      <c r="AJ93" s="235" t="e">
        <f>重み_前!E93</f>
        <v>#DIV/0!</v>
      </c>
      <c r="AK93" s="235"/>
      <c r="AL93" s="235" t="e">
        <f>重み_後!E93</f>
        <v>#DIV/0!</v>
      </c>
    </row>
    <row r="94" spans="2:38" ht="13.5">
      <c r="B94" s="288"/>
      <c r="C94" s="330"/>
      <c r="D94" s="297">
        <v>4</v>
      </c>
      <c r="E94" s="317" t="s">
        <v>715</v>
      </c>
      <c r="F94" s="280" t="s">
        <v>601</v>
      </c>
      <c r="G94" s="280" t="s">
        <v>601</v>
      </c>
      <c r="H94" s="280" t="s">
        <v>602</v>
      </c>
      <c r="I94" s="280" t="s">
        <v>601</v>
      </c>
      <c r="J94" s="280" t="s">
        <v>601</v>
      </c>
      <c r="K94" s="298" t="s">
        <v>602</v>
      </c>
      <c r="L94" s="312"/>
      <c r="M94" s="300" t="str">
        <f t="shared" si="28"/>
        <v>EB</v>
      </c>
      <c r="N94" s="313">
        <v>3</v>
      </c>
      <c r="O94" s="298" t="str">
        <f t="shared" si="29"/>
        <v>NC</v>
      </c>
      <c r="P94" s="313">
        <v>3</v>
      </c>
      <c r="Q94" s="314" t="str">
        <f t="shared" si="20"/>
        <v>EB</v>
      </c>
      <c r="R94" s="312" t="str">
        <f t="shared" si="21"/>
        <v>NC</v>
      </c>
      <c r="S94" s="312"/>
      <c r="T94" s="300" t="str">
        <f t="shared" si="30"/>
        <v>EB</v>
      </c>
      <c r="U94" s="313">
        <v>0</v>
      </c>
      <c r="V94" s="298" t="str">
        <f t="shared" si="31"/>
        <v>NC</v>
      </c>
      <c r="W94" s="313">
        <v>0</v>
      </c>
      <c r="X94" s="314" t="str">
        <f t="shared" si="22"/>
        <v>EB</v>
      </c>
      <c r="Y94" s="312" t="str">
        <f t="shared" si="23"/>
        <v>NC</v>
      </c>
      <c r="Z94" s="205"/>
      <c r="AA94" s="265" t="e">
        <f>重み_前!M94</f>
        <v>#DIV/0!</v>
      </c>
      <c r="AB94" s="265" t="e">
        <f>重み_後!N94</f>
        <v>#DIV/0!</v>
      </c>
      <c r="AC94" s="235" t="e">
        <f>重み_前!D94</f>
        <v>#DIV/0!</v>
      </c>
      <c r="AD94" s="235"/>
      <c r="AE94" s="235" t="e">
        <f>重み_後!D94</f>
        <v>#DIV/0!</v>
      </c>
      <c r="AF94" s="235"/>
      <c r="AG94" s="235"/>
      <c r="AH94" s="236" t="e">
        <f>重み_前!N94</f>
        <v>#DIV/0!</v>
      </c>
      <c r="AI94" s="236" t="e">
        <f>重み_後!O94</f>
        <v>#DIV/0!</v>
      </c>
      <c r="AJ94" s="235" t="e">
        <f>重み_前!E94</f>
        <v>#DIV/0!</v>
      </c>
      <c r="AK94" s="235"/>
      <c r="AL94" s="235" t="e">
        <f>重み_後!E94</f>
        <v>#DIV/0!</v>
      </c>
    </row>
    <row r="95" spans="2:38" ht="14.25" thickBot="1">
      <c r="B95" s="381"/>
      <c r="C95" s="339"/>
      <c r="D95" s="297">
        <v>5</v>
      </c>
      <c r="E95" s="317" t="s">
        <v>716</v>
      </c>
      <c r="F95" s="280" t="s">
        <v>616</v>
      </c>
      <c r="G95" s="280" t="s">
        <v>616</v>
      </c>
      <c r="H95" s="280" t="s">
        <v>602</v>
      </c>
      <c r="I95" s="280" t="s">
        <v>616</v>
      </c>
      <c r="J95" s="280" t="s">
        <v>616</v>
      </c>
      <c r="K95" s="298" t="s">
        <v>602</v>
      </c>
      <c r="L95" s="305"/>
      <c r="M95" s="300" t="str">
        <f t="shared" si="28"/>
        <v>EB</v>
      </c>
      <c r="N95" s="306">
        <v>3</v>
      </c>
      <c r="O95" s="298" t="str">
        <f t="shared" si="29"/>
        <v>NC</v>
      </c>
      <c r="P95" s="306">
        <v>3</v>
      </c>
      <c r="Q95" s="307" t="str">
        <f t="shared" si="20"/>
        <v>EB</v>
      </c>
      <c r="R95" s="305" t="str">
        <f t="shared" si="21"/>
        <v>NC</v>
      </c>
      <c r="S95" s="305"/>
      <c r="T95" s="300" t="str">
        <f t="shared" si="30"/>
        <v>EB</v>
      </c>
      <c r="U95" s="306">
        <v>0</v>
      </c>
      <c r="V95" s="298" t="str">
        <f t="shared" si="31"/>
        <v>NC</v>
      </c>
      <c r="W95" s="306">
        <v>0</v>
      </c>
      <c r="X95" s="307" t="str">
        <f t="shared" si="22"/>
        <v>EB</v>
      </c>
      <c r="Y95" s="305" t="str">
        <f t="shared" si="23"/>
        <v>NC</v>
      </c>
      <c r="Z95" s="205"/>
      <c r="AA95" s="265" t="e">
        <f>重み_前!M95</f>
        <v>#DIV/0!</v>
      </c>
      <c r="AB95" s="265" t="e">
        <f>重み_後!N95</f>
        <v>#DIV/0!</v>
      </c>
      <c r="AC95" s="235" t="e">
        <f>重み_前!D95</f>
        <v>#DIV/0!</v>
      </c>
      <c r="AD95" s="235"/>
      <c r="AE95" s="235" t="e">
        <f>重み_後!D95</f>
        <v>#DIV/0!</v>
      </c>
      <c r="AF95" s="235"/>
      <c r="AG95" s="235"/>
      <c r="AH95" s="236" t="e">
        <f>重み_前!N95</f>
        <v>#DIV/0!</v>
      </c>
      <c r="AI95" s="236" t="e">
        <f>重み_後!O95</f>
        <v>#DIV/0!</v>
      </c>
      <c r="AJ95" s="235" t="e">
        <f>重み_前!E95</f>
        <v>#DIV/0!</v>
      </c>
      <c r="AK95" s="235"/>
      <c r="AL95" s="235" t="e">
        <f>重み_後!E95</f>
        <v>#DIV/0!</v>
      </c>
    </row>
    <row r="96" spans="2:38" ht="13.5" hidden="1">
      <c r="B96" s="1797"/>
      <c r="C96" s="1798"/>
      <c r="D96" s="1799"/>
      <c r="E96" s="1800"/>
      <c r="F96" s="1801"/>
      <c r="G96" s="1801"/>
      <c r="H96" s="1801"/>
      <c r="I96" s="1801"/>
      <c r="J96" s="1801"/>
      <c r="K96" s="1802"/>
      <c r="L96" s="383"/>
      <c r="M96" s="384">
        <f t="shared" si="28"/>
        <v>0</v>
      </c>
      <c r="N96" s="385"/>
      <c r="O96" s="382">
        <f t="shared" si="29"/>
        <v>0</v>
      </c>
      <c r="P96" s="386"/>
      <c r="Q96" s="387">
        <f t="shared" si="20"/>
        <v>0</v>
      </c>
      <c r="R96" s="383">
        <f t="shared" si="21"/>
        <v>0</v>
      </c>
      <c r="S96" s="383"/>
      <c r="T96" s="384">
        <f t="shared" si="30"/>
        <v>0</v>
      </c>
      <c r="U96" s="385"/>
      <c r="V96" s="382">
        <f t="shared" si="31"/>
        <v>0</v>
      </c>
      <c r="W96" s="386"/>
      <c r="X96" s="387">
        <f t="shared" si="22"/>
        <v>0</v>
      </c>
      <c r="Y96" s="383">
        <f t="shared" si="23"/>
        <v>0</v>
      </c>
      <c r="Z96" s="205"/>
      <c r="AA96" s="265" t="e">
        <f>重み_前!M96</f>
        <v>#DIV/0!</v>
      </c>
      <c r="AB96" s="265">
        <f>重み_後!N96</f>
        <v>0</v>
      </c>
      <c r="AC96" s="235">
        <f>重み_前!D96</f>
        <v>0</v>
      </c>
      <c r="AD96" s="235"/>
      <c r="AE96" s="235">
        <f>重み_後!D96</f>
        <v>0</v>
      </c>
      <c r="AF96" s="235"/>
      <c r="AG96" s="235"/>
      <c r="AH96" s="236">
        <f>重み_前!N96</f>
        <v>0</v>
      </c>
      <c r="AI96" s="236">
        <f>重み_後!O96</f>
        <v>0</v>
      </c>
      <c r="AJ96" s="235">
        <f>重み_前!E96</f>
        <v>0</v>
      </c>
      <c r="AK96" s="235"/>
      <c r="AL96" s="235">
        <f>重み_後!E96</f>
        <v>0</v>
      </c>
    </row>
    <row r="97" spans="1:38" ht="13.5">
      <c r="B97" s="388">
        <v>3</v>
      </c>
      <c r="C97" s="389" t="s">
        <v>717</v>
      </c>
      <c r="D97" s="389"/>
      <c r="E97" s="389"/>
      <c r="F97" s="280" t="s">
        <v>718</v>
      </c>
      <c r="G97" s="280" t="s">
        <v>718</v>
      </c>
      <c r="H97" s="280" t="s">
        <v>719</v>
      </c>
      <c r="I97" s="327"/>
      <c r="J97" s="327"/>
      <c r="K97" s="328"/>
      <c r="L97" s="338" t="str">
        <f>IF(COUNTIF(L98:L108,$AA$3)&gt;=ROWS(L98:L108),$AA$3,"")</f>
        <v/>
      </c>
      <c r="M97" s="329"/>
      <c r="N97" s="390"/>
      <c r="O97" s="328"/>
      <c r="P97" s="390"/>
      <c r="Q97" s="310" t="str">
        <f t="shared" si="20"/>
        <v>EB</v>
      </c>
      <c r="R97" s="311" t="str">
        <f t="shared" si="21"/>
        <v>NC</v>
      </c>
      <c r="S97" s="338" t="str">
        <f>IF(COUNTIF(S98:S108,$AA$3)&gt;=ROWS(S98:S108),$AA$3,"")</f>
        <v/>
      </c>
      <c r="T97" s="329"/>
      <c r="U97" s="390"/>
      <c r="V97" s="328"/>
      <c r="W97" s="390"/>
      <c r="X97" s="310" t="str">
        <f t="shared" si="22"/>
        <v>EB</v>
      </c>
      <c r="Y97" s="311" t="str">
        <f t="shared" si="23"/>
        <v>NC</v>
      </c>
      <c r="Z97" s="205"/>
      <c r="AA97" s="265" t="e">
        <f>重み_前!M97</f>
        <v>#DIV/0!</v>
      </c>
      <c r="AB97" s="265" t="e">
        <f>重み_後!N97</f>
        <v>#DIV/0!</v>
      </c>
      <c r="AC97" s="235" t="e">
        <f>重み_前!D97</f>
        <v>#DIV/0!</v>
      </c>
      <c r="AD97" s="235"/>
      <c r="AE97" s="235" t="e">
        <f>重み_後!D97</f>
        <v>#DIV/0!</v>
      </c>
      <c r="AF97" s="235"/>
      <c r="AG97" s="235"/>
      <c r="AH97" s="236">
        <f>重み_前!N97</f>
        <v>1</v>
      </c>
      <c r="AI97" s="236" t="e">
        <f>重み_後!O97</f>
        <v>#DIV/0!</v>
      </c>
      <c r="AJ97" s="235" t="e">
        <f>重み_前!E97</f>
        <v>#DIV/0!</v>
      </c>
      <c r="AK97" s="235"/>
      <c r="AL97" s="235" t="e">
        <f>重み_後!E97</f>
        <v>#DIV/0!</v>
      </c>
    </row>
    <row r="98" spans="1:38" ht="14.25" thickBot="1">
      <c r="B98" s="331"/>
      <c r="C98" s="289">
        <v>3.1</v>
      </c>
      <c r="D98" s="326" t="s">
        <v>720</v>
      </c>
      <c r="E98" s="290"/>
      <c r="F98" s="280" t="s">
        <v>718</v>
      </c>
      <c r="G98" s="280" t="s">
        <v>718</v>
      </c>
      <c r="H98" s="280" t="s">
        <v>719</v>
      </c>
      <c r="I98" s="327"/>
      <c r="J98" s="327"/>
      <c r="K98" s="328"/>
      <c r="L98" s="292" t="str">
        <f>IF(COUNTIF(L99:L100,$AA$3)&gt;=ROWS(L99:L100),$AA$3,"")</f>
        <v/>
      </c>
      <c r="M98" s="329"/>
      <c r="N98" s="293"/>
      <c r="O98" s="328"/>
      <c r="P98" s="293"/>
      <c r="Q98" s="294" t="str">
        <f t="shared" si="20"/>
        <v>EB</v>
      </c>
      <c r="R98" s="295" t="str">
        <f t="shared" si="21"/>
        <v>NC</v>
      </c>
      <c r="S98" s="292" t="str">
        <f>IF(COUNTIF(S99:S100,$AA$3)&gt;=ROWS(S99:S100),$AA$3,"")</f>
        <v/>
      </c>
      <c r="T98" s="329"/>
      <c r="U98" s="293"/>
      <c r="V98" s="328"/>
      <c r="W98" s="293"/>
      <c r="X98" s="294" t="str">
        <f t="shared" si="22"/>
        <v>EB</v>
      </c>
      <c r="Y98" s="295" t="str">
        <f t="shared" si="23"/>
        <v>NC</v>
      </c>
      <c r="Z98" s="205"/>
      <c r="AA98" s="265" t="e">
        <f>重み_前!M98</f>
        <v>#DIV/0!</v>
      </c>
      <c r="AB98" s="265" t="e">
        <f>重み_後!N98</f>
        <v>#DIV/0!</v>
      </c>
      <c r="AC98" s="235" t="e">
        <f>重み_前!D98</f>
        <v>#DIV/0!</v>
      </c>
      <c r="AD98" s="235"/>
      <c r="AE98" s="235" t="e">
        <f>重み_後!D98</f>
        <v>#DIV/0!</v>
      </c>
      <c r="AF98" s="235"/>
      <c r="AG98" s="235"/>
      <c r="AH98" s="236" t="e">
        <f>重み_前!N98</f>
        <v>#DIV/0!</v>
      </c>
      <c r="AI98" s="236" t="e">
        <f>重み_後!O98</f>
        <v>#DIV/0!</v>
      </c>
      <c r="AJ98" s="235" t="e">
        <f>重み_前!E98</f>
        <v>#DIV/0!</v>
      </c>
      <c r="AK98" s="235"/>
      <c r="AL98" s="235" t="e">
        <f>重み_後!E98</f>
        <v>#DIV/0!</v>
      </c>
    </row>
    <row r="99" spans="1:38" ht="13.5">
      <c r="B99" s="331"/>
      <c r="C99" s="330"/>
      <c r="D99" s="297">
        <v>1</v>
      </c>
      <c r="E99" s="317" t="s">
        <v>721</v>
      </c>
      <c r="F99" s="280" t="s">
        <v>722</v>
      </c>
      <c r="G99" s="280" t="s">
        <v>722</v>
      </c>
      <c r="H99" s="280" t="s">
        <v>602</v>
      </c>
      <c r="I99" s="280" t="s">
        <v>722</v>
      </c>
      <c r="J99" s="280" t="s">
        <v>722</v>
      </c>
      <c r="K99" s="298" t="s">
        <v>602</v>
      </c>
      <c r="L99" s="299"/>
      <c r="M99" s="300" t="str">
        <f>IF(L99=$AA$3,$I99,$J99)</f>
        <v>EB</v>
      </c>
      <c r="N99" s="301">
        <v>3</v>
      </c>
      <c r="O99" s="298" t="str">
        <f>IF(L99=$AA$3,$I99,$K99)</f>
        <v>NC</v>
      </c>
      <c r="P99" s="301">
        <v>3</v>
      </c>
      <c r="Q99" s="302" t="str">
        <f t="shared" si="20"/>
        <v>EB</v>
      </c>
      <c r="R99" s="299" t="str">
        <f t="shared" si="21"/>
        <v>NC</v>
      </c>
      <c r="S99" s="299"/>
      <c r="T99" s="300" t="str">
        <f>IF(S99=$AA$3,$I99,$J99)</f>
        <v>EB</v>
      </c>
      <c r="U99" s="301">
        <v>3</v>
      </c>
      <c r="V99" s="298" t="str">
        <f>IF(S99=$AA$3,$I99,$K99)</f>
        <v>NC</v>
      </c>
      <c r="W99" s="301">
        <v>3</v>
      </c>
      <c r="X99" s="302" t="str">
        <f t="shared" si="22"/>
        <v>EB</v>
      </c>
      <c r="Y99" s="299" t="str">
        <f t="shared" si="23"/>
        <v>NC</v>
      </c>
      <c r="Z99" s="205"/>
      <c r="AA99" s="265" t="e">
        <f>重み_前!M99</f>
        <v>#DIV/0!</v>
      </c>
      <c r="AB99" s="265" t="e">
        <f>重み_後!N99</f>
        <v>#DIV/0!</v>
      </c>
      <c r="AC99" s="235" t="e">
        <f>重み_前!D99</f>
        <v>#DIV/0!</v>
      </c>
      <c r="AD99" s="235"/>
      <c r="AE99" s="235" t="e">
        <f>重み_後!D99</f>
        <v>#DIV/0!</v>
      </c>
      <c r="AF99" s="235"/>
      <c r="AG99" s="235"/>
      <c r="AH99" s="236" t="e">
        <f>重み_前!N99</f>
        <v>#DIV/0!</v>
      </c>
      <c r="AI99" s="236" t="e">
        <f>重み_後!O99</f>
        <v>#DIV/0!</v>
      </c>
      <c r="AJ99" s="235" t="e">
        <f>重み_前!E99</f>
        <v>#DIV/0!</v>
      </c>
      <c r="AK99" s="235"/>
      <c r="AL99" s="235" t="e">
        <f>重み_後!E99</f>
        <v>#DIV/0!</v>
      </c>
    </row>
    <row r="100" spans="1:38" ht="13.5">
      <c r="B100" s="331"/>
      <c r="C100" s="330"/>
      <c r="D100" s="391">
        <v>2</v>
      </c>
      <c r="E100" s="290" t="s">
        <v>723</v>
      </c>
      <c r="F100" s="280" t="s">
        <v>722</v>
      </c>
      <c r="G100" s="280" t="s">
        <v>722</v>
      </c>
      <c r="H100" s="280" t="s">
        <v>602</v>
      </c>
      <c r="I100" s="280" t="s">
        <v>722</v>
      </c>
      <c r="J100" s="280" t="s">
        <v>722</v>
      </c>
      <c r="K100" s="298" t="s">
        <v>602</v>
      </c>
      <c r="L100" s="312"/>
      <c r="M100" s="300" t="str">
        <f>IF(L100=$AA$3,$I100,$J100)</f>
        <v>EB</v>
      </c>
      <c r="N100" s="313">
        <v>3</v>
      </c>
      <c r="O100" s="298" t="str">
        <f>IF(L100=$AA$3,$I100,$K100)</f>
        <v>NC</v>
      </c>
      <c r="P100" s="313">
        <v>3</v>
      </c>
      <c r="Q100" s="313" t="str">
        <f t="shared" si="20"/>
        <v>EB</v>
      </c>
      <c r="R100" s="313" t="str">
        <f t="shared" si="21"/>
        <v>NC</v>
      </c>
      <c r="S100" s="312"/>
      <c r="T100" s="300" t="str">
        <f>IF(S100=$AA$3,$I100,$J100)</f>
        <v>EB</v>
      </c>
      <c r="U100" s="313">
        <v>3</v>
      </c>
      <c r="V100" s="298" t="str">
        <f>IF(S100=$AA$3,$I100,$K100)</f>
        <v>NC</v>
      </c>
      <c r="W100" s="313">
        <v>3</v>
      </c>
      <c r="X100" s="313" t="str">
        <f t="shared" si="22"/>
        <v>EB</v>
      </c>
      <c r="Y100" s="313" t="str">
        <f t="shared" si="23"/>
        <v>NC</v>
      </c>
      <c r="Z100" s="205"/>
      <c r="AA100" s="265" t="e">
        <f>重み_前!M100</f>
        <v>#DIV/0!</v>
      </c>
      <c r="AB100" s="265" t="e">
        <f>重み_後!N100</f>
        <v>#DIV/0!</v>
      </c>
      <c r="AC100" s="235" t="e">
        <f>重み_前!D100</f>
        <v>#DIV/0!</v>
      </c>
      <c r="AD100" s="235"/>
      <c r="AE100" s="235" t="e">
        <f>重み_後!D100</f>
        <v>#DIV/0!</v>
      </c>
      <c r="AF100" s="235"/>
      <c r="AG100" s="235"/>
      <c r="AH100" s="236" t="e">
        <f>重み_前!N100</f>
        <v>#DIV/0!</v>
      </c>
      <c r="AI100" s="236" t="e">
        <f>重み_後!O100</f>
        <v>#DIV/0!</v>
      </c>
      <c r="AJ100" s="235" t="e">
        <f>重み_前!E100</f>
        <v>#DIV/0!</v>
      </c>
      <c r="AK100" s="235"/>
      <c r="AL100" s="235" t="e">
        <f>重み_後!E100</f>
        <v>#DIV/0!</v>
      </c>
    </row>
    <row r="101" spans="1:38" ht="14.25" thickBot="1">
      <c r="B101" s="331"/>
      <c r="C101" s="316">
        <v>3.2</v>
      </c>
      <c r="D101" s="392" t="s">
        <v>724</v>
      </c>
      <c r="E101" s="317"/>
      <c r="F101" s="280" t="s">
        <v>722</v>
      </c>
      <c r="G101" s="280" t="s">
        <v>722</v>
      </c>
      <c r="H101" s="280" t="s">
        <v>602</v>
      </c>
      <c r="I101" s="280" t="s">
        <v>722</v>
      </c>
      <c r="J101" s="280" t="s">
        <v>722</v>
      </c>
      <c r="K101" s="298" t="s">
        <v>602</v>
      </c>
      <c r="L101" s="305"/>
      <c r="M101" s="300" t="str">
        <f>IF(L101=$AA$3,$I101,$J101)</f>
        <v>EB</v>
      </c>
      <c r="N101" s="306">
        <v>3</v>
      </c>
      <c r="O101" s="298" t="str">
        <f>IF(L101=$AA$3,$I101,$K101)</f>
        <v>NC</v>
      </c>
      <c r="P101" s="306">
        <v>3</v>
      </c>
      <c r="Q101" s="306" t="str">
        <f t="shared" si="20"/>
        <v>EB</v>
      </c>
      <c r="R101" s="306" t="str">
        <f t="shared" si="21"/>
        <v>NC</v>
      </c>
      <c r="S101" s="305"/>
      <c r="T101" s="300" t="str">
        <f>IF(S101=$AA$3,$I101,$J101)</f>
        <v>EB</v>
      </c>
      <c r="U101" s="306">
        <v>3</v>
      </c>
      <c r="V101" s="298" t="str">
        <f>IF(S101=$AA$3,$I101,$K101)</f>
        <v>NC</v>
      </c>
      <c r="W101" s="306">
        <v>3</v>
      </c>
      <c r="X101" s="306" t="str">
        <f t="shared" si="22"/>
        <v>EB</v>
      </c>
      <c r="Y101" s="306" t="str">
        <f t="shared" si="23"/>
        <v>NC</v>
      </c>
      <c r="Z101" s="205"/>
      <c r="AA101" s="265" t="e">
        <f>重み_前!M101</f>
        <v>#DIV/0!</v>
      </c>
      <c r="AB101" s="265" t="e">
        <f>重み_後!N101</f>
        <v>#DIV/0!</v>
      </c>
      <c r="AC101" s="235" t="e">
        <f>重み_前!D101</f>
        <v>#DIV/0!</v>
      </c>
      <c r="AD101" s="235"/>
      <c r="AE101" s="235" t="e">
        <f>重み_後!D101</f>
        <v>#DIV/0!</v>
      </c>
      <c r="AF101" s="235"/>
      <c r="AG101" s="235"/>
      <c r="AH101" s="236" t="e">
        <f>重み_前!N101</f>
        <v>#DIV/0!</v>
      </c>
      <c r="AI101" s="236" t="e">
        <f>重み_後!O101</f>
        <v>#DIV/0!</v>
      </c>
      <c r="AJ101" s="235" t="e">
        <f>重み_前!E101</f>
        <v>#DIV/0!</v>
      </c>
      <c r="AK101" s="235"/>
      <c r="AL101" s="235" t="e">
        <f>重み_後!E101</f>
        <v>#DIV/0!</v>
      </c>
    </row>
    <row r="102" spans="1:38" ht="14.25" thickBot="1">
      <c r="B102" s="331"/>
      <c r="C102" s="308">
        <v>3.3</v>
      </c>
      <c r="D102" s="326" t="s">
        <v>725</v>
      </c>
      <c r="E102" s="290"/>
      <c r="F102" s="280" t="s">
        <v>726</v>
      </c>
      <c r="G102" s="280" t="s">
        <v>726</v>
      </c>
      <c r="H102" s="280" t="s">
        <v>727</v>
      </c>
      <c r="I102" s="327"/>
      <c r="J102" s="327"/>
      <c r="K102" s="328"/>
      <c r="L102" s="292" t="str">
        <f>IF(COUNTIF(L103:L108,$AA$3)&gt;=ROWS(L103:L108),$AA$3,"")</f>
        <v/>
      </c>
      <c r="M102" s="329"/>
      <c r="N102" s="309"/>
      <c r="O102" s="328"/>
      <c r="P102" s="309"/>
      <c r="Q102" s="310" t="str">
        <f t="shared" si="20"/>
        <v>EB</v>
      </c>
      <c r="R102" s="311" t="str">
        <f t="shared" si="21"/>
        <v>NC</v>
      </c>
      <c r="S102" s="292" t="str">
        <f>IF(COUNTIF(S103:S108,$AA$3)&gt;=ROWS(S103:S108),$AA$3,"")</f>
        <v/>
      </c>
      <c r="T102" s="329"/>
      <c r="U102" s="309"/>
      <c r="V102" s="328"/>
      <c r="W102" s="309"/>
      <c r="X102" s="310" t="str">
        <f t="shared" si="22"/>
        <v>EB</v>
      </c>
      <c r="Y102" s="311" t="str">
        <f t="shared" si="23"/>
        <v>NC</v>
      </c>
      <c r="Z102" s="205"/>
      <c r="AA102" s="265" t="e">
        <f>重み_前!M102</f>
        <v>#DIV/0!</v>
      </c>
      <c r="AB102" s="265" t="e">
        <f>重み_後!N102</f>
        <v>#DIV/0!</v>
      </c>
      <c r="AC102" s="235" t="e">
        <f>重み_前!D102</f>
        <v>#DIV/0!</v>
      </c>
      <c r="AD102" s="235"/>
      <c r="AE102" s="235" t="e">
        <f>重み_後!D102</f>
        <v>#DIV/0!</v>
      </c>
      <c r="AF102" s="235"/>
      <c r="AG102" s="235"/>
      <c r="AH102" s="236" t="e">
        <f>重み_前!N102</f>
        <v>#DIV/0!</v>
      </c>
      <c r="AI102" s="236" t="e">
        <f>重み_後!O102</f>
        <v>#DIV/0!</v>
      </c>
      <c r="AJ102" s="235" t="e">
        <f>重み_前!E102</f>
        <v>#DIV/0!</v>
      </c>
      <c r="AK102" s="235"/>
      <c r="AL102" s="235" t="e">
        <f>重み_後!E102</f>
        <v>#DIV/0!</v>
      </c>
    </row>
    <row r="103" spans="1:38" ht="13.5">
      <c r="B103" s="331"/>
      <c r="C103" s="330"/>
      <c r="D103" s="297">
        <v>1</v>
      </c>
      <c r="E103" s="317" t="s">
        <v>728</v>
      </c>
      <c r="F103" s="280" t="s">
        <v>722</v>
      </c>
      <c r="G103" s="280" t="s">
        <v>722</v>
      </c>
      <c r="H103" s="280" t="s">
        <v>602</v>
      </c>
      <c r="I103" s="280" t="s">
        <v>722</v>
      </c>
      <c r="J103" s="280" t="s">
        <v>722</v>
      </c>
      <c r="K103" s="298" t="s">
        <v>602</v>
      </c>
      <c r="L103" s="299"/>
      <c r="M103" s="300" t="str">
        <f t="shared" ref="M103:M108" si="32">IF(L103=$AA$3,$I103,$J103)</f>
        <v>EB</v>
      </c>
      <c r="N103" s="301">
        <v>3</v>
      </c>
      <c r="O103" s="298" t="str">
        <f t="shared" ref="O103:O108" si="33">IF(L103=$AA$3,$I103,$K103)</f>
        <v>NC</v>
      </c>
      <c r="P103" s="301">
        <v>3</v>
      </c>
      <c r="Q103" s="302" t="str">
        <f t="shared" si="20"/>
        <v>EB</v>
      </c>
      <c r="R103" s="299" t="str">
        <f t="shared" si="21"/>
        <v>NC</v>
      </c>
      <c r="S103" s="393"/>
      <c r="T103" s="300" t="str">
        <f t="shared" ref="T103:T108" si="34">IF(S103=$AA$3,$I103,$J103)</f>
        <v>EB</v>
      </c>
      <c r="U103" s="301">
        <v>0</v>
      </c>
      <c r="V103" s="298" t="str">
        <f t="shared" ref="V103:V108" si="35">IF(S103=$AA$3,$I103,$K103)</f>
        <v>NC</v>
      </c>
      <c r="W103" s="301">
        <v>0</v>
      </c>
      <c r="X103" s="302" t="str">
        <f t="shared" si="22"/>
        <v>EB</v>
      </c>
      <c r="Y103" s="299" t="str">
        <f t="shared" si="23"/>
        <v>NC</v>
      </c>
      <c r="Z103" s="205"/>
      <c r="AA103" s="265" t="e">
        <f>重み_前!M103</f>
        <v>#DIV/0!</v>
      </c>
      <c r="AB103" s="265" t="e">
        <f>重み_後!N103</f>
        <v>#DIV/0!</v>
      </c>
      <c r="AC103" s="235" t="e">
        <f>重み_前!D103</f>
        <v>#DIV/0!</v>
      </c>
      <c r="AD103" s="235"/>
      <c r="AE103" s="235" t="e">
        <f>重み_後!D103</f>
        <v>#DIV/0!</v>
      </c>
      <c r="AF103" s="235"/>
      <c r="AG103" s="235"/>
      <c r="AH103" s="236" t="e">
        <f>重み_前!N103</f>
        <v>#DIV/0!</v>
      </c>
      <c r="AI103" s="236" t="e">
        <f>重み_後!O103</f>
        <v>#DIV/0!</v>
      </c>
      <c r="AJ103" s="235" t="e">
        <f>重み_前!E103</f>
        <v>#DIV/0!</v>
      </c>
      <c r="AK103" s="235"/>
      <c r="AL103" s="235" t="e">
        <f>重み_後!E103</f>
        <v>#DIV/0!</v>
      </c>
    </row>
    <row r="104" spans="1:38" ht="13.5">
      <c r="B104" s="331"/>
      <c r="C104" s="330"/>
      <c r="D104" s="391">
        <v>2</v>
      </c>
      <c r="E104" s="290" t="s">
        <v>729</v>
      </c>
      <c r="F104" s="280" t="s">
        <v>722</v>
      </c>
      <c r="G104" s="280" t="s">
        <v>722</v>
      </c>
      <c r="H104" s="280" t="s">
        <v>602</v>
      </c>
      <c r="I104" s="280" t="s">
        <v>722</v>
      </c>
      <c r="J104" s="280" t="s">
        <v>722</v>
      </c>
      <c r="K104" s="298" t="s">
        <v>602</v>
      </c>
      <c r="L104" s="312"/>
      <c r="M104" s="300" t="str">
        <f t="shared" si="32"/>
        <v>EB</v>
      </c>
      <c r="N104" s="313">
        <v>3</v>
      </c>
      <c r="O104" s="298" t="str">
        <f t="shared" si="33"/>
        <v>NC</v>
      </c>
      <c r="P104" s="313">
        <v>3</v>
      </c>
      <c r="Q104" s="314" t="str">
        <f t="shared" si="20"/>
        <v>EB</v>
      </c>
      <c r="R104" s="312" t="str">
        <f t="shared" si="21"/>
        <v>NC</v>
      </c>
      <c r="S104" s="394"/>
      <c r="T104" s="300" t="str">
        <f t="shared" si="34"/>
        <v>EB</v>
      </c>
      <c r="U104" s="313">
        <v>0</v>
      </c>
      <c r="V104" s="298" t="str">
        <f t="shared" si="35"/>
        <v>NC</v>
      </c>
      <c r="W104" s="313">
        <v>0</v>
      </c>
      <c r="X104" s="314" t="str">
        <f t="shared" si="22"/>
        <v>EB</v>
      </c>
      <c r="Y104" s="312" t="str">
        <f t="shared" si="23"/>
        <v>NC</v>
      </c>
      <c r="Z104" s="205"/>
      <c r="AA104" s="265" t="e">
        <f>重み_前!M104</f>
        <v>#DIV/0!</v>
      </c>
      <c r="AB104" s="265" t="e">
        <f>重み_後!N104</f>
        <v>#DIV/0!</v>
      </c>
      <c r="AC104" s="235" t="e">
        <f>重み_前!D104</f>
        <v>#DIV/0!</v>
      </c>
      <c r="AD104" s="235"/>
      <c r="AE104" s="235" t="e">
        <f>重み_後!D104</f>
        <v>#DIV/0!</v>
      </c>
      <c r="AF104" s="235"/>
      <c r="AG104" s="235"/>
      <c r="AH104" s="236" t="e">
        <f>重み_前!N104</f>
        <v>#DIV/0!</v>
      </c>
      <c r="AI104" s="236" t="e">
        <f>重み_後!O104</f>
        <v>#DIV/0!</v>
      </c>
      <c r="AJ104" s="235" t="e">
        <f>重み_前!E104</f>
        <v>#DIV/0!</v>
      </c>
      <c r="AK104" s="235"/>
      <c r="AL104" s="235" t="e">
        <f>重み_後!E104</f>
        <v>#DIV/0!</v>
      </c>
    </row>
    <row r="105" spans="1:38" ht="13.5">
      <c r="B105" s="331"/>
      <c r="C105" s="330"/>
      <c r="D105" s="297">
        <v>3</v>
      </c>
      <c r="E105" s="317" t="s">
        <v>730</v>
      </c>
      <c r="F105" s="280" t="s">
        <v>722</v>
      </c>
      <c r="G105" s="280" t="s">
        <v>722</v>
      </c>
      <c r="H105" s="280" t="s">
        <v>602</v>
      </c>
      <c r="I105" s="280" t="s">
        <v>722</v>
      </c>
      <c r="J105" s="280" t="s">
        <v>722</v>
      </c>
      <c r="K105" s="298" t="s">
        <v>602</v>
      </c>
      <c r="L105" s="312"/>
      <c r="M105" s="300" t="str">
        <f t="shared" si="32"/>
        <v>EB</v>
      </c>
      <c r="N105" s="313">
        <v>3</v>
      </c>
      <c r="O105" s="298" t="str">
        <f t="shared" si="33"/>
        <v>NC</v>
      </c>
      <c r="P105" s="313">
        <v>3</v>
      </c>
      <c r="Q105" s="314" t="str">
        <f t="shared" si="20"/>
        <v>EB</v>
      </c>
      <c r="R105" s="312" t="str">
        <f t="shared" si="21"/>
        <v>NC</v>
      </c>
      <c r="S105" s="394"/>
      <c r="T105" s="300" t="str">
        <f t="shared" si="34"/>
        <v>EB</v>
      </c>
      <c r="U105" s="313">
        <v>0</v>
      </c>
      <c r="V105" s="298" t="str">
        <f t="shared" si="35"/>
        <v>NC</v>
      </c>
      <c r="W105" s="313">
        <v>0</v>
      </c>
      <c r="X105" s="314" t="str">
        <f t="shared" si="22"/>
        <v>EB</v>
      </c>
      <c r="Y105" s="312" t="str">
        <f t="shared" si="23"/>
        <v>NC</v>
      </c>
      <c r="Z105" s="205"/>
      <c r="AA105" s="265" t="e">
        <f>重み_前!M105</f>
        <v>#DIV/0!</v>
      </c>
      <c r="AB105" s="265" t="e">
        <f>重み_後!N105</f>
        <v>#DIV/0!</v>
      </c>
      <c r="AC105" s="235" t="e">
        <f>重み_前!D105</f>
        <v>#DIV/0!</v>
      </c>
      <c r="AD105" s="235"/>
      <c r="AE105" s="235" t="e">
        <f>重み_後!D105</f>
        <v>#DIV/0!</v>
      </c>
      <c r="AF105" s="235"/>
      <c r="AG105" s="235"/>
      <c r="AH105" s="236" t="e">
        <f>重み_前!N105</f>
        <v>#DIV/0!</v>
      </c>
      <c r="AI105" s="236" t="e">
        <f>重み_後!O105</f>
        <v>#DIV/0!</v>
      </c>
      <c r="AJ105" s="235" t="e">
        <f>重み_前!E105</f>
        <v>#DIV/0!</v>
      </c>
      <c r="AK105" s="235"/>
      <c r="AL105" s="235" t="e">
        <f>重み_後!E105</f>
        <v>#DIV/0!</v>
      </c>
    </row>
    <row r="106" spans="1:38" ht="13.5">
      <c r="B106" s="331"/>
      <c r="C106" s="330"/>
      <c r="D106" s="391">
        <v>4</v>
      </c>
      <c r="E106" s="290" t="s">
        <v>731</v>
      </c>
      <c r="F106" s="280" t="s">
        <v>722</v>
      </c>
      <c r="G106" s="280" t="s">
        <v>722</v>
      </c>
      <c r="H106" s="280" t="s">
        <v>602</v>
      </c>
      <c r="I106" s="280" t="s">
        <v>722</v>
      </c>
      <c r="J106" s="280" t="s">
        <v>722</v>
      </c>
      <c r="K106" s="298" t="s">
        <v>602</v>
      </c>
      <c r="L106" s="312"/>
      <c r="M106" s="300" t="str">
        <f t="shared" si="32"/>
        <v>EB</v>
      </c>
      <c r="N106" s="313">
        <v>3</v>
      </c>
      <c r="O106" s="298" t="str">
        <f t="shared" si="33"/>
        <v>NC</v>
      </c>
      <c r="P106" s="313">
        <v>3</v>
      </c>
      <c r="Q106" s="314" t="str">
        <f t="shared" si="20"/>
        <v>EB</v>
      </c>
      <c r="R106" s="312" t="str">
        <f t="shared" si="21"/>
        <v>NC</v>
      </c>
      <c r="S106" s="394"/>
      <c r="T106" s="300" t="str">
        <f t="shared" si="34"/>
        <v>EB</v>
      </c>
      <c r="U106" s="313">
        <v>0</v>
      </c>
      <c r="V106" s="298" t="str">
        <f t="shared" si="35"/>
        <v>NC</v>
      </c>
      <c r="W106" s="313">
        <v>0</v>
      </c>
      <c r="X106" s="314" t="str">
        <f t="shared" si="22"/>
        <v>EB</v>
      </c>
      <c r="Y106" s="312" t="str">
        <f t="shared" si="23"/>
        <v>NC</v>
      </c>
      <c r="Z106" s="205"/>
      <c r="AA106" s="265" t="e">
        <f>重み_前!M106</f>
        <v>#DIV/0!</v>
      </c>
      <c r="AB106" s="265" t="e">
        <f>重み_後!N106</f>
        <v>#DIV/0!</v>
      </c>
      <c r="AC106" s="235" t="e">
        <f>重み_前!D106</f>
        <v>#DIV/0!</v>
      </c>
      <c r="AD106" s="235"/>
      <c r="AE106" s="235" t="e">
        <f>重み_後!D106</f>
        <v>#DIV/0!</v>
      </c>
      <c r="AF106" s="235"/>
      <c r="AG106" s="235"/>
      <c r="AH106" s="236" t="e">
        <f>重み_前!N106</f>
        <v>#DIV/0!</v>
      </c>
      <c r="AI106" s="236" t="e">
        <f>重み_後!O106</f>
        <v>#DIV/0!</v>
      </c>
      <c r="AJ106" s="235" t="e">
        <f>重み_前!E106</f>
        <v>#DIV/0!</v>
      </c>
      <c r="AK106" s="235"/>
      <c r="AL106" s="235" t="e">
        <f>重み_後!E106</f>
        <v>#DIV/0!</v>
      </c>
    </row>
    <row r="107" spans="1:38" ht="13.5">
      <c r="B107" s="331"/>
      <c r="C107" s="330"/>
      <c r="D107" s="297">
        <v>5</v>
      </c>
      <c r="E107" s="317" t="s">
        <v>732</v>
      </c>
      <c r="F107" s="280" t="s">
        <v>722</v>
      </c>
      <c r="G107" s="280" t="s">
        <v>722</v>
      </c>
      <c r="H107" s="280" t="s">
        <v>602</v>
      </c>
      <c r="I107" s="280" t="s">
        <v>722</v>
      </c>
      <c r="J107" s="280" t="s">
        <v>722</v>
      </c>
      <c r="K107" s="298" t="s">
        <v>602</v>
      </c>
      <c r="L107" s="312"/>
      <c r="M107" s="300" t="str">
        <f t="shared" si="32"/>
        <v>EB</v>
      </c>
      <c r="N107" s="313">
        <v>3</v>
      </c>
      <c r="O107" s="298" t="str">
        <f t="shared" si="33"/>
        <v>NC</v>
      </c>
      <c r="P107" s="313">
        <v>3</v>
      </c>
      <c r="Q107" s="314" t="str">
        <f t="shared" si="20"/>
        <v>EB</v>
      </c>
      <c r="R107" s="312" t="str">
        <f t="shared" si="21"/>
        <v>NC</v>
      </c>
      <c r="S107" s="394"/>
      <c r="T107" s="300" t="str">
        <f t="shared" si="34"/>
        <v>EB</v>
      </c>
      <c r="U107" s="313">
        <v>0</v>
      </c>
      <c r="V107" s="298" t="str">
        <f t="shared" si="35"/>
        <v>NC</v>
      </c>
      <c r="W107" s="313">
        <v>0</v>
      </c>
      <c r="X107" s="314" t="str">
        <f t="shared" si="22"/>
        <v>EB</v>
      </c>
      <c r="Y107" s="312" t="str">
        <f t="shared" si="23"/>
        <v>NC</v>
      </c>
      <c r="Z107" s="205"/>
      <c r="AA107" s="265" t="e">
        <f>重み_前!M107</f>
        <v>#DIV/0!</v>
      </c>
      <c r="AB107" s="265" t="e">
        <f>重み_後!N107</f>
        <v>#DIV/0!</v>
      </c>
      <c r="AC107" s="235" t="e">
        <f>重み_前!D107</f>
        <v>#DIV/0!</v>
      </c>
      <c r="AD107" s="235"/>
      <c r="AE107" s="235" t="e">
        <f>重み_後!D107</f>
        <v>#DIV/0!</v>
      </c>
      <c r="AF107" s="235"/>
      <c r="AG107" s="235"/>
      <c r="AH107" s="236" t="e">
        <f>重み_前!N107</f>
        <v>#DIV/0!</v>
      </c>
      <c r="AI107" s="236" t="e">
        <f>重み_後!O107</f>
        <v>#DIV/0!</v>
      </c>
      <c r="AJ107" s="235" t="e">
        <f>重み_前!E107</f>
        <v>#DIV/0!</v>
      </c>
      <c r="AK107" s="235"/>
      <c r="AL107" s="235" t="e">
        <f>重み_後!E107</f>
        <v>#DIV/0!</v>
      </c>
    </row>
    <row r="108" spans="1:38" ht="14.25" thickBot="1">
      <c r="B108" s="347"/>
      <c r="C108" s="395"/>
      <c r="D108" s="349">
        <v>6</v>
      </c>
      <c r="E108" s="350" t="s">
        <v>733</v>
      </c>
      <c r="F108" s="280" t="s">
        <v>722</v>
      </c>
      <c r="G108" s="280" t="s">
        <v>722</v>
      </c>
      <c r="H108" s="280" t="s">
        <v>602</v>
      </c>
      <c r="I108" s="280" t="s">
        <v>722</v>
      </c>
      <c r="J108" s="280" t="s">
        <v>722</v>
      </c>
      <c r="K108" s="298" t="s">
        <v>602</v>
      </c>
      <c r="L108" s="305"/>
      <c r="M108" s="396" t="str">
        <f t="shared" si="32"/>
        <v>EB</v>
      </c>
      <c r="N108" s="313">
        <v>3</v>
      </c>
      <c r="O108" s="397" t="str">
        <f t="shared" si="33"/>
        <v>NC</v>
      </c>
      <c r="P108" s="313">
        <v>3</v>
      </c>
      <c r="Q108" s="307" t="str">
        <f t="shared" si="20"/>
        <v>EB</v>
      </c>
      <c r="R108" s="305" t="str">
        <f t="shared" si="21"/>
        <v>NC</v>
      </c>
      <c r="S108" s="398"/>
      <c r="T108" s="351" t="str">
        <f t="shared" si="34"/>
        <v>EB</v>
      </c>
      <c r="U108" s="306">
        <v>0</v>
      </c>
      <c r="V108" s="352" t="str">
        <f t="shared" si="35"/>
        <v>NC</v>
      </c>
      <c r="W108" s="306">
        <v>0</v>
      </c>
      <c r="X108" s="307" t="str">
        <f t="shared" si="22"/>
        <v>EB</v>
      </c>
      <c r="Y108" s="305" t="str">
        <f t="shared" si="23"/>
        <v>NC</v>
      </c>
      <c r="Z108" s="205"/>
      <c r="AA108" s="265" t="e">
        <f>重み_前!M108</f>
        <v>#DIV/0!</v>
      </c>
      <c r="AB108" s="265" t="e">
        <f>重み_後!N108</f>
        <v>#DIV/0!</v>
      </c>
      <c r="AC108" s="235" t="e">
        <f>重み_前!D108</f>
        <v>#DIV/0!</v>
      </c>
      <c r="AD108" s="235"/>
      <c r="AE108" s="235" t="e">
        <f>重み_後!D108</f>
        <v>#DIV/0!</v>
      </c>
      <c r="AF108" s="235"/>
      <c r="AG108" s="235"/>
      <c r="AH108" s="236" t="e">
        <f>重み_前!N108</f>
        <v>#DIV/0!</v>
      </c>
      <c r="AI108" s="236" t="e">
        <f>重み_後!O108</f>
        <v>#DIV/0!</v>
      </c>
      <c r="AJ108" s="235" t="e">
        <f>重み_前!E108</f>
        <v>#DIV/0!</v>
      </c>
      <c r="AK108" s="235"/>
      <c r="AL108" s="235" t="e">
        <f>重み_後!E108</f>
        <v>#DIV/0!</v>
      </c>
    </row>
    <row r="109" spans="1:38" ht="14.25" thickBot="1">
      <c r="A109" s="399"/>
      <c r="B109" s="353" t="s">
        <v>734</v>
      </c>
      <c r="C109" s="400" t="s">
        <v>735</v>
      </c>
      <c r="D109" s="400"/>
      <c r="E109" s="400"/>
      <c r="F109" s="355"/>
      <c r="G109" s="355"/>
      <c r="H109" s="355"/>
      <c r="I109" s="355"/>
      <c r="J109" s="355"/>
      <c r="K109" s="356"/>
      <c r="L109" s="357"/>
      <c r="M109" s="357"/>
      <c r="N109" s="401"/>
      <c r="O109" s="356"/>
      <c r="P109" s="401"/>
      <c r="Q109" s="361"/>
      <c r="R109" s="357"/>
      <c r="S109" s="435"/>
      <c r="T109" s="274"/>
      <c r="U109" s="359"/>
      <c r="V109" s="2447"/>
      <c r="W109" s="359"/>
      <c r="X109" s="361"/>
      <c r="Y109" s="357"/>
      <c r="Z109" s="205"/>
      <c r="AA109" s="265" t="e">
        <f>重み_前!M109</f>
        <v>#DIV/0!</v>
      </c>
      <c r="AB109" s="265" t="e">
        <f>重み_後!N109</f>
        <v>#DIV/0!</v>
      </c>
      <c r="AC109" s="235" t="e">
        <f>重み_前!D109</f>
        <v>#DIV/0!</v>
      </c>
      <c r="AD109" s="235"/>
      <c r="AE109" s="235" t="e">
        <f>重み_後!D109</f>
        <v>#DIV/0!</v>
      </c>
      <c r="AF109" s="235"/>
      <c r="AG109" s="235"/>
      <c r="AH109" s="236" t="e">
        <f>重み_前!N109</f>
        <v>#DIV/0!</v>
      </c>
      <c r="AI109" s="236" t="e">
        <f>重み_後!O109</f>
        <v>#DIV/0!</v>
      </c>
      <c r="AJ109" s="235" t="e">
        <f>重み_前!E109</f>
        <v>#DIV/0!</v>
      </c>
      <c r="AK109" s="235"/>
      <c r="AL109" s="235" t="e">
        <f>重み_後!E109</f>
        <v>#DIV/0!</v>
      </c>
    </row>
    <row r="110" spans="1:38" ht="13.5">
      <c r="A110" s="399"/>
      <c r="B110" s="276">
        <v>1</v>
      </c>
      <c r="C110" s="363" t="s">
        <v>736</v>
      </c>
      <c r="D110" s="76"/>
      <c r="E110" s="403"/>
      <c r="F110" s="280" t="s">
        <v>722</v>
      </c>
      <c r="G110" s="280" t="s">
        <v>722</v>
      </c>
      <c r="H110" s="280" t="s">
        <v>600</v>
      </c>
      <c r="I110" s="280" t="s">
        <v>722</v>
      </c>
      <c r="J110" s="280" t="s">
        <v>722</v>
      </c>
      <c r="K110" s="298" t="s">
        <v>602</v>
      </c>
      <c r="L110" s="301"/>
      <c r="M110" s="300" t="str">
        <f>IF(L110=$AA$3,$I110,$J110)</f>
        <v>EB</v>
      </c>
      <c r="N110" s="404">
        <v>3</v>
      </c>
      <c r="O110" s="298" t="str">
        <f>IF(L110=$AA$3,$I110,$K110)</f>
        <v>NC</v>
      </c>
      <c r="P110" s="404">
        <v>3</v>
      </c>
      <c r="Q110" s="301" t="str">
        <f t="shared" ref="Q110:Q115" si="36">IF(L110=$AA$3,$F110,$G110)</f>
        <v>EB</v>
      </c>
      <c r="R110" s="301" t="str">
        <f t="shared" ref="R110:R115" si="37">IF(L110=$AA$3,$F110,$H110)</f>
        <v>NC</v>
      </c>
      <c r="S110" s="450"/>
      <c r="T110" s="300" t="str">
        <f>IF(S110=$AA$3,$I110,$J110)</f>
        <v>EB</v>
      </c>
      <c r="U110" s="2111">
        <v>0</v>
      </c>
      <c r="V110" s="298" t="str">
        <f>IF(S110=$AA$3,$I110,$K110)</f>
        <v>NC</v>
      </c>
      <c r="W110" s="2111">
        <v>0</v>
      </c>
      <c r="X110" s="301" t="str">
        <f t="shared" ref="X110:X115" si="38">IF(S110=$AA$3,$F110,$G110)</f>
        <v>EB</v>
      </c>
      <c r="Y110" s="301" t="str">
        <f t="shared" ref="Y110:Y115" si="39">IF(S110=$AA$3,$F110,$H110)</f>
        <v>NC</v>
      </c>
      <c r="Z110" s="205"/>
      <c r="AA110" s="265" t="e">
        <f>重み_前!M110</f>
        <v>#DIV/0!</v>
      </c>
      <c r="AB110" s="265" t="e">
        <f>重み_後!N110</f>
        <v>#DIV/0!</v>
      </c>
      <c r="AC110" s="235" t="e">
        <f>重み_前!D110</f>
        <v>#DIV/0!</v>
      </c>
      <c r="AD110" s="235"/>
      <c r="AE110" s="235" t="e">
        <f>重み_後!D110</f>
        <v>#DIV/0!</v>
      </c>
      <c r="AF110" s="235"/>
      <c r="AG110" s="235"/>
      <c r="AH110" s="236" t="e">
        <f>重み_前!N110</f>
        <v>#DIV/0!</v>
      </c>
      <c r="AI110" s="236" t="e">
        <f>重み_後!O110</f>
        <v>#DIV/0!</v>
      </c>
      <c r="AJ110" s="235" t="e">
        <f>重み_前!E110</f>
        <v>#DIV/0!</v>
      </c>
      <c r="AK110" s="235"/>
      <c r="AL110" s="235" t="e">
        <f>重み_後!E110</f>
        <v>#DIV/0!</v>
      </c>
    </row>
    <row r="111" spans="1:38" ht="14.25" thickBot="1">
      <c r="A111" s="399"/>
      <c r="B111" s="405">
        <v>2</v>
      </c>
      <c r="C111" s="406" t="s">
        <v>737</v>
      </c>
      <c r="D111" s="317"/>
      <c r="E111" s="317"/>
      <c r="F111" s="280" t="s">
        <v>722</v>
      </c>
      <c r="G111" s="280" t="s">
        <v>722</v>
      </c>
      <c r="H111" s="280" t="s">
        <v>602</v>
      </c>
      <c r="I111" s="280" t="s">
        <v>722</v>
      </c>
      <c r="J111" s="280" t="s">
        <v>722</v>
      </c>
      <c r="K111" s="298" t="s">
        <v>602</v>
      </c>
      <c r="L111" s="306"/>
      <c r="M111" s="300" t="str">
        <f>IF(L111=$AA$3,$I111,$J111)</f>
        <v>EB</v>
      </c>
      <c r="N111" s="318">
        <v>3</v>
      </c>
      <c r="O111" s="298" t="str">
        <f>IF(L111=$AA$3,$I111,$K111)</f>
        <v>NC</v>
      </c>
      <c r="P111" s="318">
        <v>3</v>
      </c>
      <c r="Q111" s="306" t="str">
        <f t="shared" si="36"/>
        <v>EB</v>
      </c>
      <c r="R111" s="306" t="str">
        <f t="shared" si="37"/>
        <v>NC</v>
      </c>
      <c r="S111" s="450"/>
      <c r="T111" s="300" t="str">
        <f>IF(S111=$AA$3,$I111,$J111)</f>
        <v>EB</v>
      </c>
      <c r="U111" s="2111">
        <v>0</v>
      </c>
      <c r="V111" s="298" t="str">
        <f>IF(S111=$AA$3,$I111,$K111)</f>
        <v>NC</v>
      </c>
      <c r="W111" s="2111">
        <v>0</v>
      </c>
      <c r="X111" s="306" t="str">
        <f t="shared" si="38"/>
        <v>EB</v>
      </c>
      <c r="Y111" s="306" t="str">
        <f t="shared" si="39"/>
        <v>NC</v>
      </c>
      <c r="Z111" s="205"/>
      <c r="AA111" s="265" t="e">
        <f>重み_前!M111</f>
        <v>#DIV/0!</v>
      </c>
      <c r="AB111" s="265" t="e">
        <f>重み_後!N111</f>
        <v>#DIV/0!</v>
      </c>
      <c r="AC111" s="235" t="e">
        <f>重み_前!D111</f>
        <v>#DIV/0!</v>
      </c>
      <c r="AD111" s="235"/>
      <c r="AE111" s="235" t="e">
        <f>重み_後!D111</f>
        <v>#DIV/0!</v>
      </c>
      <c r="AF111" s="235"/>
      <c r="AG111" s="235"/>
      <c r="AH111" s="236" t="e">
        <f>重み_前!N111</f>
        <v>#DIV/0!</v>
      </c>
      <c r="AI111" s="236" t="e">
        <f>重み_後!O111</f>
        <v>#DIV/0!</v>
      </c>
      <c r="AJ111" s="235" t="e">
        <f>重み_前!E111</f>
        <v>#DIV/0!</v>
      </c>
      <c r="AK111" s="235"/>
      <c r="AL111" s="235" t="e">
        <f>重み_後!E111</f>
        <v>#DIV/0!</v>
      </c>
    </row>
    <row r="112" spans="1:38" ht="14.25" thickBot="1">
      <c r="A112" s="399"/>
      <c r="B112" s="388">
        <v>3</v>
      </c>
      <c r="C112" s="407" t="s">
        <v>738</v>
      </c>
      <c r="D112" s="291"/>
      <c r="E112" s="291"/>
      <c r="F112" s="280" t="s">
        <v>739</v>
      </c>
      <c r="G112" s="280" t="s">
        <v>739</v>
      </c>
      <c r="H112" s="280" t="s">
        <v>740</v>
      </c>
      <c r="I112" s="327"/>
      <c r="J112" s="327"/>
      <c r="K112" s="328"/>
      <c r="L112" s="295" t="str">
        <f>IF(COUNTIF(L113:L114,$AA$3)&gt;=ROWS(L113:L114),$AA$3,"")</f>
        <v/>
      </c>
      <c r="M112" s="329"/>
      <c r="N112" s="309"/>
      <c r="O112" s="328"/>
      <c r="P112" s="309"/>
      <c r="Q112" s="310" t="str">
        <f t="shared" si="36"/>
        <v>EB</v>
      </c>
      <c r="R112" s="311" t="str">
        <f t="shared" si="37"/>
        <v>NC</v>
      </c>
      <c r="S112" s="450" t="str">
        <f>IF(COUNTIF(S113:S114,$AA$3)&gt;=ROWS(S113:S114),$AA$3,"")</f>
        <v/>
      </c>
      <c r="T112" s="300"/>
      <c r="U112" s="2111"/>
      <c r="V112" s="298"/>
      <c r="W112" s="2111"/>
      <c r="X112" s="310" t="str">
        <f t="shared" si="38"/>
        <v>EB</v>
      </c>
      <c r="Y112" s="311" t="str">
        <f t="shared" si="39"/>
        <v>NC</v>
      </c>
      <c r="Z112" s="205"/>
      <c r="AA112" s="265" t="e">
        <f>重み_前!M112</f>
        <v>#DIV/0!</v>
      </c>
      <c r="AB112" s="265" t="e">
        <f>重み_後!N112</f>
        <v>#DIV/0!</v>
      </c>
      <c r="AC112" s="235" t="e">
        <f>重み_前!D112</f>
        <v>#DIV/0!</v>
      </c>
      <c r="AD112" s="235"/>
      <c r="AE112" s="235" t="e">
        <f>重み_後!D112</f>
        <v>#DIV/0!</v>
      </c>
      <c r="AF112" s="235"/>
      <c r="AG112" s="235"/>
      <c r="AH112" s="236" t="e">
        <f>重み_前!N112</f>
        <v>#DIV/0!</v>
      </c>
      <c r="AI112" s="236" t="e">
        <f>重み_後!O112</f>
        <v>#DIV/0!</v>
      </c>
      <c r="AJ112" s="235" t="e">
        <f>重み_前!E112</f>
        <v>#DIV/0!</v>
      </c>
      <c r="AK112" s="235"/>
      <c r="AL112" s="235" t="e">
        <f>重み_後!E112</f>
        <v>#DIV/0!</v>
      </c>
    </row>
    <row r="113" spans="1:38" ht="13.5">
      <c r="A113" s="399"/>
      <c r="B113" s="276"/>
      <c r="C113" s="408">
        <v>3.1</v>
      </c>
      <c r="D113" s="409" t="s">
        <v>1826</v>
      </c>
      <c r="E113" s="410"/>
      <c r="F113" s="280" t="s">
        <v>722</v>
      </c>
      <c r="G113" s="280" t="s">
        <v>722</v>
      </c>
      <c r="H113" s="280" t="s">
        <v>600</v>
      </c>
      <c r="I113" s="280" t="s">
        <v>722</v>
      </c>
      <c r="J113" s="280" t="s">
        <v>722</v>
      </c>
      <c r="K113" s="298" t="s">
        <v>602</v>
      </c>
      <c r="L113" s="299"/>
      <c r="M113" s="300" t="str">
        <f>IF(L113=$AA$3,$I113,$J113)</f>
        <v>EB</v>
      </c>
      <c r="N113" s="404">
        <v>3</v>
      </c>
      <c r="O113" s="298" t="str">
        <f>IF(L113=$AA$3,$I113,$K113)</f>
        <v>NC</v>
      </c>
      <c r="P113" s="404">
        <v>3</v>
      </c>
      <c r="Q113" s="302" t="str">
        <f t="shared" si="36"/>
        <v>EB</v>
      </c>
      <c r="R113" s="299" t="str">
        <f t="shared" si="37"/>
        <v>NC</v>
      </c>
      <c r="S113" s="450"/>
      <c r="T113" s="300" t="str">
        <f>IF(S113=$AA$3,$I113,$J113)</f>
        <v>EB</v>
      </c>
      <c r="U113" s="2111">
        <v>0</v>
      </c>
      <c r="V113" s="298" t="str">
        <f>IF(S113=$AA$3,$I113,$K113)</f>
        <v>NC</v>
      </c>
      <c r="W113" s="2111">
        <v>0</v>
      </c>
      <c r="X113" s="302" t="str">
        <f t="shared" si="38"/>
        <v>EB</v>
      </c>
      <c r="Y113" s="299" t="str">
        <f t="shared" si="39"/>
        <v>NC</v>
      </c>
      <c r="Z113" s="205"/>
      <c r="AA113" s="265" t="e">
        <f>重み_前!M113</f>
        <v>#DIV/0!</v>
      </c>
      <c r="AB113" s="265" t="e">
        <f>重み_後!N113</f>
        <v>#DIV/0!</v>
      </c>
      <c r="AC113" s="235" t="e">
        <f>重み_前!D113</f>
        <v>#DIV/0!</v>
      </c>
      <c r="AD113" s="235"/>
      <c r="AE113" s="235" t="e">
        <f>重み_後!D113</f>
        <v>#DIV/0!</v>
      </c>
      <c r="AF113" s="235"/>
      <c r="AG113" s="235"/>
      <c r="AH113" s="236" t="e">
        <f>重み_前!N113</f>
        <v>#DIV/0!</v>
      </c>
      <c r="AI113" s="236" t="e">
        <f>重み_後!O113</f>
        <v>#DIV/0!</v>
      </c>
      <c r="AJ113" s="235" t="e">
        <f>重み_前!E113</f>
        <v>#DIV/0!</v>
      </c>
      <c r="AK113" s="235"/>
      <c r="AL113" s="235" t="e">
        <f>重み_後!E113</f>
        <v>#DIV/0!</v>
      </c>
    </row>
    <row r="114" spans="1:38" ht="14.25" thickBot="1">
      <c r="A114" s="399"/>
      <c r="B114" s="276"/>
      <c r="C114" s="411">
        <v>3.2</v>
      </c>
      <c r="D114" s="392" t="s">
        <v>741</v>
      </c>
      <c r="E114" s="412"/>
      <c r="F114" s="280" t="s">
        <v>722</v>
      </c>
      <c r="G114" s="280" t="s">
        <v>722</v>
      </c>
      <c r="H114" s="280" t="s">
        <v>602</v>
      </c>
      <c r="I114" s="280" t="s">
        <v>722</v>
      </c>
      <c r="J114" s="280" t="s">
        <v>722</v>
      </c>
      <c r="K114" s="298" t="s">
        <v>602</v>
      </c>
      <c r="L114" s="305"/>
      <c r="M114" s="351" t="str">
        <f>IF(L114=$AA$3,$I114,$J114)</f>
        <v>EB</v>
      </c>
      <c r="N114" s="318">
        <v>3</v>
      </c>
      <c r="O114" s="352" t="str">
        <f>IF(L114=$AA$3,$I114,$K114)</f>
        <v>NC</v>
      </c>
      <c r="P114" s="318">
        <v>3</v>
      </c>
      <c r="Q114" s="307" t="str">
        <f t="shared" si="36"/>
        <v>EB</v>
      </c>
      <c r="R114" s="305" t="str">
        <f t="shared" si="37"/>
        <v>NC</v>
      </c>
      <c r="S114" s="450"/>
      <c r="T114" s="351" t="str">
        <f>IF(S114=$AA$3,$I114,$J114)</f>
        <v>EB</v>
      </c>
      <c r="U114" s="293">
        <v>0</v>
      </c>
      <c r="V114" s="352" t="str">
        <f>IF(S114=$AA$3,$I114,$K114)</f>
        <v>NC</v>
      </c>
      <c r="W114" s="293">
        <v>0</v>
      </c>
      <c r="X114" s="307" t="str">
        <f t="shared" si="38"/>
        <v>EB</v>
      </c>
      <c r="Y114" s="305" t="str">
        <f t="shared" si="39"/>
        <v>NC</v>
      </c>
      <c r="Z114" s="205"/>
      <c r="AA114" s="265" t="e">
        <f>重み_前!M114</f>
        <v>#DIV/0!</v>
      </c>
      <c r="AB114" s="265" t="e">
        <f>重み_後!N114</f>
        <v>#DIV/0!</v>
      </c>
      <c r="AC114" s="235" t="e">
        <f>重み_前!D114</f>
        <v>#DIV/0!</v>
      </c>
      <c r="AD114" s="235"/>
      <c r="AE114" s="235" t="e">
        <f>重み_後!D114</f>
        <v>#DIV/0!</v>
      </c>
      <c r="AF114" s="235"/>
      <c r="AG114" s="235"/>
      <c r="AH114" s="236" t="e">
        <f>重み_前!N114</f>
        <v>#DIV/0!</v>
      </c>
      <c r="AI114" s="236" t="e">
        <f>重み_後!O114</f>
        <v>#DIV/0!</v>
      </c>
      <c r="AJ114" s="235" t="e">
        <f>重み_前!E114</f>
        <v>#DIV/0!</v>
      </c>
      <c r="AK114" s="235"/>
      <c r="AL114" s="235" t="e">
        <f>重み_後!E114</f>
        <v>#DIV/0!</v>
      </c>
    </row>
    <row r="115" spans="1:38" ht="14.25" hidden="1" thickBot="1">
      <c r="A115" s="399"/>
      <c r="B115" s="1803"/>
      <c r="C115" s="1804"/>
      <c r="D115" s="1805"/>
      <c r="E115" s="1806"/>
      <c r="F115" s="1807"/>
      <c r="G115" s="1807"/>
      <c r="H115" s="1807"/>
      <c r="I115" s="1807"/>
      <c r="J115" s="1807"/>
      <c r="K115" s="1808"/>
      <c r="L115" s="414"/>
      <c r="M115" s="415">
        <f>IF(L115=$AA$3,$I115,$J115)</f>
        <v>0</v>
      </c>
      <c r="N115" s="416"/>
      <c r="O115" s="417">
        <f>IF(L115=$AA$3,$I115,$K115)</f>
        <v>0</v>
      </c>
      <c r="P115" s="416"/>
      <c r="Q115" s="418">
        <f t="shared" si="36"/>
        <v>0</v>
      </c>
      <c r="R115" s="414">
        <f t="shared" si="37"/>
        <v>0</v>
      </c>
      <c r="S115" s="419"/>
      <c r="T115" s="415">
        <f>IF(S115=$AA$3,$I115,$J115)</f>
        <v>0</v>
      </c>
      <c r="U115" s="420"/>
      <c r="V115" s="413">
        <f>IF(S115=$AA$3,$I115,$K115)</f>
        <v>0</v>
      </c>
      <c r="W115" s="420"/>
      <c r="X115" s="418">
        <f t="shared" si="38"/>
        <v>0</v>
      </c>
      <c r="Y115" s="414">
        <f t="shared" si="39"/>
        <v>0</v>
      </c>
      <c r="Z115" s="205"/>
      <c r="AA115" s="265" t="e">
        <f>重み_前!M115</f>
        <v>#DIV/0!</v>
      </c>
      <c r="AB115" s="265">
        <f>重み_後!N115</f>
        <v>0</v>
      </c>
      <c r="AC115" s="235">
        <f>重み_前!D115</f>
        <v>0</v>
      </c>
      <c r="AD115" s="235"/>
      <c r="AE115" s="235">
        <f>重み_後!D115</f>
        <v>0</v>
      </c>
      <c r="AF115" s="235"/>
      <c r="AG115" s="235"/>
      <c r="AH115" s="236">
        <f>重み_前!N115</f>
        <v>0</v>
      </c>
      <c r="AI115" s="236">
        <f>重み_後!O115</f>
        <v>0</v>
      </c>
      <c r="AJ115" s="235">
        <f>重み_前!E115</f>
        <v>0</v>
      </c>
      <c r="AK115" s="235"/>
      <c r="AL115" s="235">
        <f>重み_後!E115</f>
        <v>0</v>
      </c>
    </row>
    <row r="116" spans="1:38" ht="15" thickBot="1">
      <c r="A116" s="399"/>
      <c r="B116" s="421" t="s">
        <v>742</v>
      </c>
      <c r="C116" s="422"/>
      <c r="D116" s="422"/>
      <c r="E116" s="422"/>
      <c r="F116" s="424"/>
      <c r="G116" s="424"/>
      <c r="H116" s="424"/>
      <c r="I116" s="424"/>
      <c r="J116" s="424"/>
      <c r="K116" s="423"/>
      <c r="L116" s="425"/>
      <c r="M116" s="423"/>
      <c r="N116" s="426"/>
      <c r="O116" s="258"/>
      <c r="P116" s="426"/>
      <c r="Q116" s="427"/>
      <c r="R116" s="428"/>
      <c r="S116" s="429"/>
      <c r="T116" s="423"/>
      <c r="U116" s="262"/>
      <c r="V116" s="423"/>
      <c r="W116" s="262"/>
      <c r="X116" s="427"/>
      <c r="Y116" s="428"/>
      <c r="Z116" s="205"/>
      <c r="AA116" s="265" t="e">
        <f>重み_前!M116</f>
        <v>#DIV/0!</v>
      </c>
      <c r="AB116" s="265">
        <f>重み_後!N116</f>
        <v>0</v>
      </c>
      <c r="AC116" s="235">
        <f>重み_前!D116</f>
        <v>0</v>
      </c>
      <c r="AD116" s="235"/>
      <c r="AE116" s="235">
        <f>重み_後!D116</f>
        <v>0</v>
      </c>
      <c r="AF116" s="235"/>
      <c r="AG116" s="235"/>
      <c r="AH116" s="236" t="e">
        <f>重み_前!N116</f>
        <v>#DIV/0!</v>
      </c>
      <c r="AI116" s="236">
        <f>重み_後!O116</f>
        <v>0</v>
      </c>
      <c r="AJ116" s="235">
        <f>重み_前!E116</f>
        <v>0</v>
      </c>
      <c r="AK116" s="235"/>
      <c r="AL116" s="235">
        <f>重み_後!E116</f>
        <v>0</v>
      </c>
    </row>
    <row r="117" spans="1:38" ht="14.25" thickBot="1">
      <c r="A117" s="399"/>
      <c r="B117" s="430" t="s">
        <v>743</v>
      </c>
      <c r="C117" s="267" t="s">
        <v>744</v>
      </c>
      <c r="D117" s="267"/>
      <c r="E117" s="267"/>
      <c r="F117" s="271"/>
      <c r="G117" s="271"/>
      <c r="H117" s="271"/>
      <c r="I117" s="271"/>
      <c r="J117" s="271"/>
      <c r="K117" s="269"/>
      <c r="L117" s="431"/>
      <c r="M117" s="274"/>
      <c r="N117" s="273"/>
      <c r="O117" s="432"/>
      <c r="P117" s="273"/>
      <c r="Q117" s="433"/>
      <c r="R117" s="434"/>
      <c r="S117" s="435"/>
      <c r="T117" s="274"/>
      <c r="U117" s="273"/>
      <c r="V117" s="432"/>
      <c r="W117" s="273"/>
      <c r="X117" s="433"/>
      <c r="Y117" s="434"/>
      <c r="Z117" s="205"/>
      <c r="AA117" s="265" t="e">
        <f>重み_前!M117</f>
        <v>#DIV/0!</v>
      </c>
      <c r="AB117" s="265" t="e">
        <f>重み_後!N117</f>
        <v>#DIV/0!</v>
      </c>
      <c r="AC117" s="235" t="e">
        <f>重み_前!D117</f>
        <v>#VALUE!</v>
      </c>
      <c r="AD117" s="235"/>
      <c r="AE117" s="235" t="e">
        <f>重み_後!D117</f>
        <v>#VALUE!</v>
      </c>
      <c r="AF117" s="235"/>
      <c r="AG117" s="235"/>
      <c r="AH117" s="236" t="e">
        <f>重み_前!N117</f>
        <v>#DIV/0!</v>
      </c>
      <c r="AI117" s="236" t="e">
        <f>重み_後!O117</f>
        <v>#DIV/0!</v>
      </c>
      <c r="AJ117" s="235" t="e">
        <f>重み_前!E117</f>
        <v>#DIV/0!</v>
      </c>
      <c r="AK117" s="235"/>
      <c r="AL117" s="235" t="e">
        <f>重み_後!E117</f>
        <v>#DIV/0!</v>
      </c>
    </row>
    <row r="118" spans="1:38" ht="14.25" thickBot="1">
      <c r="A118" s="399"/>
      <c r="B118" s="276">
        <v>1</v>
      </c>
      <c r="C118" s="278" t="s">
        <v>1503</v>
      </c>
      <c r="D118" s="278"/>
      <c r="E118" s="278"/>
      <c r="F118" s="280" t="s">
        <v>722</v>
      </c>
      <c r="G118" s="280" t="s">
        <v>722</v>
      </c>
      <c r="H118" s="280" t="s">
        <v>602</v>
      </c>
      <c r="I118" s="280" t="s">
        <v>722</v>
      </c>
      <c r="J118" s="280" t="s">
        <v>722</v>
      </c>
      <c r="K118" s="298" t="s">
        <v>602</v>
      </c>
      <c r="L118" s="437"/>
      <c r="M118" s="298" t="str">
        <f t="shared" ref="M118:M123" si="40">IF(L118=$AA$3,$I118,$J118)</f>
        <v>EB</v>
      </c>
      <c r="N118" s="2111"/>
      <c r="O118" s="438" t="str">
        <f t="shared" ref="O118:O123" si="41">IF(L118=$AA$3,$I118,$K118)</f>
        <v>NC</v>
      </c>
      <c r="P118" s="2111"/>
      <c r="Q118" s="439" t="str">
        <f t="shared" ref="Q118:Q136" si="42">IF(L118=$AA$3,$F118,$G118)</f>
        <v>EB</v>
      </c>
      <c r="R118" s="440" t="str">
        <f t="shared" ref="R118:R136" si="43">IF(L118=$AA$3,$F118,$H118)</f>
        <v>NC</v>
      </c>
      <c r="S118" s="450"/>
      <c r="T118" s="300" t="str">
        <f t="shared" ref="T118:T139" si="44">IF(S118=$AA$3,$I118,$J118)</f>
        <v>EB</v>
      </c>
      <c r="U118" s="2111"/>
      <c r="V118" s="298" t="str">
        <f t="shared" ref="V118:V131" si="45">IF(S118=$AA$3,$I118,$K118)</f>
        <v>NC</v>
      </c>
      <c r="W118" s="2111"/>
      <c r="X118" s="439" t="str">
        <f t="shared" ref="X118:X136" si="46">IF(S118=$AA$3,$F118,$G118)</f>
        <v>EB</v>
      </c>
      <c r="Y118" s="440" t="str">
        <f t="shared" ref="Y118:Y136" si="47">IF(S118=$AA$3,$F118,$H118)</f>
        <v>NC</v>
      </c>
      <c r="Z118" s="205"/>
      <c r="AA118" s="265" t="e">
        <f>重み_前!M118</f>
        <v>#DIV/0!</v>
      </c>
      <c r="AB118" s="265" t="e">
        <f>重み_後!N118</f>
        <v>#DIV/0!</v>
      </c>
      <c r="AC118" s="235" t="e">
        <f>重み_前!D118</f>
        <v>#DIV/0!</v>
      </c>
      <c r="AD118" s="235"/>
      <c r="AE118" s="235" t="e">
        <f>重み_後!D118</f>
        <v>#VALUE!</v>
      </c>
      <c r="AF118" s="235"/>
      <c r="AG118" s="235"/>
      <c r="AH118" s="236" t="e">
        <f>重み_前!N118</f>
        <v>#DIV/0!</v>
      </c>
      <c r="AI118" s="236" t="e">
        <f>重み_後!O118</f>
        <v>#DIV/0!</v>
      </c>
      <c r="AJ118" s="235" t="e">
        <f>重み_前!E118</f>
        <v>#DIV/0!</v>
      </c>
      <c r="AK118" s="235"/>
      <c r="AL118" s="235" t="e">
        <f>重み_後!E118</f>
        <v>#DIV/0!</v>
      </c>
    </row>
    <row r="119" spans="1:38" ht="14.25" thickBot="1">
      <c r="A119" s="399"/>
      <c r="B119" s="441">
        <v>2</v>
      </c>
      <c r="C119" s="319" t="s">
        <v>745</v>
      </c>
      <c r="D119" s="319"/>
      <c r="E119" s="319"/>
      <c r="F119" s="280" t="s">
        <v>722</v>
      </c>
      <c r="G119" s="280" t="s">
        <v>722</v>
      </c>
      <c r="H119" s="280" t="s">
        <v>602</v>
      </c>
      <c r="I119" s="280" t="s">
        <v>722</v>
      </c>
      <c r="J119" s="280" t="s">
        <v>722</v>
      </c>
      <c r="K119" s="298" t="s">
        <v>602</v>
      </c>
      <c r="L119" s="2438"/>
      <c r="M119" s="300" t="str">
        <f t="shared" si="40"/>
        <v>EB</v>
      </c>
      <c r="N119" s="2111"/>
      <c r="O119" s="298" t="str">
        <f t="shared" si="41"/>
        <v>NC</v>
      </c>
      <c r="P119" s="2111"/>
      <c r="Q119" s="446" t="str">
        <f t="shared" ref="Q119" si="48">IF(L119=$AA$3,$F119,$G119)</f>
        <v>EB</v>
      </c>
      <c r="R119" s="444" t="str">
        <f t="shared" ref="R119" si="49">IF(L119=$AA$3,$F119,$H119)</f>
        <v>NC</v>
      </c>
      <c r="S119" s="450"/>
      <c r="T119" s="300" t="str">
        <f t="shared" si="44"/>
        <v>EB</v>
      </c>
      <c r="U119" s="2111"/>
      <c r="V119" s="298" t="str">
        <f t="shared" si="45"/>
        <v>NC</v>
      </c>
      <c r="W119" s="2111"/>
      <c r="X119" s="446" t="str">
        <f t="shared" ref="X119" si="50">IF(S119=$AA$3,$F119,$G119)</f>
        <v>EB</v>
      </c>
      <c r="Y119" s="444" t="str">
        <f t="shared" ref="Y119" si="51">IF(S119=$AA$3,$F119,$H119)</f>
        <v>NC</v>
      </c>
      <c r="Z119" s="205"/>
      <c r="AA119" s="265" t="e">
        <f>重み_前!M119</f>
        <v>#DIV/0!</v>
      </c>
      <c r="AB119" s="265" t="e">
        <f>重み_後!N119</f>
        <v>#DIV/0!</v>
      </c>
      <c r="AC119" s="235" t="e">
        <f>重み_前!D119</f>
        <v>#DIV/0!</v>
      </c>
      <c r="AD119" s="235"/>
      <c r="AE119" s="235" t="e">
        <f>重み_後!D119</f>
        <v>#VALUE!</v>
      </c>
      <c r="AF119" s="235"/>
      <c r="AG119" s="235"/>
      <c r="AH119" s="236" t="e">
        <f>重み_前!N119</f>
        <v>#DIV/0!</v>
      </c>
      <c r="AI119" s="236" t="e">
        <f>重み_後!O119</f>
        <v>#DIV/0!</v>
      </c>
      <c r="AJ119" s="235" t="e">
        <f>重み_前!E119</f>
        <v>#DIV/0!</v>
      </c>
      <c r="AK119" s="235"/>
      <c r="AL119" s="235" t="e">
        <f>重み_後!E119</f>
        <v>#DIV/0!</v>
      </c>
    </row>
    <row r="120" spans="1:38" ht="14.25" thickBot="1">
      <c r="A120" s="399"/>
      <c r="B120" s="443"/>
      <c r="C120" s="2426" t="s">
        <v>1790</v>
      </c>
      <c r="D120" s="392" t="s">
        <v>1797</v>
      </c>
      <c r="E120" s="319"/>
      <c r="F120" s="280" t="s">
        <v>722</v>
      </c>
      <c r="G120" s="280" t="s">
        <v>722</v>
      </c>
      <c r="H120" s="280" t="s">
        <v>602</v>
      </c>
      <c r="I120" s="280" t="s">
        <v>722</v>
      </c>
      <c r="J120" s="280" t="s">
        <v>722</v>
      </c>
      <c r="K120" s="298" t="s">
        <v>602</v>
      </c>
      <c r="L120" s="2437" t="str">
        <f>IF(L119="","",L119)</f>
        <v/>
      </c>
      <c r="M120" s="300" t="str">
        <f t="shared" si="40"/>
        <v>EB</v>
      </c>
      <c r="N120" s="445">
        <v>3</v>
      </c>
      <c r="O120" s="298" t="str">
        <f t="shared" si="41"/>
        <v>NC</v>
      </c>
      <c r="P120" s="445">
        <v>3</v>
      </c>
      <c r="Q120" s="446" t="str">
        <f t="shared" si="42"/>
        <v>EB</v>
      </c>
      <c r="R120" s="444" t="str">
        <f t="shared" si="43"/>
        <v>NC</v>
      </c>
      <c r="S120" s="450"/>
      <c r="T120" s="300" t="str">
        <f t="shared" si="44"/>
        <v>EB</v>
      </c>
      <c r="U120" s="2111"/>
      <c r="V120" s="298" t="str">
        <f t="shared" si="45"/>
        <v>NC</v>
      </c>
      <c r="W120" s="2111"/>
      <c r="X120" s="446" t="str">
        <f t="shared" si="46"/>
        <v>EB</v>
      </c>
      <c r="Y120" s="444" t="str">
        <f t="shared" si="47"/>
        <v>NC</v>
      </c>
      <c r="Z120" s="205"/>
      <c r="AA120" s="265" t="e">
        <f>重み_前!M120</f>
        <v>#DIV/0!</v>
      </c>
      <c r="AB120" s="265" t="e">
        <f>重み_後!N120</f>
        <v>#DIV/0!</v>
      </c>
      <c r="AC120" s="235" t="e">
        <f>重み_前!D120</f>
        <v>#DIV/0!</v>
      </c>
      <c r="AD120" s="235"/>
      <c r="AE120" s="235" t="e">
        <f>重み_後!D120</f>
        <v>#DIV/0!</v>
      </c>
      <c r="AF120" s="235"/>
      <c r="AG120" s="235"/>
      <c r="AH120" s="236" t="e">
        <f>重み_前!N120</f>
        <v>#DIV/0!</v>
      </c>
      <c r="AI120" s="236" t="e">
        <f>重み_後!O120</f>
        <v>#DIV/0!</v>
      </c>
      <c r="AJ120" s="235" t="e">
        <f>重み_前!E120</f>
        <v>#DIV/0!</v>
      </c>
      <c r="AK120" s="235"/>
      <c r="AL120" s="235" t="e">
        <f>重み_後!E120</f>
        <v>#DIV/0!</v>
      </c>
    </row>
    <row r="121" spans="1:38" ht="14.25" thickBot="1">
      <c r="A121" s="399"/>
      <c r="B121" s="443"/>
      <c r="C121" s="2426" t="s">
        <v>1792</v>
      </c>
      <c r="D121" s="392" t="s">
        <v>1798</v>
      </c>
      <c r="E121" s="319"/>
      <c r="F121" s="280" t="s">
        <v>657</v>
      </c>
      <c r="G121" s="280" t="s">
        <v>657</v>
      </c>
      <c r="H121" s="280" t="s">
        <v>658</v>
      </c>
      <c r="I121" s="280" t="s">
        <v>722</v>
      </c>
      <c r="J121" s="280" t="s">
        <v>722</v>
      </c>
      <c r="K121" s="298" t="s">
        <v>602</v>
      </c>
      <c r="L121" s="2437" t="str">
        <f>IF(L119="","",L119)</f>
        <v/>
      </c>
      <c r="M121" s="300" t="str">
        <f t="shared" si="40"/>
        <v>EB</v>
      </c>
      <c r="N121" s="445">
        <v>3</v>
      </c>
      <c r="O121" s="298" t="str">
        <f t="shared" si="41"/>
        <v>NC</v>
      </c>
      <c r="P121" s="445">
        <v>3</v>
      </c>
      <c r="Q121" s="446" t="str">
        <f t="shared" ref="Q121" si="52">IF(L121=$AA$3,$F121,$G121)</f>
        <v>EB</v>
      </c>
      <c r="R121" s="444" t="str">
        <f t="shared" ref="R121" si="53">IF(L121=$AA$3,$F121,$H121)</f>
        <v>NC</v>
      </c>
      <c r="S121" s="450"/>
      <c r="T121" s="300" t="str">
        <f t="shared" si="44"/>
        <v>EB</v>
      </c>
      <c r="U121" s="2111"/>
      <c r="V121" s="298" t="str">
        <f t="shared" ref="V121" si="54">IF(S121=$AA$3,$I121,$K121)</f>
        <v>NC</v>
      </c>
      <c r="W121" s="2111"/>
      <c r="X121" s="334" t="str">
        <f t="shared" si="46"/>
        <v>EB</v>
      </c>
      <c r="Y121" s="335" t="str">
        <f t="shared" si="47"/>
        <v>NC</v>
      </c>
      <c r="Z121" s="205"/>
      <c r="AA121" s="265" t="e">
        <f>重み_前!M121</f>
        <v>#DIV/0!</v>
      </c>
      <c r="AB121" s="265" t="e">
        <f>重み_後!N121</f>
        <v>#DIV/0!</v>
      </c>
      <c r="AC121" s="235" t="e">
        <f>重み_前!D121</f>
        <v>#DIV/0!</v>
      </c>
      <c r="AD121" s="235"/>
      <c r="AE121" s="235" t="e">
        <f>重み_後!D121</f>
        <v>#DIV/0!</v>
      </c>
      <c r="AF121" s="235"/>
      <c r="AG121" s="235"/>
      <c r="AH121" s="236" t="e">
        <f>重み_前!N121</f>
        <v>#DIV/0!</v>
      </c>
      <c r="AI121" s="236" t="e">
        <f>重み_後!O121</f>
        <v>#DIV/0!</v>
      </c>
      <c r="AJ121" s="235" t="e">
        <f>重み_前!E121</f>
        <v>#DIV/0!</v>
      </c>
      <c r="AK121" s="235"/>
      <c r="AL121" s="235" t="e">
        <f>重み_後!E121</f>
        <v>#DIV/0!</v>
      </c>
    </row>
    <row r="122" spans="1:38" ht="14.25" hidden="1" thickBot="1">
      <c r="A122" s="399"/>
      <c r="B122" s="443"/>
      <c r="C122" s="447"/>
      <c r="D122" s="392"/>
      <c r="E122" s="319"/>
      <c r="F122" s="280" t="s">
        <v>657</v>
      </c>
      <c r="G122" s="280" t="s">
        <v>722</v>
      </c>
      <c r="H122" s="280" t="s">
        <v>602</v>
      </c>
      <c r="I122" s="280" t="s">
        <v>657</v>
      </c>
      <c r="J122" s="280" t="s">
        <v>722</v>
      </c>
      <c r="K122" s="298" t="s">
        <v>602</v>
      </c>
      <c r="L122" s="299"/>
      <c r="M122" s="300" t="str">
        <f t="shared" si="40"/>
        <v>EB</v>
      </c>
      <c r="N122" s="404">
        <v>0</v>
      </c>
      <c r="O122" s="298" t="str">
        <f t="shared" si="41"/>
        <v>NC</v>
      </c>
      <c r="P122" s="404">
        <v>0</v>
      </c>
      <c r="Q122" s="446" t="str">
        <f t="shared" si="42"/>
        <v>EB</v>
      </c>
      <c r="R122" s="444" t="str">
        <f t="shared" si="43"/>
        <v>NC</v>
      </c>
      <c r="S122" s="450"/>
      <c r="T122" s="300" t="str">
        <f t="shared" si="44"/>
        <v>EB</v>
      </c>
      <c r="U122" s="2111"/>
      <c r="V122" s="298" t="str">
        <f t="shared" si="45"/>
        <v>NC</v>
      </c>
      <c r="W122" s="2111"/>
      <c r="X122" s="446" t="str">
        <f t="shared" si="46"/>
        <v>EB</v>
      </c>
      <c r="Y122" s="444" t="str">
        <f t="shared" si="47"/>
        <v>NC</v>
      </c>
      <c r="Z122" s="205"/>
      <c r="AA122" s="265" t="e">
        <f>重み_前!M122</f>
        <v>#DIV/0!</v>
      </c>
      <c r="AB122" s="265">
        <f>重み_後!N122</f>
        <v>0</v>
      </c>
      <c r="AC122" s="235">
        <f>重み_前!D122</f>
        <v>0</v>
      </c>
      <c r="AD122" s="235"/>
      <c r="AE122" s="235">
        <f>重み_後!D122</f>
        <v>0</v>
      </c>
      <c r="AF122" s="235"/>
      <c r="AG122" s="235"/>
      <c r="AH122" s="236" t="e">
        <f>重み_前!N122</f>
        <v>#DIV/0!</v>
      </c>
      <c r="AI122" s="236">
        <f>重み_後!O122</f>
        <v>0</v>
      </c>
      <c r="AJ122" s="235">
        <f>重み_前!E122</f>
        <v>0</v>
      </c>
      <c r="AK122" s="235"/>
      <c r="AL122" s="235">
        <f>重み_後!E122</f>
        <v>0</v>
      </c>
    </row>
    <row r="123" spans="1:38" ht="14.25" hidden="1" thickBot="1">
      <c r="A123" s="399"/>
      <c r="B123" s="448"/>
      <c r="C123" s="447"/>
      <c r="D123" s="392"/>
      <c r="E123" s="319"/>
      <c r="F123" s="280" t="s">
        <v>722</v>
      </c>
      <c r="G123" s="280" t="s">
        <v>722</v>
      </c>
      <c r="H123" s="280" t="s">
        <v>602</v>
      </c>
      <c r="I123" s="280" t="s">
        <v>722</v>
      </c>
      <c r="J123" s="280" t="s">
        <v>722</v>
      </c>
      <c r="K123" s="298" t="s">
        <v>602</v>
      </c>
      <c r="L123" s="305"/>
      <c r="M123" s="449" t="str">
        <f t="shared" si="40"/>
        <v>EB</v>
      </c>
      <c r="N123" s="318">
        <v>0</v>
      </c>
      <c r="O123" s="449" t="str">
        <f t="shared" si="41"/>
        <v>NC</v>
      </c>
      <c r="P123" s="318">
        <v>0</v>
      </c>
      <c r="Q123" s="446" t="str">
        <f t="shared" si="42"/>
        <v>EB</v>
      </c>
      <c r="R123" s="444" t="str">
        <f t="shared" si="43"/>
        <v>NC</v>
      </c>
      <c r="S123" s="450"/>
      <c r="T123" s="300" t="str">
        <f t="shared" si="44"/>
        <v>EB</v>
      </c>
      <c r="U123" s="2111"/>
      <c r="V123" s="298" t="str">
        <f t="shared" si="45"/>
        <v>NC</v>
      </c>
      <c r="W123" s="2111"/>
      <c r="X123" s="446" t="str">
        <f t="shared" si="46"/>
        <v>EB</v>
      </c>
      <c r="Y123" s="444" t="str">
        <f t="shared" si="47"/>
        <v>NC</v>
      </c>
      <c r="Z123" s="205"/>
      <c r="AA123" s="265" t="e">
        <f>重み_前!M123</f>
        <v>#DIV/0!</v>
      </c>
      <c r="AB123" s="265">
        <f>重み_後!N123</f>
        <v>0</v>
      </c>
      <c r="AC123" s="235">
        <f>重み_前!D123</f>
        <v>0</v>
      </c>
      <c r="AD123" s="235"/>
      <c r="AE123" s="235">
        <f>重み_後!D123</f>
        <v>0</v>
      </c>
      <c r="AF123" s="235"/>
      <c r="AG123" s="235"/>
      <c r="AH123" s="236" t="e">
        <f>重み_前!N123</f>
        <v>#DIV/0!</v>
      </c>
      <c r="AI123" s="236">
        <f>重み_後!O123</f>
        <v>0</v>
      </c>
      <c r="AJ123" s="235">
        <f>重み_前!E123</f>
        <v>0</v>
      </c>
      <c r="AK123" s="235"/>
      <c r="AL123" s="235">
        <f>重み_後!E123</f>
        <v>0</v>
      </c>
    </row>
    <row r="124" spans="1:38" ht="14.25" thickBot="1">
      <c r="A124" s="399"/>
      <c r="B124" s="441">
        <v>3</v>
      </c>
      <c r="C124" s="319" t="s">
        <v>748</v>
      </c>
      <c r="D124" s="319"/>
      <c r="E124" s="319"/>
      <c r="F124" s="280" t="s">
        <v>722</v>
      </c>
      <c r="G124" s="375" t="s">
        <v>602</v>
      </c>
      <c r="H124" s="280" t="s">
        <v>602</v>
      </c>
      <c r="I124" s="327"/>
      <c r="J124" s="327"/>
      <c r="K124" s="328"/>
      <c r="L124" s="444"/>
      <c r="M124" s="450"/>
      <c r="N124" s="390"/>
      <c r="O124" s="451"/>
      <c r="P124" s="390"/>
      <c r="Q124" s="452" t="str">
        <f t="shared" si="42"/>
        <v>NC</v>
      </c>
      <c r="R124" s="453" t="str">
        <f t="shared" si="43"/>
        <v>NC</v>
      </c>
      <c r="S124" s="450"/>
      <c r="T124" s="300">
        <f t="shared" si="44"/>
        <v>0</v>
      </c>
      <c r="U124" s="2111"/>
      <c r="V124" s="298">
        <f t="shared" si="45"/>
        <v>0</v>
      </c>
      <c r="W124" s="2111"/>
      <c r="X124" s="452" t="str">
        <f t="shared" si="46"/>
        <v>NC</v>
      </c>
      <c r="Y124" s="453" t="str">
        <f t="shared" si="47"/>
        <v>NC</v>
      </c>
      <c r="Z124" s="205"/>
      <c r="AA124" s="265" t="e">
        <f>重み_前!M124</f>
        <v>#DIV/0!</v>
      </c>
      <c r="AB124" s="265" t="e">
        <f>重み_後!N124</f>
        <v>#DIV/0!</v>
      </c>
      <c r="AC124" s="235" t="e">
        <f>重み_前!D124</f>
        <v>#DIV/0!</v>
      </c>
      <c r="AD124" s="235"/>
      <c r="AE124" s="235" t="e">
        <f>重み_後!D124</f>
        <v>#VALUE!</v>
      </c>
      <c r="AF124" s="235"/>
      <c r="AG124" s="235"/>
      <c r="AH124" s="236" t="e">
        <f>重み_前!N124</f>
        <v>#DIV/0!</v>
      </c>
      <c r="AI124" s="236" t="e">
        <f>重み_後!O124</f>
        <v>#DIV/0!</v>
      </c>
      <c r="AJ124" s="235" t="e">
        <f>重み_前!E124</f>
        <v>#DIV/0!</v>
      </c>
      <c r="AK124" s="235"/>
      <c r="AL124" s="235" t="e">
        <f>重み_後!E124</f>
        <v>#DIV/0!</v>
      </c>
    </row>
    <row r="125" spans="1:38" ht="14.25" thickBot="1">
      <c r="A125" s="399"/>
      <c r="B125" s="443"/>
      <c r="C125" s="411">
        <v>3.1</v>
      </c>
      <c r="D125" s="392" t="s">
        <v>1763</v>
      </c>
      <c r="E125" s="319"/>
      <c r="F125" s="280" t="s">
        <v>722</v>
      </c>
      <c r="G125" s="375" t="s">
        <v>602</v>
      </c>
      <c r="H125" s="280" t="s">
        <v>602</v>
      </c>
      <c r="I125" s="280" t="s">
        <v>722</v>
      </c>
      <c r="J125" s="375" t="s">
        <v>602</v>
      </c>
      <c r="K125" s="280" t="s">
        <v>602</v>
      </c>
      <c r="L125" s="2437" t="str">
        <f>IF(L124="","",L124)</f>
        <v/>
      </c>
      <c r="M125" s="329" t="str">
        <f t="shared" ref="M125:M131" si="55">IF(L125=$AA$3,$I125,$J125)</f>
        <v>NC</v>
      </c>
      <c r="N125" s="2111"/>
      <c r="O125" s="328" t="str">
        <f t="shared" ref="O125:O131" si="56">IF(L125=$AA$3,$I125,$K125)</f>
        <v>NC</v>
      </c>
      <c r="P125" s="2111"/>
      <c r="Q125" s="307" t="str">
        <f t="shared" si="42"/>
        <v>NC</v>
      </c>
      <c r="R125" s="305" t="str">
        <f t="shared" si="43"/>
        <v>NC</v>
      </c>
      <c r="S125" s="450"/>
      <c r="T125" s="300" t="str">
        <f t="shared" si="44"/>
        <v>NC</v>
      </c>
      <c r="U125" s="2111"/>
      <c r="V125" s="298" t="str">
        <f t="shared" si="45"/>
        <v>NC</v>
      </c>
      <c r="W125" s="390"/>
      <c r="X125" s="307" t="str">
        <f t="shared" si="46"/>
        <v>NC</v>
      </c>
      <c r="Y125" s="305" t="str">
        <f t="shared" si="47"/>
        <v>NC</v>
      </c>
      <c r="Z125" s="205"/>
      <c r="AA125" s="265" t="e">
        <f>重み_前!M125</f>
        <v>#DIV/0!</v>
      </c>
      <c r="AB125" s="265" t="e">
        <f>重み_後!N125</f>
        <v>#DIV/0!</v>
      </c>
      <c r="AC125" s="235" t="e">
        <f>重み_前!D125</f>
        <v>#DIV/0!</v>
      </c>
      <c r="AD125" s="235"/>
      <c r="AE125" s="235" t="e">
        <f>重み_後!D125</f>
        <v>#DIV/0!</v>
      </c>
      <c r="AF125" s="235"/>
      <c r="AG125" s="235"/>
      <c r="AH125" s="236" t="e">
        <f>重み_前!N125</f>
        <v>#DIV/0!</v>
      </c>
      <c r="AI125" s="236" t="e">
        <f>重み_後!O125</f>
        <v>#DIV/0!</v>
      </c>
      <c r="AJ125" s="235" t="e">
        <f>重み_前!E125</f>
        <v>#DIV/0!</v>
      </c>
      <c r="AK125" s="235"/>
      <c r="AL125" s="235" t="e">
        <f>重み_後!E125</f>
        <v>#DIV/0!</v>
      </c>
    </row>
    <row r="126" spans="1:38" ht="14.25" thickBot="1">
      <c r="A126" s="399"/>
      <c r="B126" s="443"/>
      <c r="C126" s="408">
        <v>3.1</v>
      </c>
      <c r="D126" s="392" t="s">
        <v>1764</v>
      </c>
      <c r="E126" s="319"/>
      <c r="F126" s="280" t="s">
        <v>722</v>
      </c>
      <c r="G126" s="375" t="s">
        <v>602</v>
      </c>
      <c r="H126" s="280" t="s">
        <v>602</v>
      </c>
      <c r="I126" s="280" t="s">
        <v>722</v>
      </c>
      <c r="J126" s="375" t="s">
        <v>602</v>
      </c>
      <c r="K126" s="280" t="s">
        <v>602</v>
      </c>
      <c r="L126" s="2437" t="str">
        <f>IF(L124="","",L124)</f>
        <v/>
      </c>
      <c r="M126" s="300" t="str">
        <f>IF(L126=$AA$3,$I126,$J126)</f>
        <v>NC</v>
      </c>
      <c r="N126" s="325"/>
      <c r="O126" s="328" t="str">
        <f t="shared" si="56"/>
        <v>NC</v>
      </c>
      <c r="P126" s="325"/>
      <c r="Q126" s="307" t="str">
        <f t="shared" si="42"/>
        <v>NC</v>
      </c>
      <c r="R126" s="305" t="str">
        <f t="shared" si="43"/>
        <v>NC</v>
      </c>
      <c r="S126" s="450"/>
      <c r="T126" s="300" t="str">
        <f t="shared" si="44"/>
        <v>NC</v>
      </c>
      <c r="U126" s="2111"/>
      <c r="V126" s="298" t="str">
        <f t="shared" si="45"/>
        <v>NC</v>
      </c>
      <c r="W126" s="390"/>
      <c r="X126" s="307" t="str">
        <f t="shared" si="46"/>
        <v>NC</v>
      </c>
      <c r="Y126" s="305" t="str">
        <f t="shared" si="47"/>
        <v>NC</v>
      </c>
      <c r="Z126" s="205"/>
      <c r="AA126" s="265" t="e">
        <f>重み_前!M126</f>
        <v>#DIV/0!</v>
      </c>
      <c r="AB126" s="265" t="e">
        <f>重み_後!N126</f>
        <v>#DIV/0!</v>
      </c>
      <c r="AC126" s="235" t="e">
        <f>重み_前!D126</f>
        <v>#DIV/0!</v>
      </c>
      <c r="AD126" s="235"/>
      <c r="AE126" s="235" t="e">
        <f>重み_後!D126</f>
        <v>#DIV/0!</v>
      </c>
      <c r="AF126" s="235"/>
      <c r="AG126" s="235"/>
      <c r="AH126" s="236" t="e">
        <f>重み_前!N126</f>
        <v>#DIV/0!</v>
      </c>
      <c r="AI126" s="236" t="e">
        <f>重み_後!O126</f>
        <v>#DIV/0!</v>
      </c>
      <c r="AJ126" s="235" t="e">
        <f>重み_前!E126</f>
        <v>#DIV/0!</v>
      </c>
      <c r="AK126" s="235"/>
      <c r="AL126" s="235" t="e">
        <f>重み_後!E126</f>
        <v>#DIV/0!</v>
      </c>
    </row>
    <row r="127" spans="1:38" ht="14.25" hidden="1" thickBot="1">
      <c r="A127" s="399"/>
      <c r="B127" s="455"/>
      <c r="C127" s="2410">
        <v>3.1</v>
      </c>
      <c r="D127" s="2411" t="s">
        <v>749</v>
      </c>
      <c r="E127" s="2082"/>
      <c r="F127" s="280" t="s">
        <v>722</v>
      </c>
      <c r="G127" s="327" t="s">
        <v>137</v>
      </c>
      <c r="H127" s="280" t="s">
        <v>602</v>
      </c>
      <c r="I127" s="280" t="s">
        <v>722</v>
      </c>
      <c r="J127" s="280" t="s">
        <v>722</v>
      </c>
      <c r="K127" s="280" t="s">
        <v>602</v>
      </c>
      <c r="L127" s="335"/>
      <c r="M127" s="329" t="str">
        <f t="shared" si="55"/>
        <v>EB</v>
      </c>
      <c r="N127" s="293"/>
      <c r="O127" s="328" t="str">
        <f t="shared" si="56"/>
        <v>NC</v>
      </c>
      <c r="P127" s="293"/>
      <c r="Q127" s="307" t="str">
        <f t="shared" si="42"/>
        <v>NC</v>
      </c>
      <c r="R127" s="305" t="str">
        <f t="shared" si="43"/>
        <v>NC</v>
      </c>
      <c r="S127" s="450"/>
      <c r="T127" s="300" t="str">
        <f t="shared" si="44"/>
        <v>EB</v>
      </c>
      <c r="U127" s="2111"/>
      <c r="V127" s="298" t="str">
        <f t="shared" si="45"/>
        <v>NC</v>
      </c>
      <c r="W127" s="390"/>
      <c r="X127" s="307" t="str">
        <f t="shared" si="46"/>
        <v>NC</v>
      </c>
      <c r="Y127" s="305" t="str">
        <f t="shared" si="47"/>
        <v>NC</v>
      </c>
      <c r="Z127" s="205"/>
      <c r="AA127" s="265" t="e">
        <f>重み_前!M127</f>
        <v>#DIV/0!</v>
      </c>
      <c r="AB127" s="265">
        <f>重み_後!N127</f>
        <v>0</v>
      </c>
      <c r="AC127" s="235">
        <f>重み_前!D127</f>
        <v>0</v>
      </c>
      <c r="AD127" s="235"/>
      <c r="AE127" s="235">
        <f>重み_後!D127</f>
        <v>0</v>
      </c>
      <c r="AF127" s="235"/>
      <c r="AG127" s="235"/>
      <c r="AH127" s="236" t="e">
        <f>重み_前!N127</f>
        <v>#DIV/0!</v>
      </c>
      <c r="AI127" s="236">
        <f>重み_後!O127</f>
        <v>0</v>
      </c>
      <c r="AJ127" s="235">
        <f>重み_前!E127</f>
        <v>0</v>
      </c>
      <c r="AK127" s="235"/>
      <c r="AL127" s="235">
        <f>重み_後!E127</f>
        <v>0</v>
      </c>
    </row>
    <row r="128" spans="1:38" ht="14.25" hidden="1" thickBot="1">
      <c r="A128" s="399"/>
      <c r="B128" s="455"/>
      <c r="C128" s="2410">
        <v>3.2</v>
      </c>
      <c r="D128" s="2411" t="s">
        <v>750</v>
      </c>
      <c r="E128" s="2082"/>
      <c r="F128" s="280" t="s">
        <v>722</v>
      </c>
      <c r="G128" s="327" t="s">
        <v>137</v>
      </c>
      <c r="H128" s="280" t="s">
        <v>602</v>
      </c>
      <c r="I128" s="280" t="s">
        <v>722</v>
      </c>
      <c r="J128" s="280" t="s">
        <v>722</v>
      </c>
      <c r="K128" s="374" t="s">
        <v>602</v>
      </c>
      <c r="L128" s="335"/>
      <c r="M128" s="329" t="str">
        <f t="shared" si="55"/>
        <v>EB</v>
      </c>
      <c r="N128" s="390"/>
      <c r="O128" s="451" t="str">
        <f t="shared" si="56"/>
        <v>NC</v>
      </c>
      <c r="P128" s="390"/>
      <c r="Q128" s="307" t="str">
        <f t="shared" si="42"/>
        <v>NC</v>
      </c>
      <c r="R128" s="305" t="str">
        <f t="shared" si="43"/>
        <v>NC</v>
      </c>
      <c r="S128" s="450"/>
      <c r="T128" s="300" t="str">
        <f t="shared" si="44"/>
        <v>EB</v>
      </c>
      <c r="U128" s="2111"/>
      <c r="V128" s="298" t="str">
        <f t="shared" si="45"/>
        <v>NC</v>
      </c>
      <c r="W128" s="390"/>
      <c r="X128" s="307" t="str">
        <f t="shared" si="46"/>
        <v>NC</v>
      </c>
      <c r="Y128" s="305" t="str">
        <f t="shared" si="47"/>
        <v>NC</v>
      </c>
      <c r="Z128" s="205"/>
      <c r="AA128" s="265" t="e">
        <f>重み_前!M128</f>
        <v>#DIV/0!</v>
      </c>
      <c r="AB128" s="265">
        <f>重み_後!N128</f>
        <v>0</v>
      </c>
      <c r="AC128" s="235">
        <f>重み_前!D128</f>
        <v>0</v>
      </c>
      <c r="AD128" s="235"/>
      <c r="AE128" s="235">
        <f>重み_後!D128</f>
        <v>0</v>
      </c>
      <c r="AF128" s="235"/>
      <c r="AG128" s="235"/>
      <c r="AH128" s="236" t="e">
        <f>重み_前!N128</f>
        <v>#DIV/0!</v>
      </c>
      <c r="AI128" s="236">
        <f>重み_後!O128</f>
        <v>0</v>
      </c>
      <c r="AJ128" s="235">
        <f>重み_前!E128</f>
        <v>0</v>
      </c>
      <c r="AK128" s="235"/>
      <c r="AL128" s="235">
        <f>重み_後!E128</f>
        <v>0</v>
      </c>
    </row>
    <row r="129" spans="1:38" ht="14.25" hidden="1" thickBot="1">
      <c r="A129" s="399"/>
      <c r="B129" s="455"/>
      <c r="C129" s="2410">
        <v>3.3</v>
      </c>
      <c r="D129" s="2411" t="s">
        <v>751</v>
      </c>
      <c r="E129" s="2082"/>
      <c r="F129" s="280" t="s">
        <v>722</v>
      </c>
      <c r="G129" s="327" t="s">
        <v>137</v>
      </c>
      <c r="H129" s="280" t="s">
        <v>602</v>
      </c>
      <c r="I129" s="280" t="s">
        <v>722</v>
      </c>
      <c r="J129" s="280" t="s">
        <v>722</v>
      </c>
      <c r="K129" s="374" t="s">
        <v>602</v>
      </c>
      <c r="L129" s="335"/>
      <c r="M129" s="329" t="str">
        <f t="shared" si="55"/>
        <v>EB</v>
      </c>
      <c r="N129" s="293"/>
      <c r="O129" s="328" t="str">
        <f t="shared" si="56"/>
        <v>NC</v>
      </c>
      <c r="P129" s="293"/>
      <c r="Q129" s="307" t="str">
        <f t="shared" si="42"/>
        <v>NC</v>
      </c>
      <c r="R129" s="305" t="str">
        <f t="shared" si="43"/>
        <v>NC</v>
      </c>
      <c r="S129" s="450"/>
      <c r="T129" s="300" t="str">
        <f t="shared" si="44"/>
        <v>EB</v>
      </c>
      <c r="U129" s="2111"/>
      <c r="V129" s="298" t="str">
        <f t="shared" si="45"/>
        <v>NC</v>
      </c>
      <c r="W129" s="390"/>
      <c r="X129" s="307" t="str">
        <f t="shared" si="46"/>
        <v>NC</v>
      </c>
      <c r="Y129" s="305" t="str">
        <f t="shared" si="47"/>
        <v>NC</v>
      </c>
      <c r="Z129" s="205"/>
      <c r="AA129" s="265" t="e">
        <f>重み_前!M129</f>
        <v>#DIV/0!</v>
      </c>
      <c r="AB129" s="265">
        <f>重み_後!N129</f>
        <v>0</v>
      </c>
      <c r="AC129" s="235">
        <f>重み_前!D129</f>
        <v>0</v>
      </c>
      <c r="AD129" s="235"/>
      <c r="AE129" s="235">
        <f>重み_後!D129</f>
        <v>0</v>
      </c>
      <c r="AF129" s="235"/>
      <c r="AG129" s="235"/>
      <c r="AH129" s="236" t="e">
        <f>重み_前!N129</f>
        <v>#DIV/0!</v>
      </c>
      <c r="AI129" s="236">
        <f>重み_後!O129</f>
        <v>0</v>
      </c>
      <c r="AJ129" s="235">
        <f>重み_前!E129</f>
        <v>0</v>
      </c>
      <c r="AK129" s="235"/>
      <c r="AL129" s="235">
        <f>重み_後!E129</f>
        <v>0</v>
      </c>
    </row>
    <row r="130" spans="1:38" ht="14.25" hidden="1" thickBot="1">
      <c r="A130" s="399"/>
      <c r="B130" s="455"/>
      <c r="C130" s="2410">
        <v>3.4</v>
      </c>
      <c r="D130" s="2411" t="s">
        <v>365</v>
      </c>
      <c r="E130" s="2082"/>
      <c r="F130" s="280" t="s">
        <v>722</v>
      </c>
      <c r="G130" s="327" t="s">
        <v>137</v>
      </c>
      <c r="H130" s="280" t="s">
        <v>602</v>
      </c>
      <c r="I130" s="280" t="s">
        <v>722</v>
      </c>
      <c r="J130" s="280" t="s">
        <v>722</v>
      </c>
      <c r="K130" s="374" t="s">
        <v>602</v>
      </c>
      <c r="L130" s="335"/>
      <c r="M130" s="329" t="str">
        <f t="shared" si="55"/>
        <v>EB</v>
      </c>
      <c r="N130" s="390"/>
      <c r="O130" s="328" t="str">
        <f t="shared" si="56"/>
        <v>NC</v>
      </c>
      <c r="P130" s="390"/>
      <c r="Q130" s="307" t="str">
        <f t="shared" si="42"/>
        <v>NC</v>
      </c>
      <c r="R130" s="305" t="str">
        <f t="shared" si="43"/>
        <v>NC</v>
      </c>
      <c r="S130" s="450"/>
      <c r="T130" s="300" t="str">
        <f t="shared" si="44"/>
        <v>EB</v>
      </c>
      <c r="U130" s="2111"/>
      <c r="V130" s="298" t="str">
        <f t="shared" si="45"/>
        <v>NC</v>
      </c>
      <c r="W130" s="390"/>
      <c r="X130" s="307" t="str">
        <f t="shared" si="46"/>
        <v>NC</v>
      </c>
      <c r="Y130" s="305" t="str">
        <f t="shared" si="47"/>
        <v>NC</v>
      </c>
      <c r="Z130" s="205"/>
      <c r="AA130" s="265" t="e">
        <f>重み_前!M130</f>
        <v>#DIV/0!</v>
      </c>
      <c r="AB130" s="265">
        <f>重み_後!N130</f>
        <v>0</v>
      </c>
      <c r="AC130" s="235">
        <f>重み_前!D130</f>
        <v>0</v>
      </c>
      <c r="AD130" s="235"/>
      <c r="AE130" s="235">
        <f>重み_後!D130</f>
        <v>0</v>
      </c>
      <c r="AF130" s="235"/>
      <c r="AG130" s="235"/>
      <c r="AH130" s="236" t="e">
        <f>重み_前!N130</f>
        <v>#DIV/0!</v>
      </c>
      <c r="AI130" s="236">
        <f>重み_後!O130</f>
        <v>0</v>
      </c>
      <c r="AJ130" s="235">
        <f>重み_前!E130</f>
        <v>0</v>
      </c>
      <c r="AK130" s="235"/>
      <c r="AL130" s="235">
        <f>重み_後!E130</f>
        <v>0</v>
      </c>
    </row>
    <row r="131" spans="1:38" ht="14.25" hidden="1" thickBot="1">
      <c r="A131" s="399"/>
      <c r="B131" s="455"/>
      <c r="C131" s="2410">
        <v>3.5</v>
      </c>
      <c r="D131" s="2411" t="s">
        <v>752</v>
      </c>
      <c r="E131" s="2082"/>
      <c r="F131" s="280" t="s">
        <v>722</v>
      </c>
      <c r="G131" s="327" t="s">
        <v>137</v>
      </c>
      <c r="H131" s="280" t="s">
        <v>602</v>
      </c>
      <c r="I131" s="280" t="s">
        <v>722</v>
      </c>
      <c r="J131" s="280" t="s">
        <v>722</v>
      </c>
      <c r="K131" s="374" t="s">
        <v>602</v>
      </c>
      <c r="L131" s="335"/>
      <c r="M131" s="329" t="str">
        <f t="shared" si="55"/>
        <v>EB</v>
      </c>
      <c r="N131" s="293"/>
      <c r="O131" s="328" t="str">
        <f t="shared" si="56"/>
        <v>NC</v>
      </c>
      <c r="P131" s="293"/>
      <c r="Q131" s="307" t="str">
        <f t="shared" si="42"/>
        <v>NC</v>
      </c>
      <c r="R131" s="305" t="str">
        <f t="shared" si="43"/>
        <v>NC</v>
      </c>
      <c r="S131" s="450"/>
      <c r="T131" s="300" t="str">
        <f t="shared" si="44"/>
        <v>EB</v>
      </c>
      <c r="U131" s="2111"/>
      <c r="V131" s="298" t="str">
        <f t="shared" si="45"/>
        <v>NC</v>
      </c>
      <c r="W131" s="390"/>
      <c r="X131" s="307" t="str">
        <f t="shared" si="46"/>
        <v>NC</v>
      </c>
      <c r="Y131" s="305" t="str">
        <f t="shared" si="47"/>
        <v>NC</v>
      </c>
      <c r="Z131" s="205"/>
      <c r="AA131" s="265" t="e">
        <f>重み_前!M131</f>
        <v>#DIV/0!</v>
      </c>
      <c r="AB131" s="265">
        <f>重み_後!N131</f>
        <v>0</v>
      </c>
      <c r="AC131" s="235">
        <f>重み_前!D131</f>
        <v>0</v>
      </c>
      <c r="AD131" s="235"/>
      <c r="AE131" s="235">
        <f>重み_後!D131</f>
        <v>0</v>
      </c>
      <c r="AF131" s="235"/>
      <c r="AG131" s="235"/>
      <c r="AH131" s="236" t="e">
        <f>重み_前!N131</f>
        <v>#DIV/0!</v>
      </c>
      <c r="AI131" s="236">
        <f>重み_後!O131</f>
        <v>0</v>
      </c>
      <c r="AJ131" s="235">
        <f>重み_前!E131</f>
        <v>0</v>
      </c>
      <c r="AK131" s="235"/>
      <c r="AL131" s="235">
        <f>重み_後!E131</f>
        <v>0</v>
      </c>
    </row>
    <row r="132" spans="1:38" ht="13.5">
      <c r="A132" s="399"/>
      <c r="B132" s="459"/>
      <c r="C132" s="411">
        <v>3.2</v>
      </c>
      <c r="D132" s="392" t="s">
        <v>1765</v>
      </c>
      <c r="E132" s="317"/>
      <c r="F132" s="280" t="s">
        <v>722</v>
      </c>
      <c r="G132" s="374">
        <v>0</v>
      </c>
      <c r="H132" s="374">
        <v>0</v>
      </c>
      <c r="I132" s="280" t="s">
        <v>722</v>
      </c>
      <c r="J132" s="374">
        <v>0</v>
      </c>
      <c r="K132" s="374">
        <v>0</v>
      </c>
      <c r="L132" s="2437" t="str">
        <f>IF(L124="","",L124)</f>
        <v/>
      </c>
      <c r="M132" s="300">
        <f>IF(L132=$AA$3,$I132,$J132)</f>
        <v>0</v>
      </c>
      <c r="N132" s="390"/>
      <c r="O132" s="298">
        <f>IF(L132=$AA$3,$I132,$K132)</f>
        <v>0</v>
      </c>
      <c r="P132" s="390"/>
      <c r="Q132" s="314">
        <f t="shared" si="42"/>
        <v>0</v>
      </c>
      <c r="R132" s="312">
        <f t="shared" si="43"/>
        <v>0</v>
      </c>
      <c r="S132" s="450"/>
      <c r="T132" s="300">
        <f t="shared" si="44"/>
        <v>0</v>
      </c>
      <c r="U132" s="2111"/>
      <c r="V132" s="298">
        <f>IF(S132=$AA$3,$I132,$K132)</f>
        <v>0</v>
      </c>
      <c r="W132" s="390"/>
      <c r="X132" s="314">
        <f t="shared" si="46"/>
        <v>0</v>
      </c>
      <c r="Y132" s="312">
        <f t="shared" si="47"/>
        <v>0</v>
      </c>
      <c r="Z132" s="205"/>
      <c r="AA132" s="265" t="e">
        <f>重み_前!M132</f>
        <v>#DIV/0!</v>
      </c>
      <c r="AB132" s="265" t="e">
        <f>重み_後!N132</f>
        <v>#DIV/0!</v>
      </c>
      <c r="AC132" s="235" t="e">
        <f>重み_前!D132</f>
        <v>#DIV/0!</v>
      </c>
      <c r="AD132" s="235"/>
      <c r="AE132" s="235" t="e">
        <f>重み_後!D132</f>
        <v>#DIV/0!</v>
      </c>
      <c r="AF132" s="235"/>
      <c r="AG132" s="235"/>
      <c r="AH132" s="236" t="e">
        <f>重み_前!N132</f>
        <v>#DIV/0!</v>
      </c>
      <c r="AI132" s="236" t="e">
        <f>重み_後!O132</f>
        <v>#DIV/0!</v>
      </c>
      <c r="AJ132" s="235">
        <f>重み_前!E132</f>
        <v>0</v>
      </c>
      <c r="AK132" s="235"/>
      <c r="AL132" s="235">
        <f>重み_後!E132</f>
        <v>0</v>
      </c>
    </row>
    <row r="133" spans="1:38" ht="13.5">
      <c r="A133" s="399"/>
      <c r="B133" s="441">
        <v>4</v>
      </c>
      <c r="C133" s="319" t="s">
        <v>753</v>
      </c>
      <c r="D133" s="278"/>
      <c r="E133" s="278"/>
      <c r="F133" s="280" t="s">
        <v>596</v>
      </c>
      <c r="G133" s="280" t="s">
        <v>596</v>
      </c>
      <c r="H133" s="280" t="s">
        <v>597</v>
      </c>
      <c r="I133" s="327"/>
      <c r="J133" s="327"/>
      <c r="K133" s="328"/>
      <c r="L133" s="337" t="e">
        <f>IF(AND(L134=AA3,L137=AA3),AA3,IF(AND(AB134=0,L137=AA3),AA3,IF(AND(AB137=0,L134=AA3),AA3,"")))</f>
        <v>#DIV/0!</v>
      </c>
      <c r="M133" s="329"/>
      <c r="N133" s="2111"/>
      <c r="O133" s="328"/>
      <c r="P133" s="2111"/>
      <c r="Q133" s="336" t="e">
        <f t="shared" si="42"/>
        <v>#DIV/0!</v>
      </c>
      <c r="R133" s="337" t="e">
        <f t="shared" si="43"/>
        <v>#DIV/0!</v>
      </c>
      <c r="S133" s="450"/>
      <c r="T133" s="300">
        <f t="shared" si="44"/>
        <v>0</v>
      </c>
      <c r="U133" s="325"/>
      <c r="V133" s="298">
        <f t="shared" ref="V133:V139" si="57">IF(S133=$AA$3,$I133,$K133)</f>
        <v>0</v>
      </c>
      <c r="W133" s="390"/>
      <c r="X133" s="336" t="str">
        <f t="shared" si="46"/>
        <v>EB</v>
      </c>
      <c r="Y133" s="337" t="str">
        <f t="shared" si="47"/>
        <v>NC</v>
      </c>
      <c r="Z133" s="205"/>
      <c r="AA133" s="265" t="e">
        <f>重み_前!M133</f>
        <v>#DIV/0!</v>
      </c>
      <c r="AB133" s="265" t="e">
        <f>重み_後!N133</f>
        <v>#DIV/0!</v>
      </c>
      <c r="AC133" s="235" t="e">
        <f>重み_前!D133</f>
        <v>#DIV/0!</v>
      </c>
      <c r="AD133" s="235"/>
      <c r="AE133" s="235" t="e">
        <f>重み_後!D133</f>
        <v>#VALUE!</v>
      </c>
      <c r="AF133" s="235"/>
      <c r="AG133" s="235"/>
      <c r="AH133" s="236" t="e">
        <f>重み_前!N133</f>
        <v>#DIV/0!</v>
      </c>
      <c r="AI133" s="236" t="e">
        <f>重み_後!O133</f>
        <v>#DIV/0!</v>
      </c>
      <c r="AJ133" s="235" t="e">
        <f>重み_前!E133</f>
        <v>#DIV/0!</v>
      </c>
      <c r="AK133" s="235"/>
      <c r="AL133" s="235" t="e">
        <f>重み_後!E133</f>
        <v>#DIV/0!</v>
      </c>
    </row>
    <row r="134" spans="1:38" ht="14.25" thickBot="1">
      <c r="A134" s="399"/>
      <c r="B134" s="331"/>
      <c r="C134" s="308"/>
      <c r="D134" s="326" t="s">
        <v>1766</v>
      </c>
      <c r="E134" s="290"/>
      <c r="F134" s="280" t="s">
        <v>421</v>
      </c>
      <c r="G134" s="280" t="s">
        <v>421</v>
      </c>
      <c r="H134" s="280" t="s">
        <v>137</v>
      </c>
      <c r="I134" s="2414"/>
      <c r="J134" s="2414"/>
      <c r="K134" s="451"/>
      <c r="L134" s="295" t="str">
        <f>IF(COUNTIF(L135:L136,$AA$3)&gt;=ROWS(L135:L136),$AA$3,"")</f>
        <v/>
      </c>
      <c r="M134" s="450"/>
      <c r="N134" s="309"/>
      <c r="O134" s="451"/>
      <c r="P134" s="309"/>
      <c r="Q134" s="334" t="str">
        <f t="shared" si="42"/>
        <v>EB</v>
      </c>
      <c r="R134" s="335" t="str">
        <f t="shared" si="43"/>
        <v>NC</v>
      </c>
      <c r="S134" s="450"/>
      <c r="T134" s="300">
        <f t="shared" si="44"/>
        <v>0</v>
      </c>
      <c r="U134" s="390"/>
      <c r="V134" s="298">
        <f t="shared" si="57"/>
        <v>0</v>
      </c>
      <c r="W134" s="390"/>
      <c r="X134" s="334" t="str">
        <f t="shared" si="46"/>
        <v>EB</v>
      </c>
      <c r="Y134" s="335" t="str">
        <f t="shared" si="47"/>
        <v>NC</v>
      </c>
      <c r="Z134" s="205"/>
      <c r="AA134" s="265" t="e">
        <f>重み_前!M134</f>
        <v>#DIV/0!</v>
      </c>
      <c r="AB134" s="265" t="e">
        <f>重み_後!N134</f>
        <v>#DIV/0!</v>
      </c>
      <c r="AC134" s="235" t="e">
        <f>重み_前!D134</f>
        <v>#DIV/0!</v>
      </c>
      <c r="AD134" s="235"/>
      <c r="AE134" s="235" t="e">
        <f>重み_後!D134</f>
        <v>#DIV/0!</v>
      </c>
      <c r="AF134" s="235"/>
      <c r="AG134" s="235"/>
      <c r="AH134" s="236" t="e">
        <f>重み_前!N134</f>
        <v>#DIV/0!</v>
      </c>
      <c r="AI134" s="236" t="e">
        <f>重み_後!O134</f>
        <v>#DIV/0!</v>
      </c>
      <c r="AJ134" s="235" t="e">
        <f>重み_前!E134</f>
        <v>#DIV/0!</v>
      </c>
      <c r="AK134" s="235"/>
      <c r="AL134" s="235" t="e">
        <f>重み_後!E134</f>
        <v>#DIV/0!</v>
      </c>
    </row>
    <row r="135" spans="1:38" ht="14.25" thickBot="1">
      <c r="A135" s="399"/>
      <c r="B135" s="331"/>
      <c r="C135" s="2412"/>
      <c r="D135" s="297">
        <v>4.0999999999999996</v>
      </c>
      <c r="E135" s="317" t="s">
        <v>1767</v>
      </c>
      <c r="F135" s="280" t="s">
        <v>722</v>
      </c>
      <c r="G135" s="280" t="s">
        <v>722</v>
      </c>
      <c r="H135" s="280" t="s">
        <v>602</v>
      </c>
      <c r="I135" s="280" t="s">
        <v>1770</v>
      </c>
      <c r="J135" s="280" t="s">
        <v>722</v>
      </c>
      <c r="K135" s="298" t="s">
        <v>602</v>
      </c>
      <c r="L135" s="299"/>
      <c r="M135" s="300" t="str">
        <f>IF(L135=$AA$3,$I135,$J135)</f>
        <v>EB</v>
      </c>
      <c r="N135" s="404">
        <v>3</v>
      </c>
      <c r="O135" s="298" t="str">
        <f>IF(L135=$AA$3,$I135,$K135)</f>
        <v>NC</v>
      </c>
      <c r="P135" s="404">
        <v>3</v>
      </c>
      <c r="Q135" s="446" t="str">
        <f t="shared" si="42"/>
        <v>EB</v>
      </c>
      <c r="R135" s="444" t="str">
        <f t="shared" si="43"/>
        <v>NC</v>
      </c>
      <c r="S135" s="450"/>
      <c r="T135" s="300" t="str">
        <f t="shared" si="44"/>
        <v>EB</v>
      </c>
      <c r="U135" s="390"/>
      <c r="V135" s="298" t="str">
        <f t="shared" si="57"/>
        <v>NC</v>
      </c>
      <c r="W135" s="390"/>
      <c r="X135" s="446" t="str">
        <f t="shared" si="46"/>
        <v>EB</v>
      </c>
      <c r="Y135" s="444" t="str">
        <f t="shared" si="47"/>
        <v>NC</v>
      </c>
      <c r="Z135" s="205"/>
      <c r="AA135" s="265" t="e">
        <f>重み_前!M135</f>
        <v>#DIV/0!</v>
      </c>
      <c r="AB135" s="265" t="e">
        <f>重み_後!N135</f>
        <v>#DIV/0!</v>
      </c>
      <c r="AC135" s="235" t="e">
        <f>重み_前!D135</f>
        <v>#DIV/0!</v>
      </c>
      <c r="AD135" s="235"/>
      <c r="AE135" s="235" t="e">
        <f>重み_後!D135</f>
        <v>#DIV/0!</v>
      </c>
      <c r="AF135" s="235"/>
      <c r="AG135" s="235"/>
      <c r="AH135" s="236" t="e">
        <f>重み_前!N135</f>
        <v>#DIV/0!</v>
      </c>
      <c r="AI135" s="236" t="e">
        <f>重み_後!O135</f>
        <v>#DIV/0!</v>
      </c>
      <c r="AJ135" s="235" t="e">
        <f>重み_前!E135</f>
        <v>#DIV/0!</v>
      </c>
      <c r="AK135" s="235"/>
      <c r="AL135" s="235" t="e">
        <f>重み_後!E135</f>
        <v>#DIV/0!</v>
      </c>
    </row>
    <row r="136" spans="1:38" ht="14.25" thickBot="1">
      <c r="A136" s="399"/>
      <c r="B136" s="331"/>
      <c r="C136" s="2413"/>
      <c r="D136" s="297">
        <v>4.2</v>
      </c>
      <c r="E136" s="317" t="s">
        <v>754</v>
      </c>
      <c r="F136" s="280" t="s">
        <v>722</v>
      </c>
      <c r="G136" s="280" t="s">
        <v>722</v>
      </c>
      <c r="H136" s="280" t="s">
        <v>602</v>
      </c>
      <c r="I136" s="280" t="s">
        <v>722</v>
      </c>
      <c r="J136" s="280" t="s">
        <v>722</v>
      </c>
      <c r="K136" s="298" t="s">
        <v>602</v>
      </c>
      <c r="L136" s="305"/>
      <c r="M136" s="300" t="str">
        <f>IF(L136=$AA$3,$I136,$J136)</f>
        <v>EB</v>
      </c>
      <c r="N136" s="318">
        <v>3</v>
      </c>
      <c r="O136" s="298" t="str">
        <f>IF(L136=$AA$3,$I136,$K136)</f>
        <v>NC</v>
      </c>
      <c r="P136" s="318">
        <v>3</v>
      </c>
      <c r="Q136" s="446" t="str">
        <f t="shared" si="42"/>
        <v>EB</v>
      </c>
      <c r="R136" s="444" t="str">
        <f t="shared" si="43"/>
        <v>NC</v>
      </c>
      <c r="S136" s="450"/>
      <c r="T136" s="300" t="str">
        <f t="shared" si="44"/>
        <v>EB</v>
      </c>
      <c r="U136" s="390"/>
      <c r="V136" s="298" t="str">
        <f t="shared" si="57"/>
        <v>NC</v>
      </c>
      <c r="W136" s="390"/>
      <c r="X136" s="446" t="str">
        <f t="shared" si="46"/>
        <v>EB</v>
      </c>
      <c r="Y136" s="444" t="str">
        <f t="shared" si="47"/>
        <v>NC</v>
      </c>
      <c r="Z136" s="205"/>
      <c r="AA136" s="265" t="e">
        <f>重み_前!M136</f>
        <v>#DIV/0!</v>
      </c>
      <c r="AB136" s="265" t="e">
        <f>重み_後!N136</f>
        <v>#DIV/0!</v>
      </c>
      <c r="AC136" s="235" t="e">
        <f>重み_前!D136</f>
        <v>#DIV/0!</v>
      </c>
      <c r="AD136" s="235"/>
      <c r="AE136" s="235" t="e">
        <f>重み_後!D136</f>
        <v>#DIV/0!</v>
      </c>
      <c r="AF136" s="235"/>
      <c r="AG136" s="235"/>
      <c r="AH136" s="236" t="e">
        <f>重み_前!N136</f>
        <v>#DIV/0!</v>
      </c>
      <c r="AI136" s="236" t="e">
        <f>重み_後!O136</f>
        <v>#DIV/0!</v>
      </c>
      <c r="AJ136" s="235" t="e">
        <f>重み_前!E136</f>
        <v>#DIV/0!</v>
      </c>
      <c r="AK136" s="235"/>
      <c r="AL136" s="235" t="e">
        <f>重み_後!E136</f>
        <v>#DIV/0!</v>
      </c>
    </row>
    <row r="137" spans="1:38" ht="14.25" thickBot="1">
      <c r="A137" s="399"/>
      <c r="B137" s="331"/>
      <c r="C137" s="308"/>
      <c r="D137" s="326" t="s">
        <v>1768</v>
      </c>
      <c r="E137" s="290"/>
      <c r="F137" s="280" t="s">
        <v>421</v>
      </c>
      <c r="G137" s="280" t="s">
        <v>421</v>
      </c>
      <c r="H137" s="280" t="s">
        <v>137</v>
      </c>
      <c r="I137" s="327"/>
      <c r="J137" s="327"/>
      <c r="K137" s="328"/>
      <c r="L137" s="295" t="str">
        <f>IF(COUNTIF(L138:L139,$AA$3)&gt;=ROWS(L138:L139),$AA$3,"")</f>
        <v/>
      </c>
      <c r="M137" s="329"/>
      <c r="N137" s="309"/>
      <c r="O137" s="328"/>
      <c r="P137" s="309"/>
      <c r="Q137" s="310" t="str">
        <f t="shared" ref="Q137:Q139" si="58">IF(L137=$AA$3,$F137,$G137)</f>
        <v>EB</v>
      </c>
      <c r="R137" s="311" t="str">
        <f t="shared" ref="R137:R139" si="59">IF(L137=$AA$3,$F137,$H137)</f>
        <v>NC</v>
      </c>
      <c r="S137" s="450"/>
      <c r="T137" s="300">
        <f t="shared" si="44"/>
        <v>0</v>
      </c>
      <c r="U137" s="390"/>
      <c r="V137" s="298">
        <f t="shared" si="57"/>
        <v>0</v>
      </c>
      <c r="W137" s="390"/>
      <c r="X137" s="310" t="str">
        <f t="shared" ref="X137:X139" si="60">IF(S137=$AA$3,$F137,$G137)</f>
        <v>EB</v>
      </c>
      <c r="Y137" s="311" t="str">
        <f t="shared" ref="Y137:Y139" si="61">IF(S137=$AA$3,$F137,$H137)</f>
        <v>NC</v>
      </c>
      <c r="Z137" s="205"/>
      <c r="AA137" s="265" t="e">
        <f>重み_前!M137</f>
        <v>#DIV/0!</v>
      </c>
      <c r="AB137" s="265" t="e">
        <f>重み_後!N137</f>
        <v>#DIV/0!</v>
      </c>
      <c r="AC137" s="235" t="e">
        <f>重み_前!D137</f>
        <v>#DIV/0!</v>
      </c>
      <c r="AD137" s="235"/>
      <c r="AE137" s="235" t="e">
        <f>重み_後!D137</f>
        <v>#DIV/0!</v>
      </c>
      <c r="AF137" s="235"/>
      <c r="AG137" s="235"/>
      <c r="AH137" s="236" t="e">
        <f>重み_前!N137</f>
        <v>#DIV/0!</v>
      </c>
      <c r="AI137" s="236" t="e">
        <f>重み_後!O137</f>
        <v>#DIV/0!</v>
      </c>
      <c r="AJ137" s="235" t="e">
        <f>重み_前!E137</f>
        <v>#DIV/0!</v>
      </c>
      <c r="AK137" s="235"/>
      <c r="AL137" s="235" t="e">
        <f>重み_後!E137</f>
        <v>#DIV/0!</v>
      </c>
    </row>
    <row r="138" spans="1:38" ht="14.25" thickBot="1">
      <c r="A138" s="399"/>
      <c r="B138" s="331"/>
      <c r="C138" s="2412"/>
      <c r="D138" s="297">
        <v>4.0999999999999996</v>
      </c>
      <c r="E138" s="317" t="s">
        <v>1767</v>
      </c>
      <c r="F138" s="280" t="s">
        <v>722</v>
      </c>
      <c r="G138" s="280" t="s">
        <v>722</v>
      </c>
      <c r="H138" s="280" t="s">
        <v>602</v>
      </c>
      <c r="I138" s="280" t="s">
        <v>722</v>
      </c>
      <c r="J138" s="280" t="s">
        <v>722</v>
      </c>
      <c r="K138" s="298" t="s">
        <v>602</v>
      </c>
      <c r="L138" s="299"/>
      <c r="M138" s="300" t="str">
        <f>IF(L138=$AA$3,$I138,$J138)</f>
        <v>EB</v>
      </c>
      <c r="N138" s="404">
        <v>3</v>
      </c>
      <c r="O138" s="298" t="str">
        <f>IF(L138=$AA$3,$I138,$K138)</f>
        <v>NC</v>
      </c>
      <c r="P138" s="404">
        <v>3</v>
      </c>
      <c r="Q138" s="446" t="str">
        <f t="shared" si="58"/>
        <v>EB</v>
      </c>
      <c r="R138" s="444" t="str">
        <f t="shared" si="59"/>
        <v>NC</v>
      </c>
      <c r="S138" s="450"/>
      <c r="T138" s="300" t="str">
        <f t="shared" si="44"/>
        <v>EB</v>
      </c>
      <c r="U138" s="390"/>
      <c r="V138" s="298" t="str">
        <f t="shared" si="57"/>
        <v>NC</v>
      </c>
      <c r="W138" s="390"/>
      <c r="X138" s="446" t="str">
        <f t="shared" si="60"/>
        <v>EB</v>
      </c>
      <c r="Y138" s="444" t="str">
        <f t="shared" si="61"/>
        <v>NC</v>
      </c>
      <c r="Z138" s="205"/>
      <c r="AA138" s="265" t="e">
        <f>重み_前!M138</f>
        <v>#DIV/0!</v>
      </c>
      <c r="AB138" s="265" t="e">
        <f>重み_後!N138</f>
        <v>#DIV/0!</v>
      </c>
      <c r="AC138" s="235" t="e">
        <f>重み_前!D138</f>
        <v>#DIV/0!</v>
      </c>
      <c r="AD138" s="235"/>
      <c r="AE138" s="235" t="e">
        <f>重み_後!D138</f>
        <v>#DIV/0!</v>
      </c>
      <c r="AF138" s="235"/>
      <c r="AG138" s="235"/>
      <c r="AH138" s="236" t="e">
        <f>重み_前!N138</f>
        <v>#DIV/0!</v>
      </c>
      <c r="AI138" s="236" t="e">
        <f>重み_後!O138</f>
        <v>#DIV/0!</v>
      </c>
      <c r="AJ138" s="235" t="e">
        <f>重み_前!E138</f>
        <v>#DIV/0!</v>
      </c>
      <c r="AK138" s="235"/>
      <c r="AL138" s="235" t="e">
        <f>重み_後!E138</f>
        <v>#DIV/0!</v>
      </c>
    </row>
    <row r="139" spans="1:38" ht="14.25" thickBot="1">
      <c r="A139" s="399"/>
      <c r="B139" s="373"/>
      <c r="C139" s="2413"/>
      <c r="D139" s="297">
        <v>4.2</v>
      </c>
      <c r="E139" s="317" t="s">
        <v>754</v>
      </c>
      <c r="F139" s="280" t="s">
        <v>722</v>
      </c>
      <c r="G139" s="280" t="s">
        <v>722</v>
      </c>
      <c r="H139" s="280" t="s">
        <v>602</v>
      </c>
      <c r="I139" s="280" t="s">
        <v>722</v>
      </c>
      <c r="J139" s="280" t="s">
        <v>722</v>
      </c>
      <c r="K139" s="298" t="s">
        <v>602</v>
      </c>
      <c r="L139" s="305"/>
      <c r="M139" s="300" t="str">
        <f>IF(L139=$AA$3,$I139,$J139)</f>
        <v>EB</v>
      </c>
      <c r="N139" s="318">
        <v>3</v>
      </c>
      <c r="O139" s="298" t="str">
        <f>IF(L139=$AA$3,$I139,$K139)</f>
        <v>NC</v>
      </c>
      <c r="P139" s="318">
        <v>3</v>
      </c>
      <c r="Q139" s="446" t="str">
        <f t="shared" si="58"/>
        <v>EB</v>
      </c>
      <c r="R139" s="444" t="str">
        <f t="shared" si="59"/>
        <v>NC</v>
      </c>
      <c r="S139" s="450"/>
      <c r="T139" s="300" t="str">
        <f t="shared" si="44"/>
        <v>EB</v>
      </c>
      <c r="U139" s="293"/>
      <c r="V139" s="298" t="str">
        <f t="shared" si="57"/>
        <v>NC</v>
      </c>
      <c r="W139" s="293"/>
      <c r="X139" s="446" t="str">
        <f t="shared" si="60"/>
        <v>EB</v>
      </c>
      <c r="Y139" s="444" t="str">
        <f t="shared" si="61"/>
        <v>NC</v>
      </c>
      <c r="Z139" s="205"/>
      <c r="AA139" s="265" t="e">
        <f>重み_前!M139</f>
        <v>#DIV/0!</v>
      </c>
      <c r="AB139" s="265" t="e">
        <f>重み_後!N139</f>
        <v>#DIV/0!</v>
      </c>
      <c r="AC139" s="235" t="e">
        <f>重み_前!D139</f>
        <v>#DIV/0!</v>
      </c>
      <c r="AD139" s="235"/>
      <c r="AE139" s="235" t="e">
        <f>重み_後!D139</f>
        <v>#DIV/0!</v>
      </c>
      <c r="AF139" s="235"/>
      <c r="AG139" s="235"/>
      <c r="AH139" s="236" t="e">
        <f>重み_前!N139</f>
        <v>#DIV/0!</v>
      </c>
      <c r="AI139" s="236" t="e">
        <f>重み_後!O139</f>
        <v>#DIV/0!</v>
      </c>
      <c r="AJ139" s="235" t="e">
        <f>重み_前!E139</f>
        <v>#DIV/0!</v>
      </c>
      <c r="AK139" s="235"/>
      <c r="AL139" s="235" t="e">
        <f>重み_後!E139</f>
        <v>#DIV/0!</v>
      </c>
    </row>
    <row r="140" spans="1:38" ht="14.25" thickBot="1">
      <c r="A140" s="399"/>
      <c r="B140" s="353" t="s">
        <v>755</v>
      </c>
      <c r="C140" s="400" t="s">
        <v>756</v>
      </c>
      <c r="D140" s="400"/>
      <c r="E140" s="400"/>
      <c r="F140" s="355"/>
      <c r="G140" s="355"/>
      <c r="H140" s="355"/>
      <c r="I140" s="355"/>
      <c r="J140" s="355"/>
      <c r="K140" s="356"/>
      <c r="L140" s="357"/>
      <c r="M140" s="357"/>
      <c r="N140" s="359"/>
      <c r="O140" s="356"/>
      <c r="P140" s="359"/>
      <c r="Q140" s="361"/>
      <c r="R140" s="357"/>
      <c r="S140" s="402"/>
      <c r="T140" s="357"/>
      <c r="U140" s="359"/>
      <c r="V140" s="356"/>
      <c r="W140" s="359"/>
      <c r="X140" s="361"/>
      <c r="Y140" s="357"/>
      <c r="Z140" s="205"/>
      <c r="AA140" s="265" t="e">
        <f>重み_前!M140</f>
        <v>#DIV/0!</v>
      </c>
      <c r="AB140" s="265" t="e">
        <f>重み_後!N140</f>
        <v>#DIV/0!</v>
      </c>
      <c r="AC140" s="235" t="e">
        <f>重み_前!D140</f>
        <v>#VALUE!</v>
      </c>
      <c r="AD140" s="235"/>
      <c r="AE140" s="235" t="e">
        <f>重み_後!D140</f>
        <v>#VALUE!</v>
      </c>
      <c r="AF140" s="235"/>
      <c r="AG140" s="235"/>
      <c r="AH140" s="236" t="e">
        <f>重み_前!N140</f>
        <v>#DIV/0!</v>
      </c>
      <c r="AI140" s="236" t="e">
        <f>重み_後!O140</f>
        <v>#DIV/0!</v>
      </c>
      <c r="AJ140" s="235" t="e">
        <f>重み_前!E140</f>
        <v>#DIV/0!</v>
      </c>
      <c r="AK140" s="235"/>
      <c r="AL140" s="235" t="e">
        <f>重み_後!E140</f>
        <v>#DIV/0!</v>
      </c>
    </row>
    <row r="141" spans="1:38" ht="14.25" thickBot="1">
      <c r="A141" s="399"/>
      <c r="B141" s="461">
        <v>1</v>
      </c>
      <c r="C141" s="278" t="s">
        <v>757</v>
      </c>
      <c r="D141" s="278"/>
      <c r="E141" s="436"/>
      <c r="F141" s="280" t="s">
        <v>650</v>
      </c>
      <c r="G141" s="280" t="s">
        <v>650</v>
      </c>
      <c r="H141" s="280" t="s">
        <v>651</v>
      </c>
      <c r="I141" s="327"/>
      <c r="J141" s="327"/>
      <c r="K141" s="328"/>
      <c r="L141" s="283" t="str">
        <f>IF(COUNTIF(L142:L145,$AA$3)&gt;=ROWS(L142:L145),$AA$3,"")</f>
        <v/>
      </c>
      <c r="M141" s="329"/>
      <c r="N141" s="309"/>
      <c r="O141" s="328"/>
      <c r="P141" s="293"/>
      <c r="Q141" s="310" t="str">
        <f t="shared" ref="Q141:Q158" si="62">IF(L141=$AA$3,$F141,$G141)</f>
        <v>EB</v>
      </c>
      <c r="R141" s="311" t="str">
        <f t="shared" ref="R141:R158" si="63">IF(L141=$AA$3,$F141,$H141)</f>
        <v>NC</v>
      </c>
      <c r="S141" s="450"/>
      <c r="T141" s="300">
        <f t="shared" ref="T141:T180" si="64">IF(S141=$AA$3,$I141,$J141)</f>
        <v>0</v>
      </c>
      <c r="U141" s="442"/>
      <c r="V141" s="298">
        <f t="shared" ref="V141:V142" si="65">IF(S141=$AA$3,$I141,$K141)</f>
        <v>0</v>
      </c>
      <c r="W141" s="442"/>
      <c r="X141" s="310" t="str">
        <f t="shared" ref="X141:X158" si="66">IF(S141=$AA$3,$F141,$G141)</f>
        <v>EB</v>
      </c>
      <c r="Y141" s="311" t="str">
        <f t="shared" ref="Y141:Y158" si="67">IF(S141=$AA$3,$F141,$H141)</f>
        <v>NC</v>
      </c>
      <c r="Z141" s="205"/>
      <c r="AA141" s="265" t="e">
        <f>重み_前!M141</f>
        <v>#DIV/0!</v>
      </c>
      <c r="AB141" s="265" t="e">
        <f>重み_後!N141</f>
        <v>#DIV/0!</v>
      </c>
      <c r="AC141" s="235" t="e">
        <f>重み_前!D141</f>
        <v>#DIV/0!</v>
      </c>
      <c r="AD141" s="235"/>
      <c r="AE141" s="235" t="e">
        <f>重み_後!D141</f>
        <v>#DIV/0!</v>
      </c>
      <c r="AF141" s="235"/>
      <c r="AG141" s="235"/>
      <c r="AH141" s="236" t="e">
        <f>重み_前!N141</f>
        <v>#DIV/0!</v>
      </c>
      <c r="AI141" s="236" t="e">
        <f>重み_後!O141</f>
        <v>#DIV/0!</v>
      </c>
      <c r="AJ141" s="235" t="e">
        <f>重み_前!E141</f>
        <v>#DIV/0!</v>
      </c>
      <c r="AK141" s="235"/>
      <c r="AL141" s="235" t="e">
        <f>重み_後!E141</f>
        <v>#DIV/0!</v>
      </c>
    </row>
    <row r="142" spans="1:38" ht="14.25" thickBot="1">
      <c r="A142" s="399"/>
      <c r="B142" s="331"/>
      <c r="C142" s="316">
        <v>1.1000000000000001</v>
      </c>
      <c r="D142" s="317" t="s">
        <v>758</v>
      </c>
      <c r="E142" s="317"/>
      <c r="F142" s="280" t="s">
        <v>722</v>
      </c>
      <c r="G142" s="280" t="s">
        <v>722</v>
      </c>
      <c r="H142" s="280" t="s">
        <v>602</v>
      </c>
      <c r="I142" s="280" t="s">
        <v>722</v>
      </c>
      <c r="J142" s="280" t="s">
        <v>722</v>
      </c>
      <c r="K142" s="298" t="s">
        <v>602</v>
      </c>
      <c r="L142" s="444"/>
      <c r="M142" s="300" t="str">
        <f>IF(L142=$AA$3,$I142,$J142)</f>
        <v>EB</v>
      </c>
      <c r="N142" s="445">
        <v>3</v>
      </c>
      <c r="O142" s="298" t="str">
        <f>IF(L142=$AA$3,$I142,$K142)</f>
        <v>NC</v>
      </c>
      <c r="P142" s="445">
        <v>3</v>
      </c>
      <c r="Q142" s="446" t="str">
        <f t="shared" si="62"/>
        <v>EB</v>
      </c>
      <c r="R142" s="444" t="str">
        <f t="shared" si="63"/>
        <v>NC</v>
      </c>
      <c r="S142" s="450"/>
      <c r="T142" s="300" t="str">
        <f t="shared" si="64"/>
        <v>EB</v>
      </c>
      <c r="U142" s="2111"/>
      <c r="V142" s="298" t="str">
        <f t="shared" si="65"/>
        <v>NC</v>
      </c>
      <c r="W142" s="2111"/>
      <c r="X142" s="446" t="str">
        <f t="shared" si="66"/>
        <v>EB</v>
      </c>
      <c r="Y142" s="444" t="str">
        <f t="shared" si="67"/>
        <v>NC</v>
      </c>
      <c r="Z142" s="205"/>
      <c r="AA142" s="265" t="e">
        <f>重み_前!M142</f>
        <v>#DIV/0!</v>
      </c>
      <c r="AB142" s="265" t="e">
        <f>重み_後!N142</f>
        <v>#DIV/0!</v>
      </c>
      <c r="AC142" s="235" t="e">
        <f>重み_前!D142</f>
        <v>#DIV/0!</v>
      </c>
      <c r="AD142" s="235"/>
      <c r="AE142" s="235" t="e">
        <f>重み_後!D142</f>
        <v>#DIV/0!</v>
      </c>
      <c r="AF142" s="235"/>
      <c r="AG142" s="235"/>
      <c r="AH142" s="236" t="e">
        <f>重み_前!N142</f>
        <v>#DIV/0!</v>
      </c>
      <c r="AI142" s="236" t="e">
        <f>重み_後!O142</f>
        <v>#DIV/0!</v>
      </c>
      <c r="AJ142" s="235" t="e">
        <f>重み_前!E142</f>
        <v>#DIV/0!</v>
      </c>
      <c r="AK142" s="235"/>
      <c r="AL142" s="235" t="e">
        <f>重み_後!E142</f>
        <v>#DIV/0!</v>
      </c>
    </row>
    <row r="143" spans="1:38" ht="14.25" thickBot="1">
      <c r="A143" s="399"/>
      <c r="B143" s="331"/>
      <c r="C143" s="462">
        <v>1.2</v>
      </c>
      <c r="D143" s="326" t="s">
        <v>801</v>
      </c>
      <c r="E143" s="317"/>
      <c r="F143" s="280" t="s">
        <v>760</v>
      </c>
      <c r="G143" s="280" t="s">
        <v>760</v>
      </c>
      <c r="H143" s="280" t="s">
        <v>761</v>
      </c>
      <c r="I143" s="327"/>
      <c r="J143" s="327"/>
      <c r="K143" s="328"/>
      <c r="L143" s="295" t="str">
        <f>IF(COUNTIF(L144:L145,$AA$3)&gt;=ROWS(L144:L145),$AA$3,"")</f>
        <v/>
      </c>
      <c r="M143" s="329"/>
      <c r="N143" s="309"/>
      <c r="O143" s="328"/>
      <c r="P143" s="309"/>
      <c r="Q143" s="310" t="str">
        <f t="shared" si="62"/>
        <v>EB</v>
      </c>
      <c r="R143" s="311" t="str">
        <f t="shared" si="63"/>
        <v>NC</v>
      </c>
      <c r="S143" s="450"/>
      <c r="T143" s="300">
        <f t="shared" si="64"/>
        <v>0</v>
      </c>
      <c r="U143" s="2111"/>
      <c r="V143" s="298">
        <f t="shared" ref="V143:V158" si="68">IF(S143=$AA$3,$I143,$K143)</f>
        <v>0</v>
      </c>
      <c r="W143" s="2111"/>
      <c r="X143" s="310" t="str">
        <f t="shared" si="66"/>
        <v>EB</v>
      </c>
      <c r="Y143" s="311" t="str">
        <f t="shared" si="67"/>
        <v>NC</v>
      </c>
      <c r="Z143" s="205"/>
      <c r="AA143" s="265" t="e">
        <f>重み_前!M143</f>
        <v>#DIV/0!</v>
      </c>
      <c r="AB143" s="265" t="e">
        <f>重み_後!N143</f>
        <v>#DIV/0!</v>
      </c>
      <c r="AC143" s="235" t="e">
        <f>重み_前!D143</f>
        <v>#DIV/0!</v>
      </c>
      <c r="AD143" s="235"/>
      <c r="AE143" s="235" t="e">
        <f>重み_後!D143</f>
        <v>#DIV/0!</v>
      </c>
      <c r="AF143" s="235"/>
      <c r="AG143" s="235"/>
      <c r="AH143" s="236" t="e">
        <f>重み_前!N143</f>
        <v>#DIV/0!</v>
      </c>
      <c r="AI143" s="236" t="e">
        <f>重み_後!O143</f>
        <v>#DIV/0!</v>
      </c>
      <c r="AJ143" s="235" t="e">
        <f>重み_前!E143</f>
        <v>#DIV/0!</v>
      </c>
      <c r="AK143" s="235"/>
      <c r="AL143" s="235" t="e">
        <f>重み_後!E143</f>
        <v>#DIV/0!</v>
      </c>
    </row>
    <row r="144" spans="1:38" ht="13.5">
      <c r="A144" s="399"/>
      <c r="B144" s="331"/>
      <c r="C144" s="463"/>
      <c r="D144" s="297">
        <v>1</v>
      </c>
      <c r="E144" s="346" t="s">
        <v>762</v>
      </c>
      <c r="F144" s="280" t="s">
        <v>722</v>
      </c>
      <c r="G144" s="280" t="s">
        <v>722</v>
      </c>
      <c r="H144" s="280" t="s">
        <v>602</v>
      </c>
      <c r="I144" s="280" t="s">
        <v>722</v>
      </c>
      <c r="J144" s="280" t="s">
        <v>722</v>
      </c>
      <c r="K144" s="298" t="s">
        <v>602</v>
      </c>
      <c r="L144" s="299"/>
      <c r="M144" s="300" t="str">
        <f>IF(L144=$AA$3,$I144,$J144)</f>
        <v>EB</v>
      </c>
      <c r="N144" s="301">
        <v>3</v>
      </c>
      <c r="O144" s="298" t="str">
        <f>IF(L144=$AA$3,$I144,$K144)</f>
        <v>NC</v>
      </c>
      <c r="P144" s="301">
        <v>3</v>
      </c>
      <c r="Q144" s="302" t="str">
        <f t="shared" si="62"/>
        <v>EB</v>
      </c>
      <c r="R144" s="299" t="str">
        <f t="shared" si="63"/>
        <v>NC</v>
      </c>
      <c r="S144" s="450"/>
      <c r="T144" s="300" t="str">
        <f t="shared" si="64"/>
        <v>EB</v>
      </c>
      <c r="U144" s="2111"/>
      <c r="V144" s="298" t="str">
        <f t="shared" si="68"/>
        <v>NC</v>
      </c>
      <c r="W144" s="2111"/>
      <c r="X144" s="302" t="str">
        <f t="shared" si="66"/>
        <v>EB</v>
      </c>
      <c r="Y144" s="299" t="str">
        <f t="shared" si="67"/>
        <v>NC</v>
      </c>
      <c r="Z144" s="205"/>
      <c r="AA144" s="265" t="e">
        <f>重み_前!M144</f>
        <v>#DIV/0!</v>
      </c>
      <c r="AB144" s="265" t="e">
        <f>重み_後!N144</f>
        <v>#DIV/0!</v>
      </c>
      <c r="AC144" s="235" t="e">
        <f>重み_前!D144</f>
        <v>#DIV/0!</v>
      </c>
      <c r="AD144" s="235"/>
      <c r="AE144" s="235" t="e">
        <f>重み_後!D144</f>
        <v>#DIV/0!</v>
      </c>
      <c r="AF144" s="235"/>
      <c r="AG144" s="235"/>
      <c r="AH144" s="236" t="e">
        <f>重み_前!N144</f>
        <v>#DIV/0!</v>
      </c>
      <c r="AI144" s="236" t="e">
        <f>重み_後!O144</f>
        <v>#DIV/0!</v>
      </c>
      <c r="AJ144" s="235" t="e">
        <f>重み_前!E144</f>
        <v>#DIV/0!</v>
      </c>
      <c r="AK144" s="235"/>
      <c r="AL144" s="235" t="e">
        <f>重み_後!E144</f>
        <v>#DIV/0!</v>
      </c>
    </row>
    <row r="145" spans="1:38" ht="14.25" thickBot="1">
      <c r="A145" s="399"/>
      <c r="B145" s="373"/>
      <c r="C145" s="464"/>
      <c r="D145" s="297">
        <v>2</v>
      </c>
      <c r="E145" s="346" t="s">
        <v>800</v>
      </c>
      <c r="F145" s="280" t="s">
        <v>722</v>
      </c>
      <c r="G145" s="280" t="s">
        <v>722</v>
      </c>
      <c r="H145" s="280" t="s">
        <v>602</v>
      </c>
      <c r="I145" s="280" t="s">
        <v>722</v>
      </c>
      <c r="J145" s="280" t="s">
        <v>722</v>
      </c>
      <c r="K145" s="298" t="s">
        <v>602</v>
      </c>
      <c r="L145" s="305"/>
      <c r="M145" s="300" t="str">
        <f>IF(L145=$AA$3,$I145,$J145)</f>
        <v>EB</v>
      </c>
      <c r="N145" s="306">
        <v>3</v>
      </c>
      <c r="O145" s="298" t="str">
        <f>IF(L145=$AA$3,$I145,$K145)</f>
        <v>NC</v>
      </c>
      <c r="P145" s="306">
        <v>3</v>
      </c>
      <c r="Q145" s="307" t="str">
        <f t="shared" si="62"/>
        <v>EB</v>
      </c>
      <c r="R145" s="305" t="str">
        <f t="shared" si="63"/>
        <v>NC</v>
      </c>
      <c r="S145" s="450"/>
      <c r="T145" s="300" t="str">
        <f t="shared" si="64"/>
        <v>EB</v>
      </c>
      <c r="U145" s="2111"/>
      <c r="V145" s="298" t="str">
        <f t="shared" si="68"/>
        <v>NC</v>
      </c>
      <c r="W145" s="2111"/>
      <c r="X145" s="307" t="str">
        <f t="shared" si="66"/>
        <v>EB</v>
      </c>
      <c r="Y145" s="305" t="str">
        <f t="shared" si="67"/>
        <v>NC</v>
      </c>
      <c r="Z145" s="205"/>
      <c r="AA145" s="265" t="e">
        <f>重み_前!M145</f>
        <v>#DIV/0!</v>
      </c>
      <c r="AB145" s="265" t="e">
        <f>重み_後!N145</f>
        <v>#DIV/0!</v>
      </c>
      <c r="AC145" s="235" t="e">
        <f>重み_前!D145</f>
        <v>#DIV/0!</v>
      </c>
      <c r="AD145" s="235"/>
      <c r="AE145" s="235" t="e">
        <f>重み_後!D145</f>
        <v>#DIV/0!</v>
      </c>
      <c r="AF145" s="235"/>
      <c r="AG145" s="235"/>
      <c r="AH145" s="236" t="e">
        <f>重み_前!N145</f>
        <v>#DIV/0!</v>
      </c>
      <c r="AI145" s="236" t="e">
        <f>重み_後!O145</f>
        <v>#DIV/0!</v>
      </c>
      <c r="AJ145" s="235" t="e">
        <f>重み_前!E145</f>
        <v>#DIV/0!</v>
      </c>
      <c r="AK145" s="235"/>
      <c r="AL145" s="235" t="e">
        <f>重み_後!E145</f>
        <v>#DIV/0!</v>
      </c>
    </row>
    <row r="146" spans="1:38" ht="14.25" thickBot="1">
      <c r="A146" s="399"/>
      <c r="B146" s="443">
        <v>2</v>
      </c>
      <c r="C146" s="363" t="s">
        <v>763</v>
      </c>
      <c r="D146" s="363"/>
      <c r="E146" s="465"/>
      <c r="F146" s="280" t="s">
        <v>760</v>
      </c>
      <c r="G146" s="280" t="s">
        <v>760</v>
      </c>
      <c r="H146" s="280" t="s">
        <v>761</v>
      </c>
      <c r="I146" s="327"/>
      <c r="J146" s="327"/>
      <c r="K146" s="328"/>
      <c r="L146" s="376" t="str">
        <f>IF(COUNTIF(L147:L152,$AA$3)&gt;=ROWS(L147:L152),$AA$3,"")</f>
        <v/>
      </c>
      <c r="M146" s="328"/>
      <c r="N146" s="309"/>
      <c r="O146" s="328"/>
      <c r="P146" s="293"/>
      <c r="Q146" s="310" t="str">
        <f t="shared" si="62"/>
        <v>EB</v>
      </c>
      <c r="R146" s="311" t="str">
        <f t="shared" si="63"/>
        <v>NC</v>
      </c>
      <c r="S146" s="450"/>
      <c r="T146" s="300">
        <f t="shared" si="64"/>
        <v>0</v>
      </c>
      <c r="U146" s="2111"/>
      <c r="V146" s="298">
        <f t="shared" si="68"/>
        <v>0</v>
      </c>
      <c r="W146" s="2111"/>
      <c r="X146" s="310" t="str">
        <f t="shared" si="66"/>
        <v>EB</v>
      </c>
      <c r="Y146" s="311" t="str">
        <f t="shared" si="67"/>
        <v>NC</v>
      </c>
      <c r="Z146" s="205"/>
      <c r="AA146" s="265" t="e">
        <f>重み_前!M146</f>
        <v>#DIV/0!</v>
      </c>
      <c r="AB146" s="265" t="e">
        <f>重み_後!N146</f>
        <v>#DIV/0!</v>
      </c>
      <c r="AC146" s="235" t="e">
        <f>重み_前!D146</f>
        <v>#DIV/0!</v>
      </c>
      <c r="AD146" s="235"/>
      <c r="AE146" s="235" t="e">
        <f>重み_後!D146</f>
        <v>#DIV/0!</v>
      </c>
      <c r="AF146" s="235"/>
      <c r="AG146" s="235"/>
      <c r="AH146" s="236" t="e">
        <f>重み_前!N146</f>
        <v>#DIV/0!</v>
      </c>
      <c r="AI146" s="236" t="e">
        <f>重み_後!O146</f>
        <v>#DIV/0!</v>
      </c>
      <c r="AJ146" s="235" t="e">
        <f>重み_前!E146</f>
        <v>#DIV/0!</v>
      </c>
      <c r="AK146" s="235"/>
      <c r="AL146" s="235" t="e">
        <f>重み_後!E146</f>
        <v>#DIV/0!</v>
      </c>
    </row>
    <row r="147" spans="1:38" ht="13.5">
      <c r="A147" s="399"/>
      <c r="B147" s="331"/>
      <c r="C147" s="289">
        <v>2.1</v>
      </c>
      <c r="D147" s="326" t="s">
        <v>764</v>
      </c>
      <c r="E147" s="317"/>
      <c r="F147" s="327" t="s">
        <v>722</v>
      </c>
      <c r="G147" s="327" t="s">
        <v>722</v>
      </c>
      <c r="H147" s="327" t="s">
        <v>602</v>
      </c>
      <c r="I147" s="327" t="s">
        <v>722</v>
      </c>
      <c r="J147" s="327" t="s">
        <v>722</v>
      </c>
      <c r="K147" s="328" t="s">
        <v>602</v>
      </c>
      <c r="L147" s="299"/>
      <c r="M147" s="300" t="str">
        <f t="shared" ref="M147:M152" si="69">IF(L147=$AA$3,$I147,$J147)</f>
        <v>EB</v>
      </c>
      <c r="N147" s="466">
        <v>3</v>
      </c>
      <c r="O147" s="298" t="str">
        <f t="shared" ref="O147:O152" si="70">IF(L147=$AA$3,$I147,$K147)</f>
        <v>NC</v>
      </c>
      <c r="P147" s="466">
        <v>3</v>
      </c>
      <c r="Q147" s="302" t="str">
        <f t="shared" si="62"/>
        <v>EB</v>
      </c>
      <c r="R147" s="301" t="str">
        <f t="shared" si="63"/>
        <v>NC</v>
      </c>
      <c r="S147" s="450"/>
      <c r="T147" s="300" t="str">
        <f t="shared" si="64"/>
        <v>EB</v>
      </c>
      <c r="U147" s="2111"/>
      <c r="V147" s="298" t="str">
        <f t="shared" si="68"/>
        <v>NC</v>
      </c>
      <c r="W147" s="2111"/>
      <c r="X147" s="302" t="str">
        <f t="shared" si="66"/>
        <v>EB</v>
      </c>
      <c r="Y147" s="301" t="str">
        <f t="shared" si="67"/>
        <v>NC</v>
      </c>
      <c r="Z147" s="205"/>
      <c r="AA147" s="265" t="e">
        <f>重み_前!M147</f>
        <v>#DIV/0!</v>
      </c>
      <c r="AB147" s="265" t="e">
        <f>重み_後!N147</f>
        <v>#DIV/0!</v>
      </c>
      <c r="AC147" s="235" t="e">
        <f>重み_前!D147</f>
        <v>#DIV/0!</v>
      </c>
      <c r="AD147" s="235"/>
      <c r="AE147" s="235" t="e">
        <f>重み_後!D147</f>
        <v>#DIV/0!</v>
      </c>
      <c r="AF147" s="235"/>
      <c r="AG147" s="235"/>
      <c r="AH147" s="236" t="e">
        <f>重み_前!N147</f>
        <v>#DIV/0!</v>
      </c>
      <c r="AI147" s="236" t="e">
        <f>重み_後!O147</f>
        <v>#DIV/0!</v>
      </c>
      <c r="AJ147" s="235" t="e">
        <f>重み_前!E147</f>
        <v>#DIV/0!</v>
      </c>
      <c r="AK147" s="235"/>
      <c r="AL147" s="235" t="e">
        <f>重み_後!E147</f>
        <v>#DIV/0!</v>
      </c>
    </row>
    <row r="148" spans="1:38" ht="13.5">
      <c r="A148" s="399"/>
      <c r="B148" s="340"/>
      <c r="C148" s="316">
        <v>2.2000000000000002</v>
      </c>
      <c r="D148" s="392" t="s">
        <v>765</v>
      </c>
      <c r="E148" s="317"/>
      <c r="F148" s="280" t="s">
        <v>722</v>
      </c>
      <c r="G148" s="280" t="s">
        <v>722</v>
      </c>
      <c r="H148" s="375" t="s">
        <v>766</v>
      </c>
      <c r="I148" s="280" t="s">
        <v>722</v>
      </c>
      <c r="J148" s="280" t="s">
        <v>722</v>
      </c>
      <c r="K148" s="467" t="s">
        <v>766</v>
      </c>
      <c r="L148" s="313"/>
      <c r="M148" s="300" t="str">
        <f t="shared" si="69"/>
        <v>EB</v>
      </c>
      <c r="N148" s="466">
        <v>3</v>
      </c>
      <c r="O148" s="298" t="str">
        <f t="shared" si="70"/>
        <v>EB</v>
      </c>
      <c r="P148" s="466">
        <v>3</v>
      </c>
      <c r="Q148" s="314" t="str">
        <f t="shared" si="62"/>
        <v>EB</v>
      </c>
      <c r="R148" s="313" t="str">
        <f t="shared" si="63"/>
        <v>EB</v>
      </c>
      <c r="S148" s="450"/>
      <c r="T148" s="300" t="str">
        <f t="shared" si="64"/>
        <v>EB</v>
      </c>
      <c r="U148" s="2111"/>
      <c r="V148" s="298" t="str">
        <f t="shared" si="68"/>
        <v>EB</v>
      </c>
      <c r="W148" s="2111"/>
      <c r="X148" s="314" t="str">
        <f t="shared" si="66"/>
        <v>EB</v>
      </c>
      <c r="Y148" s="313" t="str">
        <f t="shared" si="67"/>
        <v>EB</v>
      </c>
      <c r="Z148" s="205"/>
      <c r="AA148" s="265" t="e">
        <f>重み_前!M148</f>
        <v>#DIV/0!</v>
      </c>
      <c r="AB148" s="265" t="e">
        <f>重み_後!N148</f>
        <v>#DIV/0!</v>
      </c>
      <c r="AC148" s="235" t="e">
        <f>重み_前!D148</f>
        <v>#DIV/0!</v>
      </c>
      <c r="AD148" s="235"/>
      <c r="AE148" s="235" t="e">
        <f>重み_後!D148</f>
        <v>#DIV/0!</v>
      </c>
      <c r="AF148" s="235"/>
      <c r="AG148" s="235"/>
      <c r="AH148" s="236" t="e">
        <f>重み_前!N148</f>
        <v>#DIV/0!</v>
      </c>
      <c r="AI148" s="236" t="e">
        <f>重み_後!O148</f>
        <v>#DIV/0!</v>
      </c>
      <c r="AJ148" s="235" t="e">
        <f>重み_前!E148</f>
        <v>#DIV/0!</v>
      </c>
      <c r="AK148" s="235"/>
      <c r="AL148" s="235" t="e">
        <f>重み_後!E148</f>
        <v>#DIV/0!</v>
      </c>
    </row>
    <row r="149" spans="1:38" ht="13.5">
      <c r="A149" s="399"/>
      <c r="B149" s="331"/>
      <c r="C149" s="289">
        <v>2.2999999999999998</v>
      </c>
      <c r="D149" s="326" t="s">
        <v>767</v>
      </c>
      <c r="E149" s="317"/>
      <c r="F149" s="280" t="s">
        <v>722</v>
      </c>
      <c r="G149" s="280" t="s">
        <v>722</v>
      </c>
      <c r="H149" s="280" t="s">
        <v>602</v>
      </c>
      <c r="I149" s="280" t="s">
        <v>722</v>
      </c>
      <c r="J149" s="280" t="s">
        <v>722</v>
      </c>
      <c r="K149" s="298" t="s">
        <v>602</v>
      </c>
      <c r="L149" s="313"/>
      <c r="M149" s="300" t="str">
        <f t="shared" si="69"/>
        <v>EB</v>
      </c>
      <c r="N149" s="313">
        <v>3</v>
      </c>
      <c r="O149" s="298" t="str">
        <f t="shared" si="70"/>
        <v>NC</v>
      </c>
      <c r="P149" s="313">
        <v>3</v>
      </c>
      <c r="Q149" s="313" t="str">
        <f t="shared" si="62"/>
        <v>EB</v>
      </c>
      <c r="R149" s="313" t="str">
        <f t="shared" si="63"/>
        <v>NC</v>
      </c>
      <c r="S149" s="450"/>
      <c r="T149" s="300" t="str">
        <f t="shared" si="64"/>
        <v>EB</v>
      </c>
      <c r="U149" s="2111"/>
      <c r="V149" s="298" t="str">
        <f t="shared" si="68"/>
        <v>NC</v>
      </c>
      <c r="W149" s="2111"/>
      <c r="X149" s="313" t="str">
        <f t="shared" si="66"/>
        <v>EB</v>
      </c>
      <c r="Y149" s="313" t="str">
        <f t="shared" si="67"/>
        <v>NC</v>
      </c>
      <c r="Z149" s="205"/>
      <c r="AA149" s="265" t="e">
        <f>重み_前!M149</f>
        <v>#DIV/0!</v>
      </c>
      <c r="AB149" s="265" t="e">
        <f>重み_後!N149</f>
        <v>#DIV/0!</v>
      </c>
      <c r="AC149" s="235" t="e">
        <f>重み_前!D149</f>
        <v>#DIV/0!</v>
      </c>
      <c r="AD149" s="235"/>
      <c r="AE149" s="235" t="e">
        <f>重み_後!D149</f>
        <v>#DIV/0!</v>
      </c>
      <c r="AF149" s="235"/>
      <c r="AG149" s="235"/>
      <c r="AH149" s="236" t="e">
        <f>重み_前!N149</f>
        <v>#DIV/0!</v>
      </c>
      <c r="AI149" s="236" t="e">
        <f>重み_後!O149</f>
        <v>#DIV/0!</v>
      </c>
      <c r="AJ149" s="235" t="e">
        <f>重み_前!E149</f>
        <v>#DIV/0!</v>
      </c>
      <c r="AK149" s="235"/>
      <c r="AL149" s="235" t="e">
        <f>重み_後!E149</f>
        <v>#DIV/0!</v>
      </c>
    </row>
    <row r="150" spans="1:38" ht="13.5">
      <c r="A150" s="399"/>
      <c r="B150" s="331"/>
      <c r="C150" s="316">
        <v>2.4</v>
      </c>
      <c r="D150" s="2105" t="s">
        <v>1769</v>
      </c>
      <c r="E150" s="317"/>
      <c r="F150" s="280" t="s">
        <v>722</v>
      </c>
      <c r="G150" s="280" t="s">
        <v>722</v>
      </c>
      <c r="H150" s="280" t="s">
        <v>602</v>
      </c>
      <c r="I150" s="280" t="s">
        <v>722</v>
      </c>
      <c r="J150" s="280" t="s">
        <v>722</v>
      </c>
      <c r="K150" s="298" t="s">
        <v>602</v>
      </c>
      <c r="L150" s="313"/>
      <c r="M150" s="300" t="str">
        <f t="shared" si="69"/>
        <v>EB</v>
      </c>
      <c r="N150" s="313">
        <v>3</v>
      </c>
      <c r="O150" s="298" t="str">
        <f t="shared" si="70"/>
        <v>NC</v>
      </c>
      <c r="P150" s="313">
        <v>3</v>
      </c>
      <c r="Q150" s="313" t="str">
        <f t="shared" si="62"/>
        <v>EB</v>
      </c>
      <c r="R150" s="313" t="str">
        <f t="shared" si="63"/>
        <v>NC</v>
      </c>
      <c r="S150" s="450"/>
      <c r="T150" s="300" t="str">
        <f t="shared" si="64"/>
        <v>EB</v>
      </c>
      <c r="U150" s="2111"/>
      <c r="V150" s="298" t="str">
        <f t="shared" si="68"/>
        <v>NC</v>
      </c>
      <c r="W150" s="2111"/>
      <c r="X150" s="313" t="str">
        <f t="shared" si="66"/>
        <v>EB</v>
      </c>
      <c r="Y150" s="313" t="str">
        <f t="shared" si="67"/>
        <v>NC</v>
      </c>
      <c r="Z150" s="205"/>
      <c r="AA150" s="265" t="e">
        <f>重み_前!M150</f>
        <v>#DIV/0!</v>
      </c>
      <c r="AB150" s="265" t="e">
        <f>重み_後!N150</f>
        <v>#DIV/0!</v>
      </c>
      <c r="AC150" s="235" t="e">
        <f>重み_前!D150</f>
        <v>#DIV/0!</v>
      </c>
      <c r="AD150" s="235"/>
      <c r="AE150" s="235" t="e">
        <f>重み_後!D150</f>
        <v>#DIV/0!</v>
      </c>
      <c r="AF150" s="235"/>
      <c r="AG150" s="235"/>
      <c r="AH150" s="236" t="e">
        <f>重み_前!N150</f>
        <v>#DIV/0!</v>
      </c>
      <c r="AI150" s="236" t="e">
        <f>重み_後!O150</f>
        <v>#DIV/0!</v>
      </c>
      <c r="AJ150" s="235" t="e">
        <f>重み_前!E150</f>
        <v>#DIV/0!</v>
      </c>
      <c r="AK150" s="235"/>
      <c r="AL150" s="235" t="e">
        <f>重み_後!E150</f>
        <v>#DIV/0!</v>
      </c>
    </row>
    <row r="151" spans="1:38" ht="13.5">
      <c r="A151" s="399"/>
      <c r="B151" s="340"/>
      <c r="C151" s="345">
        <v>2.5</v>
      </c>
      <c r="D151" s="392" t="s">
        <v>768</v>
      </c>
      <c r="E151" s="317"/>
      <c r="F151" s="280" t="s">
        <v>722</v>
      </c>
      <c r="G151" s="280" t="s">
        <v>722</v>
      </c>
      <c r="H151" s="280" t="s">
        <v>602</v>
      </c>
      <c r="I151" s="280" t="s">
        <v>722</v>
      </c>
      <c r="J151" s="280" t="s">
        <v>722</v>
      </c>
      <c r="K151" s="298" t="s">
        <v>602</v>
      </c>
      <c r="L151" s="313"/>
      <c r="M151" s="300" t="str">
        <f t="shared" si="69"/>
        <v>EB</v>
      </c>
      <c r="N151" s="466">
        <v>3</v>
      </c>
      <c r="O151" s="298" t="str">
        <f t="shared" si="70"/>
        <v>NC</v>
      </c>
      <c r="P151" s="466">
        <v>3</v>
      </c>
      <c r="Q151" s="313" t="str">
        <f t="shared" si="62"/>
        <v>EB</v>
      </c>
      <c r="R151" s="313" t="str">
        <f t="shared" si="63"/>
        <v>NC</v>
      </c>
      <c r="S151" s="450"/>
      <c r="T151" s="300" t="str">
        <f t="shared" si="64"/>
        <v>EB</v>
      </c>
      <c r="U151" s="2111"/>
      <c r="V151" s="298" t="str">
        <f t="shared" si="68"/>
        <v>NC</v>
      </c>
      <c r="W151" s="2111"/>
      <c r="X151" s="313" t="str">
        <f t="shared" si="66"/>
        <v>EB</v>
      </c>
      <c r="Y151" s="313" t="str">
        <f t="shared" si="67"/>
        <v>NC</v>
      </c>
      <c r="Z151" s="205"/>
      <c r="AA151" s="265" t="e">
        <f>重み_前!M151</f>
        <v>#DIV/0!</v>
      </c>
      <c r="AB151" s="265" t="e">
        <f>重み_後!N151</f>
        <v>#DIV/0!</v>
      </c>
      <c r="AC151" s="235" t="e">
        <f>重み_前!D151</f>
        <v>#DIV/0!</v>
      </c>
      <c r="AD151" s="235"/>
      <c r="AE151" s="235" t="e">
        <f>重み_後!D151</f>
        <v>#DIV/0!</v>
      </c>
      <c r="AF151" s="235"/>
      <c r="AG151" s="235"/>
      <c r="AH151" s="236" t="e">
        <f>重み_前!N151</f>
        <v>#DIV/0!</v>
      </c>
      <c r="AI151" s="236" t="e">
        <f>重み_後!O151</f>
        <v>#DIV/0!</v>
      </c>
      <c r="AJ151" s="235" t="e">
        <f>重み_前!E151</f>
        <v>#DIV/0!</v>
      </c>
      <c r="AK151" s="235"/>
      <c r="AL151" s="235" t="e">
        <f>重み_後!E151</f>
        <v>#DIV/0!</v>
      </c>
    </row>
    <row r="152" spans="1:38" ht="14.25" thickBot="1">
      <c r="A152" s="399"/>
      <c r="B152" s="468"/>
      <c r="C152" s="316">
        <v>2.6</v>
      </c>
      <c r="D152" s="392" t="s">
        <v>1809</v>
      </c>
      <c r="E152" s="317"/>
      <c r="F152" s="280" t="s">
        <v>722</v>
      </c>
      <c r="G152" s="280" t="s">
        <v>722</v>
      </c>
      <c r="H152" s="280" t="s">
        <v>602</v>
      </c>
      <c r="I152" s="280" t="s">
        <v>722</v>
      </c>
      <c r="J152" s="280" t="s">
        <v>722</v>
      </c>
      <c r="K152" s="298" t="s">
        <v>602</v>
      </c>
      <c r="L152" s="306"/>
      <c r="M152" s="300" t="str">
        <f t="shared" si="69"/>
        <v>EB</v>
      </c>
      <c r="N152" s="318">
        <v>3</v>
      </c>
      <c r="O152" s="298" t="str">
        <f t="shared" si="70"/>
        <v>NC</v>
      </c>
      <c r="P152" s="318">
        <v>3</v>
      </c>
      <c r="Q152" s="306" t="str">
        <f t="shared" si="62"/>
        <v>EB</v>
      </c>
      <c r="R152" s="306" t="str">
        <f t="shared" si="63"/>
        <v>NC</v>
      </c>
      <c r="S152" s="450"/>
      <c r="T152" s="300" t="str">
        <f t="shared" si="64"/>
        <v>EB</v>
      </c>
      <c r="U152" s="2111"/>
      <c r="V152" s="298" t="str">
        <f t="shared" si="68"/>
        <v>NC</v>
      </c>
      <c r="W152" s="2111"/>
      <c r="X152" s="306" t="str">
        <f t="shared" si="66"/>
        <v>EB</v>
      </c>
      <c r="Y152" s="306" t="str">
        <f t="shared" si="67"/>
        <v>NC</v>
      </c>
      <c r="Z152" s="205"/>
      <c r="AA152" s="265" t="e">
        <f>重み_前!M152</f>
        <v>#DIV/0!</v>
      </c>
      <c r="AB152" s="265" t="e">
        <f>重み_後!N152</f>
        <v>#DIV/0!</v>
      </c>
      <c r="AC152" s="235" t="e">
        <f>重み_前!D152</f>
        <v>#DIV/0!</v>
      </c>
      <c r="AD152" s="235"/>
      <c r="AE152" s="235" t="e">
        <f>重み_後!D152</f>
        <v>#DIV/0!</v>
      </c>
      <c r="AF152" s="235"/>
      <c r="AG152" s="235"/>
      <c r="AH152" s="236" t="e">
        <f>重み_前!N152</f>
        <v>#DIV/0!</v>
      </c>
      <c r="AI152" s="236" t="e">
        <f>重み_後!O152</f>
        <v>#DIV/0!</v>
      </c>
      <c r="AJ152" s="235" t="e">
        <f>重み_前!E152</f>
        <v>#DIV/0!</v>
      </c>
      <c r="AK152" s="235"/>
      <c r="AL152" s="235" t="e">
        <f>重み_後!E152</f>
        <v>#DIV/0!</v>
      </c>
    </row>
    <row r="153" spans="1:38" ht="14.25" thickBot="1">
      <c r="A153" s="399"/>
      <c r="B153" s="443">
        <v>3</v>
      </c>
      <c r="C153" s="363" t="s">
        <v>769</v>
      </c>
      <c r="D153" s="363"/>
      <c r="E153" s="465"/>
      <c r="F153" s="280" t="s">
        <v>665</v>
      </c>
      <c r="G153" s="280" t="s">
        <v>665</v>
      </c>
      <c r="H153" s="280" t="s">
        <v>666</v>
      </c>
      <c r="I153" s="280"/>
      <c r="J153" s="280"/>
      <c r="K153" s="298"/>
      <c r="L153" s="295" t="str">
        <f>IF(COUNTIF(L154:L155,$AA$3)&gt;=ROWS(L154:L155),$AA$3,"")</f>
        <v/>
      </c>
      <c r="M153" s="329"/>
      <c r="N153" s="309"/>
      <c r="O153" s="328"/>
      <c r="P153" s="309"/>
      <c r="Q153" s="310" t="str">
        <f t="shared" si="62"/>
        <v>EB</v>
      </c>
      <c r="R153" s="311" t="str">
        <f t="shared" si="63"/>
        <v>NC</v>
      </c>
      <c r="S153" s="450"/>
      <c r="T153" s="300">
        <f t="shared" si="64"/>
        <v>0</v>
      </c>
      <c r="U153" s="2111"/>
      <c r="V153" s="298">
        <f t="shared" si="68"/>
        <v>0</v>
      </c>
      <c r="W153" s="2111"/>
      <c r="X153" s="310" t="str">
        <f t="shared" si="66"/>
        <v>EB</v>
      </c>
      <c r="Y153" s="311" t="str">
        <f t="shared" si="67"/>
        <v>NC</v>
      </c>
      <c r="Z153" s="205"/>
      <c r="AA153" s="265" t="e">
        <f>重み_前!M153</f>
        <v>#DIV/0!</v>
      </c>
      <c r="AB153" s="265" t="e">
        <f>重み_後!N153</f>
        <v>#DIV/0!</v>
      </c>
      <c r="AC153" s="235" t="e">
        <f>重み_前!D153</f>
        <v>#DIV/0!</v>
      </c>
      <c r="AD153" s="235"/>
      <c r="AE153" s="235" t="e">
        <f>重み_後!D153</f>
        <v>#DIV/0!</v>
      </c>
      <c r="AF153" s="235"/>
      <c r="AG153" s="235"/>
      <c r="AH153" s="236" t="e">
        <f>重み_前!N153</f>
        <v>#DIV/0!</v>
      </c>
      <c r="AI153" s="236" t="e">
        <f>重み_後!O153</f>
        <v>#DIV/0!</v>
      </c>
      <c r="AJ153" s="235" t="e">
        <f>重み_前!E153</f>
        <v>#DIV/0!</v>
      </c>
      <c r="AK153" s="235"/>
      <c r="AL153" s="235" t="e">
        <f>重み_後!E153</f>
        <v>#DIV/0!</v>
      </c>
    </row>
    <row r="154" spans="1:38" ht="14.25" thickBot="1">
      <c r="A154" s="399"/>
      <c r="B154" s="340"/>
      <c r="C154" s="316">
        <v>3.1</v>
      </c>
      <c r="D154" s="392" t="s">
        <v>770</v>
      </c>
      <c r="E154" s="317"/>
      <c r="F154" s="280" t="s">
        <v>722</v>
      </c>
      <c r="G154" s="280" t="s">
        <v>722</v>
      </c>
      <c r="H154" s="280" t="s">
        <v>602</v>
      </c>
      <c r="I154" s="280" t="s">
        <v>722</v>
      </c>
      <c r="J154" s="280" t="s">
        <v>722</v>
      </c>
      <c r="K154" s="298" t="s">
        <v>602</v>
      </c>
      <c r="L154" s="444"/>
      <c r="M154" s="300" t="str">
        <f>IF(L154=$AA$3,$I154,$J154)</f>
        <v>EB</v>
      </c>
      <c r="N154" s="445">
        <v>3</v>
      </c>
      <c r="O154" s="298" t="str">
        <f>IF(L154=$AA$3,$I154,$K154)</f>
        <v>NC</v>
      </c>
      <c r="P154" s="445">
        <v>3</v>
      </c>
      <c r="Q154" s="446" t="str">
        <f t="shared" si="62"/>
        <v>EB</v>
      </c>
      <c r="R154" s="444" t="str">
        <f t="shared" si="63"/>
        <v>NC</v>
      </c>
      <c r="S154" s="450"/>
      <c r="T154" s="300" t="str">
        <f t="shared" si="64"/>
        <v>EB</v>
      </c>
      <c r="U154" s="2111"/>
      <c r="V154" s="298" t="str">
        <f t="shared" si="68"/>
        <v>NC</v>
      </c>
      <c r="W154" s="2111"/>
      <c r="X154" s="446" t="str">
        <f t="shared" si="66"/>
        <v>EB</v>
      </c>
      <c r="Y154" s="444" t="str">
        <f t="shared" si="67"/>
        <v>NC</v>
      </c>
      <c r="Z154" s="205"/>
      <c r="AA154" s="265" t="e">
        <f>重み_前!M154</f>
        <v>#DIV/0!</v>
      </c>
      <c r="AB154" s="265" t="e">
        <f>重み_後!N154</f>
        <v>#DIV/0!</v>
      </c>
      <c r="AC154" s="235" t="e">
        <f>重み_前!D154</f>
        <v>#DIV/0!</v>
      </c>
      <c r="AD154" s="235"/>
      <c r="AE154" s="235" t="e">
        <f>重み_後!D154</f>
        <v>#DIV/0!</v>
      </c>
      <c r="AF154" s="235"/>
      <c r="AG154" s="235"/>
      <c r="AH154" s="236" t="e">
        <f>重み_前!N154</f>
        <v>#DIV/0!</v>
      </c>
      <c r="AI154" s="236" t="e">
        <f>重み_後!O154</f>
        <v>#DIV/0!</v>
      </c>
      <c r="AJ154" s="235" t="e">
        <f>重み_前!E154</f>
        <v>#DIV/0!</v>
      </c>
      <c r="AK154" s="235"/>
      <c r="AL154" s="235" t="e">
        <f>重み_後!E154</f>
        <v>#DIV/0!</v>
      </c>
    </row>
    <row r="155" spans="1:38" ht="14.25" thickBot="1">
      <c r="A155" s="399"/>
      <c r="B155" s="340"/>
      <c r="C155" s="289">
        <v>3.2</v>
      </c>
      <c r="D155" s="392" t="s">
        <v>771</v>
      </c>
      <c r="E155" s="290"/>
      <c r="F155" s="280" t="s">
        <v>766</v>
      </c>
      <c r="G155" s="280" t="s">
        <v>766</v>
      </c>
      <c r="H155" s="280" t="s">
        <v>772</v>
      </c>
      <c r="I155" s="327"/>
      <c r="J155" s="327"/>
      <c r="K155" s="328"/>
      <c r="L155" s="292" t="str">
        <f>IF(COUNTIF(L156:L158,$AA$3)&gt;=ROWS(L156:L158),$AA$3,"")</f>
        <v/>
      </c>
      <c r="M155" s="329"/>
      <c r="N155" s="309"/>
      <c r="O155" s="328"/>
      <c r="P155" s="309"/>
      <c r="Q155" s="310" t="str">
        <f t="shared" si="62"/>
        <v>EB</v>
      </c>
      <c r="R155" s="311" t="str">
        <f t="shared" si="63"/>
        <v>NC</v>
      </c>
      <c r="S155" s="450"/>
      <c r="T155" s="300">
        <f t="shared" si="64"/>
        <v>0</v>
      </c>
      <c r="U155" s="2111"/>
      <c r="V155" s="298">
        <f t="shared" si="68"/>
        <v>0</v>
      </c>
      <c r="W155" s="2111"/>
      <c r="X155" s="310" t="str">
        <f t="shared" si="66"/>
        <v>EB</v>
      </c>
      <c r="Y155" s="311" t="str">
        <f t="shared" si="67"/>
        <v>NC</v>
      </c>
      <c r="Z155" s="205"/>
      <c r="AA155" s="265" t="e">
        <f>重み_前!M155</f>
        <v>#DIV/0!</v>
      </c>
      <c r="AB155" s="265" t="e">
        <f>重み_後!N155</f>
        <v>#DIV/0!</v>
      </c>
      <c r="AC155" s="235" t="e">
        <f>重み_前!D155</f>
        <v>#DIV/0!</v>
      </c>
      <c r="AD155" s="235"/>
      <c r="AE155" s="235" t="e">
        <f>重み_後!D155</f>
        <v>#DIV/0!</v>
      </c>
      <c r="AF155" s="235"/>
      <c r="AG155" s="235"/>
      <c r="AH155" s="236" t="e">
        <f>重み_前!N155</f>
        <v>#DIV/0!</v>
      </c>
      <c r="AI155" s="236" t="e">
        <f>重み_後!O155</f>
        <v>#DIV/0!</v>
      </c>
      <c r="AJ155" s="235" t="e">
        <f>重み_前!E155</f>
        <v>#DIV/0!</v>
      </c>
      <c r="AK155" s="235"/>
      <c r="AL155" s="235" t="e">
        <f>重み_後!E155</f>
        <v>#DIV/0!</v>
      </c>
    </row>
    <row r="156" spans="1:38" ht="13.5">
      <c r="A156" s="399"/>
      <c r="B156" s="340"/>
      <c r="C156" s="296"/>
      <c r="D156" s="297">
        <v>1</v>
      </c>
      <c r="E156" s="317" t="s">
        <v>773</v>
      </c>
      <c r="F156" s="280" t="s">
        <v>722</v>
      </c>
      <c r="G156" s="280" t="s">
        <v>722</v>
      </c>
      <c r="H156" s="280" t="s">
        <v>602</v>
      </c>
      <c r="I156" s="280" t="s">
        <v>722</v>
      </c>
      <c r="J156" s="280" t="s">
        <v>722</v>
      </c>
      <c r="K156" s="298" t="s">
        <v>602</v>
      </c>
      <c r="L156" s="299"/>
      <c r="M156" s="300" t="str">
        <f>IF(L156=$AA$3,$I156,$J156)</f>
        <v>EB</v>
      </c>
      <c r="N156" s="301">
        <v>3</v>
      </c>
      <c r="O156" s="298" t="str">
        <f>IF(L156=$AA$3,$I156,$K156)</f>
        <v>NC</v>
      </c>
      <c r="P156" s="301">
        <v>3</v>
      </c>
      <c r="Q156" s="302" t="str">
        <f t="shared" si="62"/>
        <v>EB</v>
      </c>
      <c r="R156" s="299" t="str">
        <f t="shared" si="63"/>
        <v>NC</v>
      </c>
      <c r="S156" s="450"/>
      <c r="T156" s="300" t="str">
        <f t="shared" si="64"/>
        <v>EB</v>
      </c>
      <c r="U156" s="2111"/>
      <c r="V156" s="298" t="str">
        <f t="shared" si="68"/>
        <v>NC</v>
      </c>
      <c r="W156" s="2111"/>
      <c r="X156" s="302" t="str">
        <f t="shared" si="66"/>
        <v>EB</v>
      </c>
      <c r="Y156" s="299" t="str">
        <f t="shared" si="67"/>
        <v>NC</v>
      </c>
      <c r="Z156" s="205"/>
      <c r="AA156" s="265" t="e">
        <f>重み_前!M156</f>
        <v>#DIV/0!</v>
      </c>
      <c r="AB156" s="265" t="e">
        <f>重み_後!N156</f>
        <v>#DIV/0!</v>
      </c>
      <c r="AC156" s="235" t="e">
        <f>重み_前!D156</f>
        <v>#DIV/0!</v>
      </c>
      <c r="AD156" s="235"/>
      <c r="AE156" s="235" t="e">
        <f>重み_後!D156</f>
        <v>#DIV/0!</v>
      </c>
      <c r="AF156" s="235"/>
      <c r="AG156" s="235"/>
      <c r="AH156" s="236" t="e">
        <f>重み_前!N156</f>
        <v>#DIV/0!</v>
      </c>
      <c r="AI156" s="236" t="e">
        <f>重み_後!O156</f>
        <v>#DIV/0!</v>
      </c>
      <c r="AJ156" s="235" t="e">
        <f>重み_前!E156</f>
        <v>#DIV/0!</v>
      </c>
      <c r="AK156" s="235"/>
      <c r="AL156" s="235" t="e">
        <f>重み_後!E156</f>
        <v>#DIV/0!</v>
      </c>
    </row>
    <row r="157" spans="1:38" ht="13.5">
      <c r="A157" s="399"/>
      <c r="B157" s="340"/>
      <c r="C157" s="296"/>
      <c r="D157" s="297">
        <v>2</v>
      </c>
      <c r="E157" s="317" t="s">
        <v>799</v>
      </c>
      <c r="F157" s="280" t="s">
        <v>722</v>
      </c>
      <c r="G157" s="280" t="s">
        <v>722</v>
      </c>
      <c r="H157" s="280" t="s">
        <v>602</v>
      </c>
      <c r="I157" s="280" t="s">
        <v>722</v>
      </c>
      <c r="J157" s="280" t="s">
        <v>722</v>
      </c>
      <c r="K157" s="298" t="s">
        <v>602</v>
      </c>
      <c r="L157" s="312"/>
      <c r="M157" s="300" t="str">
        <f>IF(L157=$AA$3,$I157,$J157)</f>
        <v>EB</v>
      </c>
      <c r="N157" s="313">
        <v>3</v>
      </c>
      <c r="O157" s="298" t="str">
        <f>IF(L157=$AA$3,$I157,$K157)</f>
        <v>NC</v>
      </c>
      <c r="P157" s="313">
        <v>3</v>
      </c>
      <c r="Q157" s="314" t="str">
        <f t="shared" si="62"/>
        <v>EB</v>
      </c>
      <c r="R157" s="312" t="str">
        <f t="shared" si="63"/>
        <v>NC</v>
      </c>
      <c r="S157" s="450"/>
      <c r="T157" s="300" t="str">
        <f t="shared" si="64"/>
        <v>EB</v>
      </c>
      <c r="U157" s="2111"/>
      <c r="V157" s="298" t="str">
        <f t="shared" si="68"/>
        <v>NC</v>
      </c>
      <c r="W157" s="2111"/>
      <c r="X157" s="314" t="str">
        <f t="shared" si="66"/>
        <v>EB</v>
      </c>
      <c r="Y157" s="312" t="str">
        <f t="shared" si="67"/>
        <v>NC</v>
      </c>
      <c r="Z157" s="205"/>
      <c r="AA157" s="265" t="e">
        <f>重み_前!M157</f>
        <v>#DIV/0!</v>
      </c>
      <c r="AB157" s="265" t="e">
        <f>重み_後!N157</f>
        <v>#DIV/0!</v>
      </c>
      <c r="AC157" s="235" t="e">
        <f>重み_前!D157</f>
        <v>#DIV/0!</v>
      </c>
      <c r="AD157" s="235"/>
      <c r="AE157" s="235" t="e">
        <f>重み_後!D157</f>
        <v>#DIV/0!</v>
      </c>
      <c r="AF157" s="235"/>
      <c r="AG157" s="235"/>
      <c r="AH157" s="236" t="e">
        <f>重み_前!N157</f>
        <v>#DIV/0!</v>
      </c>
      <c r="AI157" s="236" t="e">
        <f>重み_後!O157</f>
        <v>#DIV/0!</v>
      </c>
      <c r="AJ157" s="235" t="e">
        <f>重み_前!E157</f>
        <v>#DIV/0!</v>
      </c>
      <c r="AK157" s="235"/>
      <c r="AL157" s="235" t="e">
        <f>重み_後!E157</f>
        <v>#DIV/0!</v>
      </c>
    </row>
    <row r="158" spans="1:38" ht="14.25" thickBot="1">
      <c r="A158" s="399"/>
      <c r="B158" s="469"/>
      <c r="C158" s="348"/>
      <c r="D158" s="349">
        <v>3</v>
      </c>
      <c r="E158" s="350" t="s">
        <v>774</v>
      </c>
      <c r="F158" s="280" t="s">
        <v>722</v>
      </c>
      <c r="G158" s="280" t="s">
        <v>722</v>
      </c>
      <c r="H158" s="280" t="s">
        <v>602</v>
      </c>
      <c r="I158" s="280" t="s">
        <v>722</v>
      </c>
      <c r="J158" s="280" t="s">
        <v>722</v>
      </c>
      <c r="K158" s="298" t="s">
        <v>602</v>
      </c>
      <c r="L158" s="305"/>
      <c r="M158" s="300" t="str">
        <f>IF(L158=$AA$3,$I158,$J158)</f>
        <v>EB</v>
      </c>
      <c r="N158" s="306">
        <v>3</v>
      </c>
      <c r="O158" s="298" t="str">
        <f>IF(L158=$AA$3,$I158,$K158)</f>
        <v>NC</v>
      </c>
      <c r="P158" s="306">
        <v>3</v>
      </c>
      <c r="Q158" s="307" t="str">
        <f t="shared" si="62"/>
        <v>EB</v>
      </c>
      <c r="R158" s="305" t="str">
        <f t="shared" si="63"/>
        <v>NC</v>
      </c>
      <c r="S158" s="450"/>
      <c r="T158" s="300" t="str">
        <f t="shared" si="64"/>
        <v>EB</v>
      </c>
      <c r="U158" s="293"/>
      <c r="V158" s="298" t="str">
        <f t="shared" si="68"/>
        <v>NC</v>
      </c>
      <c r="W158" s="293"/>
      <c r="X158" s="307" t="str">
        <f t="shared" si="66"/>
        <v>EB</v>
      </c>
      <c r="Y158" s="305" t="str">
        <f t="shared" si="67"/>
        <v>NC</v>
      </c>
      <c r="Z158" s="205"/>
      <c r="AA158" s="265" t="e">
        <f>重み_前!M158</f>
        <v>#DIV/0!</v>
      </c>
      <c r="AB158" s="265" t="e">
        <f>重み_後!N158</f>
        <v>#DIV/0!</v>
      </c>
      <c r="AC158" s="235" t="e">
        <f>重み_前!D158</f>
        <v>#DIV/0!</v>
      </c>
      <c r="AD158" s="235"/>
      <c r="AE158" s="235" t="e">
        <f>重み_後!D158</f>
        <v>#DIV/0!</v>
      </c>
      <c r="AF158" s="235"/>
      <c r="AG158" s="235"/>
      <c r="AH158" s="236" t="e">
        <f>重み_前!N158</f>
        <v>#DIV/0!</v>
      </c>
      <c r="AI158" s="236" t="e">
        <f>重み_後!O158</f>
        <v>#DIV/0!</v>
      </c>
      <c r="AJ158" s="235" t="e">
        <f>重み_前!E158</f>
        <v>#DIV/0!</v>
      </c>
      <c r="AK158" s="235"/>
      <c r="AL158" s="235" t="e">
        <f>重み_後!E158</f>
        <v>#DIV/0!</v>
      </c>
    </row>
    <row r="159" spans="1:38" ht="14.25" thickBot="1">
      <c r="A159" s="399"/>
      <c r="B159" s="353" t="s">
        <v>423</v>
      </c>
      <c r="C159" s="400" t="s">
        <v>424</v>
      </c>
      <c r="D159" s="400"/>
      <c r="E159" s="400"/>
      <c r="F159" s="355"/>
      <c r="G159" s="355"/>
      <c r="H159" s="355"/>
      <c r="I159" s="355"/>
      <c r="J159" s="355"/>
      <c r="K159" s="356"/>
      <c r="L159" s="470"/>
      <c r="M159" s="357"/>
      <c r="N159" s="471"/>
      <c r="O159" s="356"/>
      <c r="P159" s="471"/>
      <c r="Q159" s="472"/>
      <c r="R159" s="473"/>
      <c r="S159" s="474"/>
      <c r="T159" s="357"/>
      <c r="U159" s="359"/>
      <c r="V159" s="356"/>
      <c r="W159" s="359"/>
      <c r="X159" s="472"/>
      <c r="Y159" s="473"/>
      <c r="Z159" s="205"/>
      <c r="AA159" s="265" t="e">
        <f>重み_前!M159</f>
        <v>#DIV/0!</v>
      </c>
      <c r="AB159" s="265" t="e">
        <f>重み_後!N159</f>
        <v>#DIV/0!</v>
      </c>
      <c r="AC159" s="235" t="e">
        <f>重み_前!D159</f>
        <v>#VALUE!</v>
      </c>
      <c r="AD159" s="235"/>
      <c r="AE159" s="235" t="e">
        <f>重み_後!D159</f>
        <v>#VALUE!</v>
      </c>
      <c r="AF159" s="235"/>
      <c r="AG159" s="235"/>
      <c r="AH159" s="236" t="e">
        <f>重み_前!N159</f>
        <v>#DIV/0!</v>
      </c>
      <c r="AI159" s="236" t="e">
        <f>重み_後!O159</f>
        <v>#DIV/0!</v>
      </c>
      <c r="AJ159" s="235" t="e">
        <f>重み_前!E159</f>
        <v>#DIV/0!</v>
      </c>
      <c r="AK159" s="235"/>
      <c r="AL159" s="235" t="e">
        <f>重み_後!E159</f>
        <v>#DIV/0!</v>
      </c>
    </row>
    <row r="160" spans="1:38" ht="14.25" thickBot="1">
      <c r="A160" s="399"/>
      <c r="B160" s="475">
        <v>1</v>
      </c>
      <c r="C160" s="407" t="s">
        <v>775</v>
      </c>
      <c r="D160" s="407"/>
      <c r="E160" s="407"/>
      <c r="F160" s="280" t="s">
        <v>722</v>
      </c>
      <c r="G160" s="280" t="s">
        <v>722</v>
      </c>
      <c r="H160" s="280" t="s">
        <v>602</v>
      </c>
      <c r="I160" s="280" t="s">
        <v>722</v>
      </c>
      <c r="J160" s="280" t="s">
        <v>722</v>
      </c>
      <c r="K160" s="298" t="s">
        <v>602</v>
      </c>
      <c r="L160" s="444"/>
      <c r="M160" s="300" t="str">
        <f>IF(L160=$AA$3,$I160,$J160)</f>
        <v>EB</v>
      </c>
      <c r="N160" s="476"/>
      <c r="O160" s="298" t="str">
        <f>IF(L160=$AA$3,$I160,$K160)</f>
        <v>NC</v>
      </c>
      <c r="P160" s="476"/>
      <c r="Q160" s="446" t="str">
        <f t="shared" ref="Q160:Q180" si="71">IF(L160=$AA$3,$F160,$G160)</f>
        <v>EB</v>
      </c>
      <c r="R160" s="444" t="str">
        <f t="shared" ref="R160:R180" si="72">IF(L160=$AA$3,$F160,$H160)</f>
        <v>NC</v>
      </c>
      <c r="S160" s="450"/>
      <c r="T160" s="300" t="str">
        <f t="shared" si="64"/>
        <v>EB</v>
      </c>
      <c r="U160" s="442"/>
      <c r="V160" s="298" t="str">
        <f t="shared" ref="V160:V161" si="73">IF(S160=$AA$3,$I160,$K160)</f>
        <v>NC</v>
      </c>
      <c r="W160" s="442"/>
      <c r="X160" s="446" t="str">
        <f t="shared" ref="X160:X180" si="74">IF(S160=$AA$3,$F160,$G160)</f>
        <v>EB</v>
      </c>
      <c r="Y160" s="444" t="str">
        <f t="shared" ref="Y160:Y180" si="75">IF(S160=$AA$3,$F160,$H160)</f>
        <v>NC</v>
      </c>
      <c r="Z160" s="205"/>
      <c r="AA160" s="265" t="e">
        <f>重み_前!M160</f>
        <v>#DIV/0!</v>
      </c>
      <c r="AB160" s="265" t="e">
        <f>重み_後!N160</f>
        <v>#DIV/0!</v>
      </c>
      <c r="AC160" s="235" t="e">
        <f>重み_前!D160</f>
        <v>#DIV/0!</v>
      </c>
      <c r="AD160" s="235"/>
      <c r="AE160" s="235" t="e">
        <f>重み_後!D160</f>
        <v>#DIV/0!</v>
      </c>
      <c r="AF160" s="235"/>
      <c r="AG160" s="235"/>
      <c r="AH160" s="236" t="e">
        <f>重み_前!N160</f>
        <v>#DIV/0!</v>
      </c>
      <c r="AI160" s="236" t="e">
        <f>重み_後!O160</f>
        <v>#DIV/0!</v>
      </c>
      <c r="AJ160" s="235" t="e">
        <f>重み_前!E160</f>
        <v>#DIV/0!</v>
      </c>
      <c r="AK160" s="235"/>
      <c r="AL160" s="235" t="e">
        <f>重み_後!E160</f>
        <v>#DIV/0!</v>
      </c>
    </row>
    <row r="161" spans="1:38" ht="14.25" thickBot="1">
      <c r="A161" s="399"/>
      <c r="B161" s="477">
        <v>2</v>
      </c>
      <c r="C161" s="407" t="s">
        <v>776</v>
      </c>
      <c r="D161" s="278"/>
      <c r="E161" s="278"/>
      <c r="F161" s="280" t="s">
        <v>777</v>
      </c>
      <c r="G161" s="280" t="s">
        <v>777</v>
      </c>
      <c r="H161" s="280" t="s">
        <v>778</v>
      </c>
      <c r="I161" s="280"/>
      <c r="J161" s="280"/>
      <c r="K161" s="298"/>
      <c r="L161" s="292" t="str">
        <f>IF(COUNTIF(L162:L164,$AA$3)&gt;=ROWS(L162:L164),$AA$3,"")</f>
        <v/>
      </c>
      <c r="M161" s="329"/>
      <c r="N161" s="309"/>
      <c r="O161" s="328"/>
      <c r="P161" s="309"/>
      <c r="Q161" s="310" t="str">
        <f t="shared" si="71"/>
        <v>EB</v>
      </c>
      <c r="R161" s="311" t="str">
        <f t="shared" si="72"/>
        <v>NC</v>
      </c>
      <c r="S161" s="450"/>
      <c r="T161" s="300">
        <f t="shared" si="64"/>
        <v>0</v>
      </c>
      <c r="U161" s="2111"/>
      <c r="V161" s="298">
        <f t="shared" si="73"/>
        <v>0</v>
      </c>
      <c r="W161" s="2111"/>
      <c r="X161" s="310" t="str">
        <f t="shared" si="74"/>
        <v>EB</v>
      </c>
      <c r="Y161" s="311" t="str">
        <f t="shared" si="75"/>
        <v>NC</v>
      </c>
      <c r="Z161" s="205"/>
      <c r="AA161" s="265" t="e">
        <f>重み_前!M161</f>
        <v>#DIV/0!</v>
      </c>
      <c r="AB161" s="265" t="e">
        <f>重み_後!N161</f>
        <v>#DIV/0!</v>
      </c>
      <c r="AC161" s="235" t="e">
        <f>重み_前!D161</f>
        <v>#DIV/0!</v>
      </c>
      <c r="AD161" s="235"/>
      <c r="AE161" s="235" t="e">
        <f>重み_後!D161</f>
        <v>#DIV/0!</v>
      </c>
      <c r="AF161" s="235"/>
      <c r="AG161" s="235"/>
      <c r="AH161" s="236" t="e">
        <f>重み_前!N161</f>
        <v>#DIV/0!</v>
      </c>
      <c r="AI161" s="236" t="e">
        <f>重み_後!O161</f>
        <v>#DIV/0!</v>
      </c>
      <c r="AJ161" s="235" t="e">
        <f>重み_前!E161</f>
        <v>#DIV/0!</v>
      </c>
      <c r="AK161" s="235"/>
      <c r="AL161" s="235" t="e">
        <f>重み_後!E161</f>
        <v>#DIV/0!</v>
      </c>
    </row>
    <row r="162" spans="1:38" ht="13.5">
      <c r="A162" s="399"/>
      <c r="B162" s="477"/>
      <c r="C162" s="316">
        <v>2.1</v>
      </c>
      <c r="D162" s="392" t="s">
        <v>779</v>
      </c>
      <c r="E162" s="317"/>
      <c r="F162" s="280" t="s">
        <v>722</v>
      </c>
      <c r="G162" s="280" t="s">
        <v>722</v>
      </c>
      <c r="H162" s="280" t="s">
        <v>602</v>
      </c>
      <c r="I162" s="280" t="s">
        <v>722</v>
      </c>
      <c r="J162" s="280" t="s">
        <v>722</v>
      </c>
      <c r="K162" s="298" t="s">
        <v>602</v>
      </c>
      <c r="L162" s="301"/>
      <c r="M162" s="300" t="str">
        <f>IF(L162=$AA$3,$I162,$J162)</f>
        <v>EB</v>
      </c>
      <c r="N162" s="404">
        <v>3</v>
      </c>
      <c r="O162" s="298" t="str">
        <f>IF(L162=$AA$3,$I162,$K162)</f>
        <v>NC</v>
      </c>
      <c r="P162" s="404">
        <v>3</v>
      </c>
      <c r="Q162" s="301" t="str">
        <f t="shared" si="71"/>
        <v>EB</v>
      </c>
      <c r="R162" s="301" t="str">
        <f t="shared" si="72"/>
        <v>NC</v>
      </c>
      <c r="S162" s="450"/>
      <c r="T162" s="300" t="str">
        <f t="shared" si="64"/>
        <v>EB</v>
      </c>
      <c r="U162" s="2111"/>
      <c r="V162" s="298" t="str">
        <f t="shared" ref="V162:V180" si="76">IF(S162=$AA$3,$I162,$K162)</f>
        <v>NC</v>
      </c>
      <c r="W162" s="2111"/>
      <c r="X162" s="301" t="str">
        <f t="shared" si="74"/>
        <v>EB</v>
      </c>
      <c r="Y162" s="301" t="str">
        <f t="shared" si="75"/>
        <v>NC</v>
      </c>
      <c r="Z162" s="205"/>
      <c r="AA162" s="265" t="e">
        <f>重み_前!M162</f>
        <v>#DIV/0!</v>
      </c>
      <c r="AB162" s="265" t="e">
        <f>重み_後!N162</f>
        <v>#DIV/0!</v>
      </c>
      <c r="AC162" s="235" t="e">
        <f>重み_前!D162</f>
        <v>#DIV/0!</v>
      </c>
      <c r="AD162" s="235"/>
      <c r="AE162" s="235" t="e">
        <f>重み_後!D162</f>
        <v>#DIV/0!</v>
      </c>
      <c r="AF162" s="235"/>
      <c r="AG162" s="235"/>
      <c r="AH162" s="236" t="e">
        <f>重み_前!N162</f>
        <v>#DIV/0!</v>
      </c>
      <c r="AI162" s="236" t="e">
        <f>重み_後!O162</f>
        <v>#DIV/0!</v>
      </c>
      <c r="AJ162" s="235" t="e">
        <f>重み_前!E162</f>
        <v>#DIV/0!</v>
      </c>
      <c r="AK162" s="235"/>
      <c r="AL162" s="235" t="e">
        <f>重み_後!E162</f>
        <v>#DIV/0!</v>
      </c>
    </row>
    <row r="163" spans="1:38" ht="14.25" thickBot="1">
      <c r="A163" s="399"/>
      <c r="B163" s="478"/>
      <c r="C163" s="316">
        <v>2.2000000000000002</v>
      </c>
      <c r="D163" s="392" t="s">
        <v>780</v>
      </c>
      <c r="E163" s="317"/>
      <c r="F163" s="280" t="s">
        <v>722</v>
      </c>
      <c r="G163" s="280" t="s">
        <v>722</v>
      </c>
      <c r="H163" s="280" t="s">
        <v>602</v>
      </c>
      <c r="I163" s="280" t="s">
        <v>722</v>
      </c>
      <c r="J163" s="280" t="s">
        <v>722</v>
      </c>
      <c r="K163" s="298" t="s">
        <v>602</v>
      </c>
      <c r="L163" s="306"/>
      <c r="M163" s="300" t="str">
        <f>IF(L163=$AA$3,$I163,$J163)</f>
        <v>EB</v>
      </c>
      <c r="N163" s="318">
        <v>3</v>
      </c>
      <c r="O163" s="298" t="str">
        <f>IF(L163=$AA$3,$I163,$K163)</f>
        <v>NC</v>
      </c>
      <c r="P163" s="318">
        <v>3</v>
      </c>
      <c r="Q163" s="306" t="str">
        <f t="shared" si="71"/>
        <v>EB</v>
      </c>
      <c r="R163" s="306" t="str">
        <f t="shared" si="72"/>
        <v>NC</v>
      </c>
      <c r="S163" s="450"/>
      <c r="T163" s="300" t="str">
        <f t="shared" si="64"/>
        <v>EB</v>
      </c>
      <c r="U163" s="2111"/>
      <c r="V163" s="298" t="str">
        <f t="shared" si="76"/>
        <v>NC</v>
      </c>
      <c r="W163" s="2111"/>
      <c r="X163" s="306" t="str">
        <f t="shared" si="74"/>
        <v>EB</v>
      </c>
      <c r="Y163" s="306" t="str">
        <f t="shared" si="75"/>
        <v>NC</v>
      </c>
      <c r="Z163" s="205"/>
      <c r="AA163" s="265" t="e">
        <f>重み_前!M163</f>
        <v>#DIV/0!</v>
      </c>
      <c r="AB163" s="265" t="e">
        <f>重み_後!N163</f>
        <v>#DIV/0!</v>
      </c>
      <c r="AC163" s="235" t="e">
        <f>重み_前!D163</f>
        <v>#DIV/0!</v>
      </c>
      <c r="AD163" s="235"/>
      <c r="AE163" s="235" t="e">
        <f>重み_後!D163</f>
        <v>#DIV/0!</v>
      </c>
      <c r="AF163" s="235"/>
      <c r="AG163" s="235"/>
      <c r="AH163" s="236" t="e">
        <f>重み_前!N163</f>
        <v>#DIV/0!</v>
      </c>
      <c r="AI163" s="236" t="e">
        <f>重み_後!O163</f>
        <v>#DIV/0!</v>
      </c>
      <c r="AJ163" s="235" t="e">
        <f>重み_前!E163</f>
        <v>#DIV/0!</v>
      </c>
      <c r="AK163" s="235"/>
      <c r="AL163" s="235" t="e">
        <f>重み_後!E163</f>
        <v>#DIV/0!</v>
      </c>
    </row>
    <row r="164" spans="1:38" ht="14.25" thickBot="1">
      <c r="A164" s="399"/>
      <c r="B164" s="478"/>
      <c r="C164" s="289">
        <v>2.2999999999999998</v>
      </c>
      <c r="D164" s="392" t="s">
        <v>781</v>
      </c>
      <c r="E164" s="317"/>
      <c r="F164" s="280" t="s">
        <v>782</v>
      </c>
      <c r="G164" s="280" t="s">
        <v>782</v>
      </c>
      <c r="H164" s="280" t="s">
        <v>783</v>
      </c>
      <c r="I164" s="280"/>
      <c r="J164" s="280"/>
      <c r="K164" s="298"/>
      <c r="L164" s="292" t="str">
        <f>IF(COUNTIF(L165:L168,$AA$3)&gt;=ROWS(L165:L168),$AA$3,"")</f>
        <v/>
      </c>
      <c r="M164" s="300"/>
      <c r="N164" s="309"/>
      <c r="O164" s="298"/>
      <c r="P164" s="309"/>
      <c r="Q164" s="334" t="str">
        <f t="shared" si="71"/>
        <v>EB</v>
      </c>
      <c r="R164" s="335" t="str">
        <f t="shared" si="72"/>
        <v>NC</v>
      </c>
      <c r="S164" s="450"/>
      <c r="T164" s="300">
        <f t="shared" si="64"/>
        <v>0</v>
      </c>
      <c r="U164" s="2111"/>
      <c r="V164" s="298">
        <f t="shared" si="76"/>
        <v>0</v>
      </c>
      <c r="W164" s="2111"/>
      <c r="X164" s="334" t="str">
        <f t="shared" si="74"/>
        <v>EB</v>
      </c>
      <c r="Y164" s="335" t="str">
        <f t="shared" si="75"/>
        <v>NC</v>
      </c>
      <c r="Z164" s="205"/>
      <c r="AA164" s="265" t="e">
        <f>重み_前!M164</f>
        <v>#DIV/0!</v>
      </c>
      <c r="AB164" s="265" t="e">
        <f>重み_後!N164</f>
        <v>#DIV/0!</v>
      </c>
      <c r="AC164" s="235" t="e">
        <f>重み_前!D164</f>
        <v>#DIV/0!</v>
      </c>
      <c r="AD164" s="235"/>
      <c r="AE164" s="235" t="e">
        <f>重み_後!D164</f>
        <v>#DIV/0!</v>
      </c>
      <c r="AF164" s="235"/>
      <c r="AG164" s="235"/>
      <c r="AH164" s="236" t="e">
        <f>重み_前!N164</f>
        <v>#DIV/0!</v>
      </c>
      <c r="AI164" s="236" t="e">
        <f>重み_後!O164</f>
        <v>#DIV/0!</v>
      </c>
      <c r="AJ164" s="235" t="e">
        <f>重み_前!E164</f>
        <v>#DIV/0!</v>
      </c>
      <c r="AK164" s="235"/>
      <c r="AL164" s="235" t="e">
        <f>重み_後!E164</f>
        <v>#DIV/0!</v>
      </c>
    </row>
    <row r="165" spans="1:38" ht="13.5">
      <c r="A165" s="399"/>
      <c r="B165" s="478"/>
      <c r="C165" s="479"/>
      <c r="D165" s="297">
        <v>1</v>
      </c>
      <c r="E165" s="317" t="s">
        <v>784</v>
      </c>
      <c r="F165" s="280" t="s">
        <v>722</v>
      </c>
      <c r="G165" s="280" t="s">
        <v>722</v>
      </c>
      <c r="H165" s="280" t="s">
        <v>602</v>
      </c>
      <c r="I165" s="280" t="s">
        <v>722</v>
      </c>
      <c r="J165" s="280" t="s">
        <v>722</v>
      </c>
      <c r="K165" s="298" t="s">
        <v>602</v>
      </c>
      <c r="L165" s="301"/>
      <c r="M165" s="300" t="str">
        <f>IF(L165=$AA$3,$I165,$J165)</f>
        <v>EB</v>
      </c>
      <c r="N165" s="404">
        <v>3</v>
      </c>
      <c r="O165" s="298" t="str">
        <f>IF(L165=$AA$3,$I165,$K165)</f>
        <v>NC</v>
      </c>
      <c r="P165" s="404">
        <v>3</v>
      </c>
      <c r="Q165" s="302" t="str">
        <f t="shared" si="71"/>
        <v>EB</v>
      </c>
      <c r="R165" s="301" t="str">
        <f t="shared" si="72"/>
        <v>NC</v>
      </c>
      <c r="S165" s="450"/>
      <c r="T165" s="300" t="str">
        <f t="shared" si="64"/>
        <v>EB</v>
      </c>
      <c r="U165" s="2111"/>
      <c r="V165" s="298" t="str">
        <f t="shared" si="76"/>
        <v>NC</v>
      </c>
      <c r="W165" s="2111"/>
      <c r="X165" s="302" t="str">
        <f t="shared" si="74"/>
        <v>EB</v>
      </c>
      <c r="Y165" s="301" t="str">
        <f t="shared" si="75"/>
        <v>NC</v>
      </c>
      <c r="Z165" s="205"/>
      <c r="AA165" s="265" t="e">
        <f>重み_前!M165</f>
        <v>#DIV/0!</v>
      </c>
      <c r="AB165" s="265" t="e">
        <f>重み_後!N165</f>
        <v>#DIV/0!</v>
      </c>
      <c r="AC165" s="235" t="e">
        <f>重み_前!D165</f>
        <v>#DIV/0!</v>
      </c>
      <c r="AD165" s="235"/>
      <c r="AE165" s="235" t="e">
        <f>重み_後!D165</f>
        <v>#DIV/0!</v>
      </c>
      <c r="AF165" s="235"/>
      <c r="AG165" s="235"/>
      <c r="AH165" s="236" t="e">
        <f>重み_前!N165</f>
        <v>#DIV/0!</v>
      </c>
      <c r="AI165" s="236" t="e">
        <f>重み_後!O165</f>
        <v>#DIV/0!</v>
      </c>
      <c r="AJ165" s="235" t="e">
        <f>重み_前!E165</f>
        <v>#DIV/0!</v>
      </c>
      <c r="AK165" s="235"/>
      <c r="AL165" s="235" t="e">
        <f>重み_後!E165</f>
        <v>#DIV/0!</v>
      </c>
    </row>
    <row r="166" spans="1:38" ht="13.5">
      <c r="A166" s="399"/>
      <c r="B166" s="477"/>
      <c r="C166" s="479"/>
      <c r="D166" s="297">
        <v>2</v>
      </c>
      <c r="E166" s="317" t="s">
        <v>785</v>
      </c>
      <c r="F166" s="280" t="s">
        <v>722</v>
      </c>
      <c r="G166" s="280" t="s">
        <v>722</v>
      </c>
      <c r="H166" s="280" t="s">
        <v>602</v>
      </c>
      <c r="I166" s="280" t="s">
        <v>722</v>
      </c>
      <c r="J166" s="280" t="s">
        <v>722</v>
      </c>
      <c r="K166" s="298" t="s">
        <v>602</v>
      </c>
      <c r="L166" s="313"/>
      <c r="M166" s="300" t="str">
        <f>IF(L166=$AA$3,$I166,$J166)</f>
        <v>EB</v>
      </c>
      <c r="N166" s="466">
        <v>3</v>
      </c>
      <c r="O166" s="298" t="str">
        <f>IF(L166=$AA$3,$I166,$K166)</f>
        <v>NC</v>
      </c>
      <c r="P166" s="466">
        <v>3</v>
      </c>
      <c r="Q166" s="314" t="str">
        <f t="shared" si="71"/>
        <v>EB</v>
      </c>
      <c r="R166" s="313" t="str">
        <f t="shared" si="72"/>
        <v>NC</v>
      </c>
      <c r="S166" s="450"/>
      <c r="T166" s="300" t="str">
        <f t="shared" si="64"/>
        <v>EB</v>
      </c>
      <c r="U166" s="2111"/>
      <c r="V166" s="298" t="str">
        <f t="shared" si="76"/>
        <v>NC</v>
      </c>
      <c r="W166" s="2111"/>
      <c r="X166" s="314" t="str">
        <f t="shared" si="74"/>
        <v>EB</v>
      </c>
      <c r="Y166" s="313" t="str">
        <f t="shared" si="75"/>
        <v>NC</v>
      </c>
      <c r="Z166" s="205"/>
      <c r="AA166" s="265" t="e">
        <f>重み_前!M166</f>
        <v>#DIV/0!</v>
      </c>
      <c r="AB166" s="265" t="e">
        <f>重み_後!N166</f>
        <v>#DIV/0!</v>
      </c>
      <c r="AC166" s="235" t="e">
        <f>重み_前!D166</f>
        <v>#DIV/0!</v>
      </c>
      <c r="AD166" s="235"/>
      <c r="AE166" s="235" t="e">
        <f>重み_後!D166</f>
        <v>#DIV/0!</v>
      </c>
      <c r="AF166" s="235"/>
      <c r="AG166" s="235"/>
      <c r="AH166" s="236" t="e">
        <f>重み_前!N166</f>
        <v>#DIV/0!</v>
      </c>
      <c r="AI166" s="236" t="e">
        <f>重み_後!O166</f>
        <v>#DIV/0!</v>
      </c>
      <c r="AJ166" s="235" t="e">
        <f>重み_前!E166</f>
        <v>#DIV/0!</v>
      </c>
      <c r="AK166" s="235"/>
      <c r="AL166" s="235" t="e">
        <f>重み_後!E166</f>
        <v>#DIV/0!</v>
      </c>
    </row>
    <row r="167" spans="1:38" ht="13.5">
      <c r="A167" s="399"/>
      <c r="B167" s="477"/>
      <c r="C167" s="479"/>
      <c r="D167" s="297">
        <v>3</v>
      </c>
      <c r="E167" s="317" t="s">
        <v>786</v>
      </c>
      <c r="F167" s="280" t="s">
        <v>722</v>
      </c>
      <c r="G167" s="280" t="s">
        <v>722</v>
      </c>
      <c r="H167" s="280" t="s">
        <v>602</v>
      </c>
      <c r="I167" s="280" t="s">
        <v>722</v>
      </c>
      <c r="J167" s="280" t="s">
        <v>722</v>
      </c>
      <c r="K167" s="298" t="s">
        <v>602</v>
      </c>
      <c r="L167" s="313"/>
      <c r="M167" s="300" t="str">
        <f>IF(L167=$AA$3,$I167,$J167)</f>
        <v>EB</v>
      </c>
      <c r="N167" s="466">
        <v>3</v>
      </c>
      <c r="O167" s="298" t="str">
        <f>IF(L167=$AA$3,$I167,$K167)</f>
        <v>NC</v>
      </c>
      <c r="P167" s="466">
        <v>3</v>
      </c>
      <c r="Q167" s="314" t="str">
        <f t="shared" si="71"/>
        <v>EB</v>
      </c>
      <c r="R167" s="313" t="str">
        <f t="shared" si="72"/>
        <v>NC</v>
      </c>
      <c r="S167" s="450"/>
      <c r="T167" s="300" t="str">
        <f t="shared" si="64"/>
        <v>EB</v>
      </c>
      <c r="U167" s="2111"/>
      <c r="V167" s="298" t="str">
        <f t="shared" si="76"/>
        <v>NC</v>
      </c>
      <c r="W167" s="2111"/>
      <c r="X167" s="314" t="str">
        <f t="shared" si="74"/>
        <v>EB</v>
      </c>
      <c r="Y167" s="313" t="str">
        <f t="shared" si="75"/>
        <v>NC</v>
      </c>
      <c r="Z167" s="205"/>
      <c r="AA167" s="265" t="e">
        <f>重み_前!M167</f>
        <v>#DIV/0!</v>
      </c>
      <c r="AB167" s="265" t="e">
        <f>重み_後!N167</f>
        <v>#DIV/0!</v>
      </c>
      <c r="AC167" s="235" t="e">
        <f>重み_前!D167</f>
        <v>#DIV/0!</v>
      </c>
      <c r="AD167" s="235"/>
      <c r="AE167" s="235" t="e">
        <f>重み_後!D167</f>
        <v>#DIV/0!</v>
      </c>
      <c r="AF167" s="235"/>
      <c r="AG167" s="235"/>
      <c r="AH167" s="236" t="e">
        <f>重み_前!N167</f>
        <v>#DIV/0!</v>
      </c>
      <c r="AI167" s="236" t="e">
        <f>重み_後!O167</f>
        <v>#DIV/0!</v>
      </c>
      <c r="AJ167" s="235" t="e">
        <f>重み_前!E167</f>
        <v>#DIV/0!</v>
      </c>
      <c r="AK167" s="235"/>
      <c r="AL167" s="235" t="e">
        <f>重み_後!E167</f>
        <v>#DIV/0!</v>
      </c>
    </row>
    <row r="168" spans="1:38" ht="14.25" thickBot="1">
      <c r="A168" s="399"/>
      <c r="B168" s="480"/>
      <c r="C168" s="481"/>
      <c r="D168" s="297">
        <v>4</v>
      </c>
      <c r="E168" s="317" t="s">
        <v>787</v>
      </c>
      <c r="F168" s="280" t="s">
        <v>722</v>
      </c>
      <c r="G168" s="280" t="s">
        <v>722</v>
      </c>
      <c r="H168" s="280" t="s">
        <v>602</v>
      </c>
      <c r="I168" s="280" t="s">
        <v>722</v>
      </c>
      <c r="J168" s="280" t="s">
        <v>722</v>
      </c>
      <c r="K168" s="298" t="s">
        <v>602</v>
      </c>
      <c r="L168" s="306"/>
      <c r="M168" s="300" t="str">
        <f>IF(L168=$AA$3,$I168,$J168)</f>
        <v>EB</v>
      </c>
      <c r="N168" s="318">
        <v>3</v>
      </c>
      <c r="O168" s="298" t="str">
        <f>IF(L168=$AA$3,$I168,$K168)</f>
        <v>NC</v>
      </c>
      <c r="P168" s="318">
        <v>3</v>
      </c>
      <c r="Q168" s="307" t="str">
        <f t="shared" si="71"/>
        <v>EB</v>
      </c>
      <c r="R168" s="306" t="str">
        <f t="shared" si="72"/>
        <v>NC</v>
      </c>
      <c r="S168" s="450"/>
      <c r="T168" s="300" t="str">
        <f t="shared" si="64"/>
        <v>EB</v>
      </c>
      <c r="U168" s="2111"/>
      <c r="V168" s="298" t="str">
        <f t="shared" si="76"/>
        <v>NC</v>
      </c>
      <c r="W168" s="2111"/>
      <c r="X168" s="307" t="str">
        <f t="shared" si="74"/>
        <v>EB</v>
      </c>
      <c r="Y168" s="306" t="str">
        <f t="shared" si="75"/>
        <v>NC</v>
      </c>
      <c r="Z168" s="205"/>
      <c r="AA168" s="265" t="e">
        <f>重み_前!M168</f>
        <v>#DIV/0!</v>
      </c>
      <c r="AB168" s="265" t="e">
        <f>重み_後!N168</f>
        <v>#DIV/0!</v>
      </c>
      <c r="AC168" s="235" t="e">
        <f>重み_前!D168</f>
        <v>#DIV/0!</v>
      </c>
      <c r="AD168" s="235"/>
      <c r="AE168" s="235" t="e">
        <f>重み_後!D168</f>
        <v>#DIV/0!</v>
      </c>
      <c r="AF168" s="235"/>
      <c r="AG168" s="235"/>
      <c r="AH168" s="236" t="e">
        <f>重み_前!N168</f>
        <v>#DIV/0!</v>
      </c>
      <c r="AI168" s="236" t="e">
        <f>重み_後!O168</f>
        <v>#DIV/0!</v>
      </c>
      <c r="AJ168" s="235" t="e">
        <f>重み_前!E168</f>
        <v>#DIV/0!</v>
      </c>
      <c r="AK168" s="235"/>
      <c r="AL168" s="235" t="e">
        <f>重み_後!E168</f>
        <v>#DIV/0!</v>
      </c>
    </row>
    <row r="169" spans="1:38" ht="13.5">
      <c r="A169" s="399"/>
      <c r="B169" s="477">
        <v>3</v>
      </c>
      <c r="C169" s="407" t="s">
        <v>788</v>
      </c>
      <c r="D169" s="278"/>
      <c r="E169" s="278"/>
      <c r="F169" s="280" t="s">
        <v>650</v>
      </c>
      <c r="G169" s="280" t="s">
        <v>650</v>
      </c>
      <c r="H169" s="280" t="s">
        <v>651</v>
      </c>
      <c r="I169" s="482"/>
      <c r="J169" s="482"/>
      <c r="K169" s="438"/>
      <c r="L169" s="323" t="str">
        <f>IF(COUNTIF(L170:L180,$AA$3)&gt;=ROWS(L170:L180),$AA$3,"")</f>
        <v/>
      </c>
      <c r="M169" s="329"/>
      <c r="N169" s="460"/>
      <c r="O169" s="328"/>
      <c r="P169" s="483"/>
      <c r="Q169" s="484" t="str">
        <f t="shared" si="71"/>
        <v>EB</v>
      </c>
      <c r="R169" s="440" t="str">
        <f t="shared" si="72"/>
        <v>NC</v>
      </c>
      <c r="S169" s="450"/>
      <c r="T169" s="300">
        <f t="shared" si="64"/>
        <v>0</v>
      </c>
      <c r="U169" s="2111"/>
      <c r="V169" s="298">
        <f t="shared" si="76"/>
        <v>0</v>
      </c>
      <c r="W169" s="2111"/>
      <c r="X169" s="484" t="str">
        <f t="shared" si="74"/>
        <v>EB</v>
      </c>
      <c r="Y169" s="440" t="str">
        <f t="shared" si="75"/>
        <v>NC</v>
      </c>
      <c r="Z169" s="205"/>
      <c r="AA169" s="265" t="e">
        <f>重み_前!M169</f>
        <v>#DIV/0!</v>
      </c>
      <c r="AB169" s="265" t="e">
        <f>重み_後!N169</f>
        <v>#DIV/0!</v>
      </c>
      <c r="AC169" s="235" t="e">
        <f>重み_前!D169</f>
        <v>#DIV/0!</v>
      </c>
      <c r="AD169" s="235"/>
      <c r="AE169" s="235" t="e">
        <f>重み_後!D169</f>
        <v>#DIV/0!</v>
      </c>
      <c r="AF169" s="235"/>
      <c r="AG169" s="235"/>
      <c r="AH169" s="236" t="e">
        <f>重み_前!N169</f>
        <v>#DIV/0!</v>
      </c>
      <c r="AI169" s="236" t="e">
        <f>重み_後!O169</f>
        <v>#DIV/0!</v>
      </c>
      <c r="AJ169" s="235" t="e">
        <f>重み_前!E169</f>
        <v>#DIV/0!</v>
      </c>
      <c r="AK169" s="235"/>
      <c r="AL169" s="235" t="e">
        <f>重み_後!E169</f>
        <v>#DIV/0!</v>
      </c>
    </row>
    <row r="170" spans="1:38" ht="14.25" thickBot="1">
      <c r="A170" s="399"/>
      <c r="B170" s="485"/>
      <c r="C170" s="289">
        <v>3.1</v>
      </c>
      <c r="D170" s="392" t="s">
        <v>789</v>
      </c>
      <c r="E170" s="317"/>
      <c r="F170" s="280" t="s">
        <v>625</v>
      </c>
      <c r="G170" s="280" t="s">
        <v>625</v>
      </c>
      <c r="H170" s="280" t="s">
        <v>626</v>
      </c>
      <c r="I170" s="280"/>
      <c r="J170" s="280"/>
      <c r="K170" s="298"/>
      <c r="L170" s="292" t="str">
        <f>IF(COUNTIF(L171:L173,$AA$3)&gt;=ROWS(L171:L173),$AA$3,"")</f>
        <v/>
      </c>
      <c r="M170" s="300"/>
      <c r="N170" s="309"/>
      <c r="O170" s="298"/>
      <c r="P170" s="486"/>
      <c r="Q170" s="487" t="str">
        <f t="shared" si="71"/>
        <v>EB</v>
      </c>
      <c r="R170" s="295" t="str">
        <f t="shared" si="72"/>
        <v>NC</v>
      </c>
      <c r="S170" s="450"/>
      <c r="T170" s="300">
        <f t="shared" si="64"/>
        <v>0</v>
      </c>
      <c r="U170" s="2111"/>
      <c r="V170" s="298">
        <f t="shared" si="76"/>
        <v>0</v>
      </c>
      <c r="W170" s="2111"/>
      <c r="X170" s="487" t="str">
        <f t="shared" si="74"/>
        <v>EB</v>
      </c>
      <c r="Y170" s="295" t="str">
        <f t="shared" si="75"/>
        <v>NC</v>
      </c>
      <c r="Z170" s="205"/>
      <c r="AA170" s="265" t="e">
        <f>重み_前!M170</f>
        <v>#DIV/0!</v>
      </c>
      <c r="AB170" s="265" t="e">
        <f>重み_後!N170</f>
        <v>#DIV/0!</v>
      </c>
      <c r="AC170" s="235" t="e">
        <f>重み_前!D170</f>
        <v>#DIV/0!</v>
      </c>
      <c r="AD170" s="235"/>
      <c r="AE170" s="235" t="e">
        <f>重み_後!D170</f>
        <v>#DIV/0!</v>
      </c>
      <c r="AF170" s="235"/>
      <c r="AG170" s="235"/>
      <c r="AH170" s="236" t="e">
        <f>重み_前!N170</f>
        <v>#DIV/0!</v>
      </c>
      <c r="AI170" s="236" t="e">
        <f>重み_後!O170</f>
        <v>#DIV/0!</v>
      </c>
      <c r="AJ170" s="235" t="e">
        <f>重み_前!E170</f>
        <v>#DIV/0!</v>
      </c>
      <c r="AK170" s="235"/>
      <c r="AL170" s="235" t="e">
        <f>重み_後!E170</f>
        <v>#DIV/0!</v>
      </c>
    </row>
    <row r="171" spans="1:38" ht="13.5">
      <c r="A171" s="399"/>
      <c r="B171" s="488"/>
      <c r="C171" s="489"/>
      <c r="D171" s="297">
        <v>1</v>
      </c>
      <c r="E171" s="317" t="s">
        <v>790</v>
      </c>
      <c r="F171" s="280" t="s">
        <v>722</v>
      </c>
      <c r="G171" s="280" t="s">
        <v>722</v>
      </c>
      <c r="H171" s="280" t="s">
        <v>602</v>
      </c>
      <c r="I171" s="280" t="s">
        <v>722</v>
      </c>
      <c r="J171" s="280" t="s">
        <v>722</v>
      </c>
      <c r="K171" s="298" t="s">
        <v>602</v>
      </c>
      <c r="L171" s="301"/>
      <c r="M171" s="300" t="str">
        <f>IF(L171=$AA$3,$I171,$J171)</f>
        <v>EB</v>
      </c>
      <c r="N171" s="404">
        <v>3</v>
      </c>
      <c r="O171" s="298" t="str">
        <f>IF(L171=$AA$3,$I171,$K171)</f>
        <v>NC</v>
      </c>
      <c r="P171" s="404">
        <v>3</v>
      </c>
      <c r="Q171" s="314" t="str">
        <f t="shared" si="71"/>
        <v>EB</v>
      </c>
      <c r="R171" s="312" t="str">
        <f t="shared" si="72"/>
        <v>NC</v>
      </c>
      <c r="S171" s="450"/>
      <c r="T171" s="300" t="str">
        <f t="shared" si="64"/>
        <v>EB</v>
      </c>
      <c r="U171" s="2111"/>
      <c r="V171" s="298" t="str">
        <f t="shared" si="76"/>
        <v>NC</v>
      </c>
      <c r="W171" s="2111"/>
      <c r="X171" s="314" t="str">
        <f t="shared" si="74"/>
        <v>EB</v>
      </c>
      <c r="Y171" s="312" t="str">
        <f t="shared" si="75"/>
        <v>NC</v>
      </c>
      <c r="Z171" s="205"/>
      <c r="AA171" s="265" t="e">
        <f>重み_前!M171</f>
        <v>#DIV/0!</v>
      </c>
      <c r="AB171" s="265" t="e">
        <f>重み_後!N171</f>
        <v>#DIV/0!</v>
      </c>
      <c r="AC171" s="235" t="e">
        <f>重み_前!D171</f>
        <v>#DIV/0!</v>
      </c>
      <c r="AD171" s="235"/>
      <c r="AE171" s="235" t="e">
        <f>重み_後!D171</f>
        <v>#DIV/0!</v>
      </c>
      <c r="AF171" s="235"/>
      <c r="AG171" s="235"/>
      <c r="AH171" s="236" t="e">
        <f>重み_前!N171</f>
        <v>#DIV/0!</v>
      </c>
      <c r="AI171" s="236" t="e">
        <f>重み_後!O171</f>
        <v>#DIV/0!</v>
      </c>
      <c r="AJ171" s="235" t="e">
        <f>重み_前!E171</f>
        <v>#DIV/0!</v>
      </c>
      <c r="AK171" s="235"/>
      <c r="AL171" s="235" t="e">
        <f>重み_後!E171</f>
        <v>#DIV/0!</v>
      </c>
    </row>
    <row r="172" spans="1:38" ht="13.5">
      <c r="A172" s="399"/>
      <c r="B172" s="490"/>
      <c r="C172" s="489"/>
      <c r="D172" s="297">
        <v>2</v>
      </c>
      <c r="E172" s="317" t="s">
        <v>791</v>
      </c>
      <c r="F172" s="280" t="s">
        <v>722</v>
      </c>
      <c r="G172" s="280" t="s">
        <v>722</v>
      </c>
      <c r="H172" s="280" t="s">
        <v>602</v>
      </c>
      <c r="I172" s="280" t="s">
        <v>722</v>
      </c>
      <c r="J172" s="280" t="s">
        <v>722</v>
      </c>
      <c r="K172" s="298" t="s">
        <v>602</v>
      </c>
      <c r="L172" s="313"/>
      <c r="M172" s="300" t="str">
        <f>IF(L172=$AA$3,$I172,$J172)</f>
        <v>EB</v>
      </c>
      <c r="N172" s="466">
        <v>3</v>
      </c>
      <c r="O172" s="298" t="str">
        <f>IF(L172=$AA$3,$I172,$K172)</f>
        <v>NC</v>
      </c>
      <c r="P172" s="466">
        <v>3</v>
      </c>
      <c r="Q172" s="314" t="str">
        <f t="shared" si="71"/>
        <v>EB</v>
      </c>
      <c r="R172" s="312" t="str">
        <f t="shared" si="72"/>
        <v>NC</v>
      </c>
      <c r="S172" s="450"/>
      <c r="T172" s="300" t="str">
        <f t="shared" si="64"/>
        <v>EB</v>
      </c>
      <c r="U172" s="2111"/>
      <c r="V172" s="298" t="str">
        <f t="shared" si="76"/>
        <v>NC</v>
      </c>
      <c r="W172" s="2111"/>
      <c r="X172" s="314" t="str">
        <f t="shared" si="74"/>
        <v>EB</v>
      </c>
      <c r="Y172" s="312" t="str">
        <f t="shared" si="75"/>
        <v>NC</v>
      </c>
      <c r="Z172" s="205"/>
      <c r="AA172" s="265" t="e">
        <f>重み_前!M172</f>
        <v>#DIV/0!</v>
      </c>
      <c r="AB172" s="265" t="e">
        <f>重み_後!N172</f>
        <v>#DIV/0!</v>
      </c>
      <c r="AC172" s="235" t="e">
        <f>重み_前!D172</f>
        <v>#DIV/0!</v>
      </c>
      <c r="AD172" s="235"/>
      <c r="AE172" s="235" t="e">
        <f>重み_後!D172</f>
        <v>#DIV/0!</v>
      </c>
      <c r="AF172" s="235"/>
      <c r="AG172" s="235"/>
      <c r="AH172" s="236" t="e">
        <f>重み_前!N172</f>
        <v>#DIV/0!</v>
      </c>
      <c r="AI172" s="236" t="e">
        <f>重み_後!O172</f>
        <v>#DIV/0!</v>
      </c>
      <c r="AJ172" s="235" t="e">
        <f>重み_前!E172</f>
        <v>#DIV/0!</v>
      </c>
      <c r="AK172" s="235"/>
      <c r="AL172" s="235" t="e">
        <f>重み_後!E172</f>
        <v>#DIV/0!</v>
      </c>
    </row>
    <row r="173" spans="1:38" ht="14.25" thickBot="1">
      <c r="A173" s="399"/>
      <c r="B173" s="491"/>
      <c r="C173" s="492"/>
      <c r="D173" s="297">
        <v>3</v>
      </c>
      <c r="E173" s="317" t="s">
        <v>792</v>
      </c>
      <c r="F173" s="280" t="s">
        <v>722</v>
      </c>
      <c r="G173" s="280" t="s">
        <v>722</v>
      </c>
      <c r="H173" s="280" t="s">
        <v>602</v>
      </c>
      <c r="I173" s="280" t="s">
        <v>722</v>
      </c>
      <c r="J173" s="280" t="s">
        <v>722</v>
      </c>
      <c r="K173" s="298" t="s">
        <v>602</v>
      </c>
      <c r="L173" s="306"/>
      <c r="M173" s="300" t="str">
        <f>IF(L173=$AA$3,$I173,$J173)</f>
        <v>EB</v>
      </c>
      <c r="N173" s="318">
        <v>3</v>
      </c>
      <c r="O173" s="298" t="str">
        <f>IF(L173=$AA$3,$I173,$K173)</f>
        <v>NC</v>
      </c>
      <c r="P173" s="318">
        <v>3</v>
      </c>
      <c r="Q173" s="314" t="str">
        <f t="shared" si="71"/>
        <v>EB</v>
      </c>
      <c r="R173" s="312" t="str">
        <f t="shared" si="72"/>
        <v>NC</v>
      </c>
      <c r="S173" s="450"/>
      <c r="T173" s="300" t="str">
        <f t="shared" si="64"/>
        <v>EB</v>
      </c>
      <c r="U173" s="2111"/>
      <c r="V173" s="298" t="str">
        <f t="shared" si="76"/>
        <v>NC</v>
      </c>
      <c r="W173" s="2111"/>
      <c r="X173" s="314" t="str">
        <f t="shared" si="74"/>
        <v>EB</v>
      </c>
      <c r="Y173" s="312" t="str">
        <f t="shared" si="75"/>
        <v>NC</v>
      </c>
      <c r="Z173" s="205"/>
      <c r="AA173" s="265" t="e">
        <f>重み_前!M173</f>
        <v>#DIV/0!</v>
      </c>
      <c r="AB173" s="265" t="e">
        <f>重み_後!N173</f>
        <v>#DIV/0!</v>
      </c>
      <c r="AC173" s="235" t="e">
        <f>重み_前!D173</f>
        <v>#DIV/0!</v>
      </c>
      <c r="AD173" s="235"/>
      <c r="AE173" s="235" t="e">
        <f>重み_後!D173</f>
        <v>#DIV/0!</v>
      </c>
      <c r="AF173" s="235"/>
      <c r="AG173" s="235"/>
      <c r="AH173" s="236" t="e">
        <f>重み_前!N173</f>
        <v>#DIV/0!</v>
      </c>
      <c r="AI173" s="236" t="e">
        <f>重み_後!O173</f>
        <v>#DIV/0!</v>
      </c>
      <c r="AJ173" s="235" t="e">
        <f>重み_前!E173</f>
        <v>#DIV/0!</v>
      </c>
      <c r="AK173" s="235"/>
      <c r="AL173" s="235" t="e">
        <f>重み_後!E173</f>
        <v>#DIV/0!</v>
      </c>
    </row>
    <row r="174" spans="1:38" ht="14.25" thickBot="1">
      <c r="A174" s="399"/>
      <c r="B174" s="493"/>
      <c r="C174" s="289">
        <v>3.2</v>
      </c>
      <c r="D174" s="392" t="s">
        <v>1827</v>
      </c>
      <c r="E174" s="407"/>
      <c r="F174" s="280" t="s">
        <v>766</v>
      </c>
      <c r="G174" s="280" t="s">
        <v>766</v>
      </c>
      <c r="H174" s="280" t="s">
        <v>772</v>
      </c>
      <c r="I174" s="280"/>
      <c r="J174" s="280"/>
      <c r="K174" s="298"/>
      <c r="L174" s="292" t="str">
        <f>IF(COUNTIF(L175:L176,$AA$3)&gt;=ROWS(L175:L176),$AA$3,"")</f>
        <v/>
      </c>
      <c r="M174" s="300"/>
      <c r="N174" s="309"/>
      <c r="O174" s="298"/>
      <c r="P174" s="309"/>
      <c r="Q174" s="494" t="str">
        <f t="shared" si="71"/>
        <v>EB</v>
      </c>
      <c r="R174" s="495" t="str">
        <f t="shared" si="72"/>
        <v>NC</v>
      </c>
      <c r="S174" s="450"/>
      <c r="T174" s="300">
        <f t="shared" si="64"/>
        <v>0</v>
      </c>
      <c r="U174" s="2111"/>
      <c r="V174" s="298">
        <f t="shared" si="76"/>
        <v>0</v>
      </c>
      <c r="W174" s="2111"/>
      <c r="X174" s="494" t="str">
        <f t="shared" si="74"/>
        <v>EB</v>
      </c>
      <c r="Y174" s="495" t="str">
        <f t="shared" si="75"/>
        <v>NC</v>
      </c>
      <c r="Z174" s="205"/>
      <c r="AA174" s="265" t="e">
        <f>重み_前!M174</f>
        <v>#DIV/0!</v>
      </c>
      <c r="AB174" s="265" t="e">
        <f>重み_後!N174</f>
        <v>#DIV/0!</v>
      </c>
      <c r="AC174" s="235" t="e">
        <f>重み_前!D174</f>
        <v>#DIV/0!</v>
      </c>
      <c r="AD174" s="235"/>
      <c r="AE174" s="235" t="e">
        <f>重み_後!D174</f>
        <v>#DIV/0!</v>
      </c>
      <c r="AF174" s="235"/>
      <c r="AG174" s="235"/>
      <c r="AH174" s="236" t="e">
        <f>重み_前!N174</f>
        <v>#DIV/0!</v>
      </c>
      <c r="AI174" s="236" t="e">
        <f>重み_後!O174</f>
        <v>#DIV/0!</v>
      </c>
      <c r="AJ174" s="235" t="e">
        <f>重み_前!E174</f>
        <v>#DIV/0!</v>
      </c>
      <c r="AK174" s="235"/>
      <c r="AL174" s="235" t="e">
        <f>重み_後!E174</f>
        <v>#DIV/0!</v>
      </c>
    </row>
    <row r="175" spans="1:38" ht="13.5">
      <c r="A175" s="399"/>
      <c r="B175" s="493"/>
      <c r="C175" s="496"/>
      <c r="D175" s="297">
        <v>1</v>
      </c>
      <c r="E175" s="392" t="s">
        <v>821</v>
      </c>
      <c r="F175" s="280" t="s">
        <v>722</v>
      </c>
      <c r="G175" s="280" t="s">
        <v>722</v>
      </c>
      <c r="H175" s="280" t="s">
        <v>602</v>
      </c>
      <c r="I175" s="280" t="s">
        <v>722</v>
      </c>
      <c r="J175" s="280" t="s">
        <v>722</v>
      </c>
      <c r="K175" s="298" t="s">
        <v>602</v>
      </c>
      <c r="L175" s="301"/>
      <c r="M175" s="300" t="str">
        <f>IF(L175=$AA$3,$I175,$J175)</f>
        <v>EB</v>
      </c>
      <c r="N175" s="404">
        <v>3</v>
      </c>
      <c r="O175" s="298" t="str">
        <f>IF(L175=$AA$3,$I175,$K175)</f>
        <v>NC</v>
      </c>
      <c r="P175" s="404">
        <v>3</v>
      </c>
      <c r="Q175" s="314" t="str">
        <f>IF(L175=$AA$3,$F175,$G175)</f>
        <v>EB</v>
      </c>
      <c r="R175" s="312" t="str">
        <f>IF(L175=$AA$3,$F175,$H175)</f>
        <v>NC</v>
      </c>
      <c r="S175" s="450"/>
      <c r="T175" s="300" t="str">
        <f t="shared" si="64"/>
        <v>EB</v>
      </c>
      <c r="U175" s="2111"/>
      <c r="V175" s="298" t="str">
        <f t="shared" si="76"/>
        <v>NC</v>
      </c>
      <c r="W175" s="2111"/>
      <c r="X175" s="314" t="str">
        <f>IF(S175=$AA$3,$F175,$G175)</f>
        <v>EB</v>
      </c>
      <c r="Y175" s="312" t="str">
        <f>IF(S175=$AA$3,$F175,$H175)</f>
        <v>NC</v>
      </c>
      <c r="Z175" s="205"/>
      <c r="AA175" s="265" t="e">
        <f>重み_前!M175</f>
        <v>#DIV/0!</v>
      </c>
      <c r="AB175" s="265" t="e">
        <f>重み_後!N175</f>
        <v>#DIV/0!</v>
      </c>
      <c r="AC175" s="235" t="e">
        <f>重み_前!D175</f>
        <v>#DIV/0!</v>
      </c>
      <c r="AD175" s="235"/>
      <c r="AE175" s="235" t="e">
        <f>重み_後!D175</f>
        <v>#DIV/0!</v>
      </c>
      <c r="AF175" s="235"/>
      <c r="AG175" s="235"/>
      <c r="AH175" s="236" t="e">
        <f>重み_前!N175</f>
        <v>#DIV/0!</v>
      </c>
      <c r="AI175" s="236" t="e">
        <f>重み_後!O175</f>
        <v>#DIV/0!</v>
      </c>
      <c r="AJ175" s="235" t="e">
        <f>重み_前!E175</f>
        <v>#DIV/0!</v>
      </c>
      <c r="AK175" s="235"/>
      <c r="AL175" s="235" t="e">
        <f>重み_後!E175</f>
        <v>#DIV/0!</v>
      </c>
    </row>
    <row r="176" spans="1:38" ht="13.5">
      <c r="A176" s="399"/>
      <c r="B176" s="493"/>
      <c r="C176" s="496"/>
      <c r="D176" s="297">
        <v>2</v>
      </c>
      <c r="E176" s="392" t="s">
        <v>1110</v>
      </c>
      <c r="F176" s="280" t="s">
        <v>722</v>
      </c>
      <c r="G176" s="280" t="s">
        <v>722</v>
      </c>
      <c r="H176" s="280" t="s">
        <v>602</v>
      </c>
      <c r="I176" s="280" t="s">
        <v>722</v>
      </c>
      <c r="J176" s="280" t="s">
        <v>722</v>
      </c>
      <c r="K176" s="298" t="s">
        <v>602</v>
      </c>
      <c r="L176" s="313"/>
      <c r="M176" s="300" t="str">
        <f>IF(L176=$AA$3,$I176,$J176)</f>
        <v>EB</v>
      </c>
      <c r="N176" s="466">
        <v>3</v>
      </c>
      <c r="O176" s="298" t="str">
        <f>IF(L176=$AA$3,$I176,$K176)</f>
        <v>NC</v>
      </c>
      <c r="P176" s="466">
        <v>3</v>
      </c>
      <c r="Q176" s="314" t="str">
        <f>IF(L176=$AA$3,$F176,$G176)</f>
        <v>EB</v>
      </c>
      <c r="R176" s="312" t="str">
        <f>IF(L176=$AA$3,$F176,$H176)</f>
        <v>NC</v>
      </c>
      <c r="S176" s="450"/>
      <c r="T176" s="300" t="str">
        <f t="shared" si="64"/>
        <v>EB</v>
      </c>
      <c r="U176" s="2111"/>
      <c r="V176" s="298" t="str">
        <f t="shared" si="76"/>
        <v>NC</v>
      </c>
      <c r="W176" s="2111"/>
      <c r="X176" s="314" t="str">
        <f>IF(S176=$AA$3,$F176,$G176)</f>
        <v>EB</v>
      </c>
      <c r="Y176" s="312" t="str">
        <f>IF(S176=$AA$3,$F176,$H176)</f>
        <v>NC</v>
      </c>
      <c r="Z176" s="205"/>
      <c r="AA176" s="265" t="e">
        <f>重み_前!M176</f>
        <v>#DIV/0!</v>
      </c>
      <c r="AB176" s="265" t="e">
        <f>重み_後!N176</f>
        <v>#DIV/0!</v>
      </c>
      <c r="AC176" s="235" t="e">
        <f>重み_前!D176</f>
        <v>#DIV/0!</v>
      </c>
      <c r="AD176" s="235"/>
      <c r="AE176" s="235" t="e">
        <f>重み_後!D176</f>
        <v>#DIV/0!</v>
      </c>
      <c r="AF176" s="235"/>
      <c r="AG176" s="235"/>
      <c r="AH176" s="236" t="e">
        <f>重み_前!N176</f>
        <v>#DIV/0!</v>
      </c>
      <c r="AI176" s="236" t="e">
        <f>重み_後!O176</f>
        <v>#DIV/0!</v>
      </c>
      <c r="AJ176" s="235" t="e">
        <f>重み_前!E176</f>
        <v>#DIV/0!</v>
      </c>
      <c r="AK176" s="235"/>
      <c r="AL176" s="235" t="e">
        <f>重み_後!E176</f>
        <v>#DIV/0!</v>
      </c>
    </row>
    <row r="177" spans="1:38" ht="14.25" thickBot="1">
      <c r="A177" s="399"/>
      <c r="B177" s="493"/>
      <c r="C177" s="496"/>
      <c r="D177" s="391">
        <v>3</v>
      </c>
      <c r="E177" s="392" t="s">
        <v>1111</v>
      </c>
      <c r="F177" s="280" t="s">
        <v>722</v>
      </c>
      <c r="G177" s="280" t="s">
        <v>722</v>
      </c>
      <c r="H177" s="280" t="s">
        <v>602</v>
      </c>
      <c r="I177" s="280" t="s">
        <v>722</v>
      </c>
      <c r="J177" s="280" t="s">
        <v>722</v>
      </c>
      <c r="K177" s="298" t="s">
        <v>602</v>
      </c>
      <c r="L177" s="306"/>
      <c r="M177" s="300" t="str">
        <f>IF(L177=$AA$3,$I177,$J177)</f>
        <v>EB</v>
      </c>
      <c r="N177" s="318">
        <v>3</v>
      </c>
      <c r="O177" s="298" t="str">
        <f>IF(L177=$AA$3,$I177,$K177)</f>
        <v>NC</v>
      </c>
      <c r="P177" s="318">
        <v>3</v>
      </c>
      <c r="Q177" s="314" t="str">
        <f>IF(L177=$AA$3,$F177,$G177)</f>
        <v>EB</v>
      </c>
      <c r="R177" s="312" t="str">
        <f>IF(L177=$AA$3,$F177,$H177)</f>
        <v>NC</v>
      </c>
      <c r="S177" s="450"/>
      <c r="T177" s="300" t="str">
        <f t="shared" si="64"/>
        <v>EB</v>
      </c>
      <c r="U177" s="2111"/>
      <c r="V177" s="298" t="str">
        <f t="shared" si="76"/>
        <v>NC</v>
      </c>
      <c r="W177" s="2111"/>
      <c r="X177" s="314" t="str">
        <f>IF(S177=$AA$3,$F177,$G177)</f>
        <v>EB</v>
      </c>
      <c r="Y177" s="312" t="str">
        <f>IF(S177=$AA$3,$F177,$H177)</f>
        <v>NC</v>
      </c>
      <c r="Z177" s="205"/>
      <c r="AA177" s="265" t="e">
        <f>重み_前!M177</f>
        <v>#DIV/0!</v>
      </c>
      <c r="AB177" s="265" t="e">
        <f>重み_後!N177</f>
        <v>#DIV/0!</v>
      </c>
      <c r="AC177" s="235" t="e">
        <f>重み_前!D177</f>
        <v>#DIV/0!</v>
      </c>
      <c r="AD177" s="235"/>
      <c r="AE177" s="235" t="e">
        <f>重み_後!D177</f>
        <v>#DIV/0!</v>
      </c>
      <c r="AF177" s="235"/>
      <c r="AG177" s="235"/>
      <c r="AH177" s="236" t="e">
        <f>重み_前!N177</f>
        <v>#DIV/0!</v>
      </c>
      <c r="AI177" s="236" t="e">
        <f>重み_後!O177</f>
        <v>#DIV/0!</v>
      </c>
      <c r="AJ177" s="235" t="e">
        <f>重み_前!E177</f>
        <v>#DIV/0!</v>
      </c>
      <c r="AK177" s="235"/>
      <c r="AL177" s="235" t="e">
        <f>重み_後!E177</f>
        <v>#DIV/0!</v>
      </c>
    </row>
    <row r="178" spans="1:38" ht="14.25" thickBot="1">
      <c r="A178" s="399"/>
      <c r="B178" s="478"/>
      <c r="C178" s="289">
        <v>3.3</v>
      </c>
      <c r="D178" s="392" t="s">
        <v>793</v>
      </c>
      <c r="E178" s="317"/>
      <c r="F178" s="280" t="s">
        <v>794</v>
      </c>
      <c r="G178" s="280" t="s">
        <v>794</v>
      </c>
      <c r="H178" s="280" t="s">
        <v>795</v>
      </c>
      <c r="I178" s="280"/>
      <c r="J178" s="280"/>
      <c r="K178" s="298"/>
      <c r="L178" s="295" t="str">
        <f>IF(COUNTIF(L179:L180,$AA$3)&gt;=ROWS(L179:L180),$AA$3,"")</f>
        <v/>
      </c>
      <c r="M178" s="300"/>
      <c r="N178" s="309"/>
      <c r="O178" s="298"/>
      <c r="P178" s="309"/>
      <c r="Q178" s="334" t="str">
        <f t="shared" si="71"/>
        <v>EB</v>
      </c>
      <c r="R178" s="335" t="str">
        <f t="shared" si="72"/>
        <v>NC</v>
      </c>
      <c r="S178" s="450"/>
      <c r="T178" s="300">
        <f t="shared" si="64"/>
        <v>0</v>
      </c>
      <c r="U178" s="2111"/>
      <c r="V178" s="298">
        <f t="shared" si="76"/>
        <v>0</v>
      </c>
      <c r="W178" s="2111"/>
      <c r="X178" s="334" t="str">
        <f t="shared" si="74"/>
        <v>EB</v>
      </c>
      <c r="Y178" s="335" t="str">
        <f t="shared" si="75"/>
        <v>NC</v>
      </c>
      <c r="Z178" s="205"/>
      <c r="AA178" s="265" t="e">
        <f>重み_前!M178</f>
        <v>#DIV/0!</v>
      </c>
      <c r="AB178" s="265" t="e">
        <f>重み_後!N178</f>
        <v>#DIV/0!</v>
      </c>
      <c r="AC178" s="235" t="e">
        <f>重み_前!D178</f>
        <v>#DIV/0!</v>
      </c>
      <c r="AD178" s="235"/>
      <c r="AE178" s="235" t="e">
        <f>重み_後!D178</f>
        <v>#DIV/0!</v>
      </c>
      <c r="AF178" s="235"/>
      <c r="AG178" s="235"/>
      <c r="AH178" s="236" t="e">
        <f>重み_前!N178</f>
        <v>#DIV/0!</v>
      </c>
      <c r="AI178" s="236" t="e">
        <f>重み_後!O178</f>
        <v>#DIV/0!</v>
      </c>
      <c r="AJ178" s="235" t="e">
        <f>重み_前!E178</f>
        <v>#DIV/0!</v>
      </c>
      <c r="AK178" s="235"/>
      <c r="AL178" s="235" t="e">
        <f>重み_後!E178</f>
        <v>#DIV/0!</v>
      </c>
    </row>
    <row r="179" spans="1:38" ht="13.5">
      <c r="A179" s="399"/>
      <c r="B179" s="493"/>
      <c r="C179" s="496"/>
      <c r="D179" s="297">
        <v>1</v>
      </c>
      <c r="E179" s="317" t="s">
        <v>796</v>
      </c>
      <c r="F179" s="280" t="s">
        <v>722</v>
      </c>
      <c r="G179" s="280" t="s">
        <v>722</v>
      </c>
      <c r="H179" s="280" t="s">
        <v>602</v>
      </c>
      <c r="I179" s="280" t="s">
        <v>722</v>
      </c>
      <c r="J179" s="280" t="s">
        <v>722</v>
      </c>
      <c r="K179" s="298" t="s">
        <v>602</v>
      </c>
      <c r="L179" s="299"/>
      <c r="M179" s="300" t="str">
        <f>IF(L179=$AA$3,$I179,$J179)</f>
        <v>EB</v>
      </c>
      <c r="N179" s="404">
        <v>3</v>
      </c>
      <c r="O179" s="298" t="str">
        <f>IF(L179=$AA$3,$I179,$K179)</f>
        <v>NC</v>
      </c>
      <c r="P179" s="404">
        <v>3</v>
      </c>
      <c r="Q179" s="302" t="str">
        <f t="shared" si="71"/>
        <v>EB</v>
      </c>
      <c r="R179" s="299" t="str">
        <f t="shared" si="72"/>
        <v>NC</v>
      </c>
      <c r="S179" s="450"/>
      <c r="T179" s="300" t="str">
        <f t="shared" si="64"/>
        <v>EB</v>
      </c>
      <c r="U179" s="2111"/>
      <c r="V179" s="298" t="str">
        <f t="shared" si="76"/>
        <v>NC</v>
      </c>
      <c r="W179" s="2111"/>
      <c r="X179" s="302" t="str">
        <f t="shared" si="74"/>
        <v>EB</v>
      </c>
      <c r="Y179" s="299" t="str">
        <f t="shared" si="75"/>
        <v>NC</v>
      </c>
      <c r="Z179" s="205"/>
      <c r="AA179" s="265" t="e">
        <f>重み_前!M179</f>
        <v>#DIV/0!</v>
      </c>
      <c r="AB179" s="265" t="e">
        <f>重み_後!N179</f>
        <v>#DIV/0!</v>
      </c>
      <c r="AC179" s="235" t="e">
        <f>重み_前!D179</f>
        <v>#DIV/0!</v>
      </c>
      <c r="AD179" s="235"/>
      <c r="AE179" s="235" t="e">
        <f>重み_後!D179</f>
        <v>#DIV/0!</v>
      </c>
      <c r="AF179" s="235"/>
      <c r="AG179" s="235"/>
      <c r="AH179" s="236" t="e">
        <f>重み_前!N179</f>
        <v>#DIV/0!</v>
      </c>
      <c r="AI179" s="236" t="e">
        <f>重み_後!O179</f>
        <v>#DIV/0!</v>
      </c>
      <c r="AJ179" s="235" t="e">
        <f>重み_前!E179</f>
        <v>#DIV/0!</v>
      </c>
      <c r="AK179" s="235"/>
      <c r="AL179" s="235" t="e">
        <f>重み_後!E179</f>
        <v>#DIV/0!</v>
      </c>
    </row>
    <row r="180" spans="1:38" ht="14.25" thickBot="1">
      <c r="A180" s="399"/>
      <c r="B180" s="497"/>
      <c r="C180" s="498"/>
      <c r="D180" s="349">
        <v>2</v>
      </c>
      <c r="E180" s="499" t="s">
        <v>797</v>
      </c>
      <c r="F180" s="500" t="s">
        <v>722</v>
      </c>
      <c r="G180" s="500" t="s">
        <v>722</v>
      </c>
      <c r="H180" s="500" t="s">
        <v>602</v>
      </c>
      <c r="I180" s="500" t="s">
        <v>722</v>
      </c>
      <c r="J180" s="500" t="s">
        <v>722</v>
      </c>
      <c r="K180" s="352" t="s">
        <v>602</v>
      </c>
      <c r="L180" s="305"/>
      <c r="M180" s="351" t="str">
        <f>IF(L180=$AA$3,$I180,$J180)</f>
        <v>EB</v>
      </c>
      <c r="N180" s="318">
        <v>3</v>
      </c>
      <c r="O180" s="352" t="str">
        <f>IF(L180=$AA$3,$I180,$K180)</f>
        <v>NC</v>
      </c>
      <c r="P180" s="318">
        <v>3</v>
      </c>
      <c r="Q180" s="307" t="str">
        <f t="shared" si="71"/>
        <v>EB</v>
      </c>
      <c r="R180" s="305" t="str">
        <f t="shared" si="72"/>
        <v>NC</v>
      </c>
      <c r="S180" s="2415"/>
      <c r="T180" s="351" t="str">
        <f t="shared" si="64"/>
        <v>EB</v>
      </c>
      <c r="U180" s="293"/>
      <c r="V180" s="352" t="str">
        <f t="shared" si="76"/>
        <v>NC</v>
      </c>
      <c r="W180" s="293"/>
      <c r="X180" s="307" t="str">
        <f t="shared" si="74"/>
        <v>EB</v>
      </c>
      <c r="Y180" s="305" t="str">
        <f t="shared" si="75"/>
        <v>NC</v>
      </c>
      <c r="Z180" s="205"/>
      <c r="AA180" s="265" t="e">
        <f>重み_前!M180</f>
        <v>#DIV/0!</v>
      </c>
      <c r="AB180" s="265" t="e">
        <f>重み_後!N180</f>
        <v>#DIV/0!</v>
      </c>
      <c r="AC180" s="235" t="e">
        <f>重み_前!D180</f>
        <v>#DIV/0!</v>
      </c>
      <c r="AD180" s="235"/>
      <c r="AE180" s="235" t="e">
        <f>重み_後!D180</f>
        <v>#DIV/0!</v>
      </c>
      <c r="AF180" s="235"/>
      <c r="AG180" s="235"/>
      <c r="AH180" s="236" t="e">
        <f>重み_前!N180</f>
        <v>#DIV/0!</v>
      </c>
      <c r="AI180" s="236" t="e">
        <f>重み_後!O180</f>
        <v>#DIV/0!</v>
      </c>
      <c r="AJ180" s="235" t="e">
        <f>重み_前!E180</f>
        <v>#DIV/0!</v>
      </c>
      <c r="AK180" s="235"/>
      <c r="AL180" s="235" t="e">
        <f>重み_後!E180</f>
        <v>#DIV/0!</v>
      </c>
    </row>
    <row r="181" spans="1:38" ht="13.5">
      <c r="B181" s="501"/>
      <c r="C181" s="502"/>
      <c r="D181" s="503"/>
      <c r="E181" s="504"/>
      <c r="F181" s="505"/>
      <c r="G181" s="505"/>
      <c r="H181" s="505"/>
      <c r="I181" s="505"/>
      <c r="J181" s="505"/>
      <c r="K181" s="505"/>
      <c r="L181" s="505"/>
      <c r="M181" s="505"/>
      <c r="N181" s="505"/>
      <c r="O181" s="505"/>
      <c r="P181" s="505"/>
      <c r="Q181" s="505"/>
      <c r="R181" s="505"/>
      <c r="S181" s="505"/>
      <c r="T181" s="505"/>
      <c r="U181" s="506"/>
      <c r="V181" s="505"/>
      <c r="W181" s="506"/>
      <c r="X181" s="506"/>
      <c r="Y181" s="506"/>
      <c r="Z181" s="506"/>
      <c r="AA181" s="194"/>
      <c r="AB181" s="194"/>
      <c r="AC181" s="194"/>
      <c r="AD181" s="194"/>
      <c r="AE181" s="194"/>
      <c r="AF181" s="194"/>
      <c r="AG181" s="194"/>
    </row>
  </sheetData>
  <sheetProtection password="CC47" sheet="1" objects="1" scenarios="1"/>
  <mergeCells count="5">
    <mergeCell ref="O6:P6"/>
    <mergeCell ref="M6:N6"/>
    <mergeCell ref="V6:W6"/>
    <mergeCell ref="T6:U6"/>
    <mergeCell ref="D46:E46"/>
  </mergeCells>
  <phoneticPr fontId="20"/>
  <conditionalFormatting sqref="N12:N13 N36:N38 N24:N25 N64:N66 N77:N78 N15:N19 N99:N101 N113:N115 N142:N145 N59:N60 N30 U68:U70 N91:N96 N103:N108 N110:N111 N171:N173 N87:N89 N32:N33 U22 U12:U13 U36:U38 U64:U66 U77:U78 U15:U19 N72:N74 U99:U101 U115 U59:U60 U41:U46 U32:U33 U91:U96 U103:U108 N122:N123 N120 U80:U85 U87:U89 N68:N70 U72:U74 N179:N180 N162:N163 N165:N168 N147:N154 N156:N160 N80:N85 N175:N177 N22 U52 U49:U50 U54:U56 N54:N56 U30 N49:N50 U24:U25 N52 N41:N46">
    <cfRule type="expression" dxfId="82" priority="35" stopIfTrue="1">
      <formula>(AA12=0)</formula>
    </cfRule>
  </conditionalFormatting>
  <conditionalFormatting sqref="P36:P38 P41:P46 P64:P66 P77:P78 P15:P19 P113:P115 P142:P145 P59:P60 P99:P101 W24:W25 W68:W70 P91:P96 P103:P108 P110:P111 P171:P173 P12:P13 P87:P89 W30 P32:P33 W36:W38 W52 W64:W66 W77:W78 W41:W46 P72:P74 W115 W59:W60 W99:W101 P54:P56 W32:W33 W91:W96 W103:W108 P122:P123 P120 W80:W85 W12:W13 W87:W89 W15:W19 P68:P70 W72:W74 P179:P180 P162:P163 P165:P168 P147:P154 P156:P160 P80:P85 P175:P177 W54:W56 P52 P49:P50 W49:W50 P24:P25 P30 P22 W22">
    <cfRule type="expression" dxfId="81" priority="36" stopIfTrue="1">
      <formula>(AB12=0)</formula>
    </cfRule>
  </conditionalFormatting>
  <conditionalFormatting sqref="N11 U11">
    <cfRule type="expression" dxfId="80" priority="33" stopIfTrue="1">
      <formula>(AA11=0)</formula>
    </cfRule>
  </conditionalFormatting>
  <conditionalFormatting sqref="P11 W11">
    <cfRule type="expression" dxfId="79" priority="34" stopIfTrue="1">
      <formula>(AB11=0)</formula>
    </cfRule>
  </conditionalFormatting>
  <conditionalFormatting sqref="N134">
    <cfRule type="expression" dxfId="78" priority="29" stopIfTrue="1">
      <formula>(AA134=0)</formula>
    </cfRule>
  </conditionalFormatting>
  <conditionalFormatting sqref="P134">
    <cfRule type="expression" dxfId="77" priority="30" stopIfTrue="1">
      <formula>(AB134=0)</formula>
    </cfRule>
  </conditionalFormatting>
  <conditionalFormatting sqref="N137">
    <cfRule type="expression" dxfId="76" priority="27" stopIfTrue="1">
      <formula>(AA137=0)</formula>
    </cfRule>
  </conditionalFormatting>
  <conditionalFormatting sqref="P137">
    <cfRule type="expression" dxfId="75" priority="28" stopIfTrue="1">
      <formula>(AB137=0)</formula>
    </cfRule>
  </conditionalFormatting>
  <conditionalFormatting sqref="N135:N136">
    <cfRule type="expression" dxfId="74" priority="10" stopIfTrue="1">
      <formula>(AA135=0)</formula>
    </cfRule>
  </conditionalFormatting>
  <conditionalFormatting sqref="N138:N139">
    <cfRule type="expression" dxfId="73" priority="9" stopIfTrue="1">
      <formula>(AA138=0)</formula>
    </cfRule>
  </conditionalFormatting>
  <conditionalFormatting sqref="P135:P136">
    <cfRule type="expression" dxfId="72" priority="8" stopIfTrue="1">
      <formula>(AC135=0)</formula>
    </cfRule>
  </conditionalFormatting>
  <conditionalFormatting sqref="P138:P139">
    <cfRule type="expression" dxfId="71" priority="7" stopIfTrue="1">
      <formula>(AC138=0)</formula>
    </cfRule>
  </conditionalFormatting>
  <conditionalFormatting sqref="N121">
    <cfRule type="expression" dxfId="70" priority="3" stopIfTrue="1">
      <formula>(AA121=0)</formula>
    </cfRule>
  </conditionalFormatting>
  <conditionalFormatting sqref="P121">
    <cfRule type="expression" dxfId="69" priority="4" stopIfTrue="1">
      <formula>(AB121=0)</formula>
    </cfRule>
  </conditionalFormatting>
  <dataValidations xWindow="895" yWindow="482" count="2">
    <dataValidation type="list" allowBlank="1" showInputMessage="1" showErrorMessage="1" sqref="L179:L180 L22:L31 S22:S31 L54:L57 L59:L60 L64:L66 L77:L78 L68:L70 L80:L85 L72:L74 L40:L46 L11:L13 L15:L19 L36:L38 L49:L52 S40:S46 S49:S52 S54:S57 S59:S60 S64:S66 S77:S78 S68:S70 S80:S85 S72:S74 S11:S13 S15:S19 S36:S38 L175:L177 L99:L101 L110:L111 L103:L108 L154 L135:L136 S99:S101 L91:L95 L171:L173 L122:L124 S110:S111 S103:S108 S91:S95 L138:L139 S87:S89 L144:L145 L87:L89 L165:L168 L142 L156:L158 L113:L114 L162:L163 L160 L147:L152 L118:L119 S113:S114">
      <formula1>$AA$2:$AA$3</formula1>
    </dataValidation>
    <dataValidation allowBlank="1" showErrorMessage="1" sqref="AJ6:AL180 AC6:AG180"/>
  </dataValidations>
  <printOptions horizontalCentered="1"/>
  <pageMargins left="0.59055118110236227" right="0.59055118110236227" top="0.78740157480314965" bottom="0.59055118110236227" header="0.51181102362204722" footer="0.51181102362204722"/>
  <pageSetup paperSize="9" scale="62" fitToHeight="2" orientation="portrait" verticalDpi="4294967293" r:id="rId1"/>
  <headerFooter alignWithMargins="0">
    <oddHeader>&amp;L&amp;F&amp;R&amp;A</oddHeader>
    <oddFooter>&amp;C&amp;P/&amp;N</oddFooter>
  </headerFooter>
  <rowBreaks count="1" manualBreakCount="1">
    <brk id="96" max="25" man="1"/>
  </rowBreaks>
  <legacyDrawing r:id="rId2"/>
</worksheet>
</file>

<file path=xl/worksheets/sheet6.xml><?xml version="1.0" encoding="utf-8"?>
<worksheet xmlns="http://schemas.openxmlformats.org/spreadsheetml/2006/main" xmlns:r="http://schemas.openxmlformats.org/officeDocument/2006/relationships">
  <sheetPr codeName="Sheet5"/>
  <dimension ref="A1:AO183"/>
  <sheetViews>
    <sheetView showGridLines="0" zoomScaleNormal="100" workbookViewId="0">
      <pane ySplit="7" topLeftCell="A8" activePane="bottomLeft" state="frozen"/>
      <selection pane="bottomLeft" activeCell="H16" sqref="H16:K16"/>
    </sheetView>
  </sheetViews>
  <sheetFormatPr defaultColWidth="0" defaultRowHeight="12" customHeight="1" zeroHeight="1"/>
  <cols>
    <col min="1" max="1" width="1.25" style="187" customWidth="1"/>
    <col min="2" max="2" width="3" style="187" customWidth="1"/>
    <col min="3" max="3" width="5.125" style="188" customWidth="1"/>
    <col min="4" max="4" width="4.625" style="189" customWidth="1"/>
    <col min="5" max="5" width="9.125" style="187" customWidth="1"/>
    <col min="6" max="6" width="17.375" style="187" customWidth="1"/>
    <col min="7" max="7" width="1.125" style="6" hidden="1" customWidth="1"/>
    <col min="8" max="11" width="9.625" style="507" customWidth="1"/>
    <col min="12" max="19" width="7.125" style="507" customWidth="1"/>
    <col min="20" max="21" width="7.125" style="190" customWidth="1"/>
    <col min="22" max="22" width="1" style="191" customWidth="1"/>
    <col min="23" max="24" width="0" style="191" hidden="1" customWidth="1"/>
    <col min="25" max="26" width="0" style="187" hidden="1" customWidth="1"/>
    <col min="27" max="29" width="0" style="508" hidden="1" customWidth="1"/>
    <col min="30" max="32" width="0" style="539" hidden="1" customWidth="1"/>
    <col min="33" max="33" width="0" style="194" hidden="1" customWidth="1"/>
    <col min="34" max="36" width="0" style="539" hidden="1" customWidth="1"/>
    <col min="37" max="37" width="0" style="194" hidden="1" customWidth="1"/>
    <col min="38" max="41" width="0" style="6" hidden="1" customWidth="1"/>
    <col min="42" max="16384" width="9.125" style="6" hidden="1"/>
  </cols>
  <sheetData>
    <row r="1" spans="2:41" ht="6" customHeight="1" thickBot="1">
      <c r="H1" s="190"/>
      <c r="I1" s="190"/>
      <c r="J1" s="190"/>
      <c r="K1" s="190"/>
      <c r="L1" s="190"/>
      <c r="M1" s="190"/>
      <c r="N1" s="190"/>
      <c r="O1" s="190"/>
      <c r="P1" s="190"/>
      <c r="Q1" s="190"/>
      <c r="S1" s="190"/>
      <c r="W1" s="192"/>
      <c r="X1" s="192"/>
      <c r="Y1" s="192"/>
      <c r="Z1" s="192"/>
      <c r="AA1" s="192"/>
      <c r="AB1" s="6"/>
      <c r="AC1" s="6"/>
      <c r="AD1" s="6"/>
      <c r="AE1" s="6"/>
      <c r="AF1" s="6"/>
      <c r="AG1" s="6"/>
      <c r="AH1" s="6"/>
      <c r="AI1" s="6"/>
      <c r="AJ1" s="6"/>
      <c r="AK1" s="6"/>
    </row>
    <row r="2" spans="2:41" ht="17.25">
      <c r="B2" s="520" t="str">
        <f>メイン!C6</f>
        <v>CASBEE京都-改修（2015年版）</v>
      </c>
      <c r="C2" s="521"/>
      <c r="D2" s="522"/>
      <c r="E2" s="523"/>
      <c r="F2" s="524"/>
      <c r="G2" s="524"/>
      <c r="H2" s="190"/>
      <c r="I2" s="190"/>
      <c r="J2" s="190"/>
      <c r="K2" s="190"/>
      <c r="M2" s="525"/>
      <c r="O2" s="190"/>
      <c r="P2" s="525" t="s">
        <v>456</v>
      </c>
      <c r="S2" s="526" t="str">
        <f>メイン!C6</f>
        <v>CASBEE京都-改修（2015年版）</v>
      </c>
      <c r="T2" s="527"/>
      <c r="V2" s="528"/>
      <c r="W2" s="200"/>
      <c r="X2" s="200"/>
      <c r="Y2" s="200"/>
      <c r="Z2" s="200"/>
      <c r="AA2" s="529"/>
      <c r="AB2" s="6"/>
      <c r="AC2" s="6"/>
      <c r="AD2" s="6"/>
      <c r="AE2" s="6"/>
      <c r="AF2" s="6"/>
      <c r="AG2" s="6"/>
      <c r="AH2" s="6"/>
      <c r="AI2" s="6"/>
      <c r="AJ2" s="6"/>
      <c r="AK2" s="6"/>
    </row>
    <row r="3" spans="2:41" ht="14.25" thickBot="1">
      <c r="B3" s="2951">
        <f>メイン!H11</f>
        <v>0</v>
      </c>
      <c r="C3" s="2952"/>
      <c r="D3" s="2952"/>
      <c r="E3" s="2952"/>
      <c r="F3" s="2953"/>
      <c r="G3" s="530"/>
      <c r="H3" s="190"/>
      <c r="I3" s="190"/>
      <c r="J3" s="190"/>
      <c r="K3" s="190"/>
      <c r="M3" s="525"/>
      <c r="O3" s="190"/>
      <c r="P3" s="527" t="s">
        <v>915</v>
      </c>
      <c r="S3" s="531" t="str">
        <f>メイン!C5</f>
        <v>CASBEE京都-改修2015（v.1.0）</v>
      </c>
      <c r="T3" s="532"/>
      <c r="V3" s="532"/>
      <c r="W3" s="533"/>
      <c r="X3" s="533"/>
      <c r="Y3" s="533"/>
      <c r="Z3" s="533"/>
      <c r="AA3" s="534"/>
      <c r="AB3" s="6"/>
      <c r="AC3" s="6"/>
      <c r="AD3" s="6"/>
      <c r="AE3" s="6"/>
      <c r="AF3" s="6"/>
      <c r="AG3" s="6"/>
      <c r="AH3" s="6"/>
      <c r="AI3" s="6"/>
      <c r="AJ3" s="6"/>
      <c r="AK3" s="6"/>
    </row>
    <row r="4" spans="2:41" ht="14.25" thickBot="1">
      <c r="B4" s="207"/>
      <c r="C4" s="208"/>
      <c r="D4" s="209"/>
      <c r="H4" s="187"/>
      <c r="I4" s="187"/>
      <c r="J4" s="187"/>
      <c r="K4" s="187"/>
      <c r="L4" s="187"/>
      <c r="M4" s="187"/>
      <c r="N4" s="187"/>
      <c r="O4" s="187"/>
      <c r="P4" s="187"/>
      <c r="Q4" s="187"/>
      <c r="R4" s="187"/>
      <c r="S4" s="210"/>
      <c r="T4" s="210"/>
      <c r="U4" s="210"/>
      <c r="V4" s="187"/>
      <c r="W4" s="192"/>
      <c r="X4" s="192"/>
      <c r="Y4" s="192"/>
      <c r="Z4" s="192"/>
      <c r="AA4" s="192"/>
      <c r="AB4" s="6"/>
      <c r="AC4" s="6"/>
      <c r="AD4" s="6"/>
      <c r="AE4" s="6"/>
      <c r="AF4" s="6"/>
      <c r="AG4" s="6"/>
      <c r="AH4" s="6"/>
      <c r="AI4" s="6"/>
      <c r="AJ4" s="6"/>
      <c r="AK4" s="6"/>
    </row>
    <row r="5" spans="2:41" ht="15" thickBot="1">
      <c r="B5" s="211" t="s">
        <v>916</v>
      </c>
      <c r="C5" s="212"/>
      <c r="D5" s="213"/>
      <c r="E5" s="535"/>
      <c r="F5" s="535"/>
      <c r="G5" s="536"/>
      <c r="H5" s="537" t="str">
        <f>IF(メイン!H38=0,"",メイン!H38)</f>
        <v/>
      </c>
      <c r="I5" s="215"/>
      <c r="J5" s="215"/>
      <c r="K5" s="215"/>
      <c r="L5" s="538"/>
      <c r="M5" s="538"/>
      <c r="N5" s="538"/>
      <c r="O5" s="538"/>
      <c r="P5" s="538"/>
      <c r="Q5" s="538"/>
      <c r="R5" s="538"/>
      <c r="S5" s="538"/>
      <c r="T5" s="2980"/>
      <c r="U5" s="2981"/>
      <c r="AE5" s="6"/>
      <c r="AF5" s="540" t="s">
        <v>917</v>
      </c>
      <c r="AG5" s="539"/>
      <c r="AJ5" s="541" t="s">
        <v>918</v>
      </c>
      <c r="AK5" s="6"/>
    </row>
    <row r="6" spans="2:41" ht="14.25" thickBot="1">
      <c r="B6" s="224"/>
      <c r="C6" s="225"/>
      <c r="D6" s="226"/>
      <c r="E6" s="227"/>
      <c r="F6" s="227"/>
      <c r="G6" s="542"/>
      <c r="H6" s="543"/>
      <c r="I6" s="544"/>
      <c r="J6" s="544"/>
      <c r="K6" s="544"/>
      <c r="L6" s="545" t="s">
        <v>571</v>
      </c>
      <c r="M6" s="545"/>
      <c r="N6" s="231"/>
      <c r="O6" s="546"/>
      <c r="P6" s="545" t="s">
        <v>572</v>
      </c>
      <c r="Q6" s="545"/>
      <c r="R6" s="231"/>
      <c r="S6" s="547"/>
      <c r="T6" s="2984" t="s">
        <v>919</v>
      </c>
      <c r="U6" s="2985"/>
      <c r="W6" s="508" t="s">
        <v>920</v>
      </c>
      <c r="AA6" s="508" t="s">
        <v>920</v>
      </c>
      <c r="AE6" s="6"/>
      <c r="AF6" s="548" t="s">
        <v>921</v>
      </c>
      <c r="AG6" s="549"/>
      <c r="AH6" s="236" t="e">
        <f>重み_前!D7</f>
        <v>#DIV/0!</v>
      </c>
      <c r="AI6" s="236">
        <f>重み_後!D7</f>
        <v>1</v>
      </c>
      <c r="AJ6" s="548" t="s">
        <v>921</v>
      </c>
      <c r="AK6" s="549"/>
      <c r="AL6" s="236" t="e">
        <f>重み_前!E7</f>
        <v>#DIV/0!</v>
      </c>
      <c r="AM6" s="236">
        <f>重み_後!E7</f>
        <v>0</v>
      </c>
    </row>
    <row r="7" spans="2:41" ht="27.75" customHeight="1">
      <c r="B7" s="238" t="s">
        <v>922</v>
      </c>
      <c r="C7" s="239"/>
      <c r="D7" s="240"/>
      <c r="E7" s="241" t="s">
        <v>580</v>
      </c>
      <c r="F7" s="550"/>
      <c r="G7" s="551"/>
      <c r="H7" s="552" t="s">
        <v>425</v>
      </c>
      <c r="I7" s="553"/>
      <c r="J7" s="553"/>
      <c r="K7" s="553"/>
      <c r="L7" s="554" t="s">
        <v>459</v>
      </c>
      <c r="M7" s="555" t="s">
        <v>460</v>
      </c>
      <c r="N7" s="556" t="s">
        <v>923</v>
      </c>
      <c r="O7" s="557"/>
      <c r="P7" s="554" t="s">
        <v>459</v>
      </c>
      <c r="Q7" s="555" t="s">
        <v>460</v>
      </c>
      <c r="R7" s="556" t="s">
        <v>923</v>
      </c>
      <c r="S7" s="558"/>
      <c r="T7" s="559" t="s">
        <v>459</v>
      </c>
      <c r="U7" s="559" t="s">
        <v>460</v>
      </c>
      <c r="W7" s="548" t="s">
        <v>924</v>
      </c>
      <c r="X7" s="548" t="s">
        <v>925</v>
      </c>
      <c r="Y7" s="252" t="s">
        <v>926</v>
      </c>
      <c r="Z7" s="252" t="s">
        <v>927</v>
      </c>
      <c r="AA7" s="548" t="s">
        <v>924</v>
      </c>
      <c r="AB7" s="548" t="s">
        <v>925</v>
      </c>
      <c r="AC7" s="252" t="s">
        <v>926</v>
      </c>
      <c r="AD7" s="252" t="s">
        <v>927</v>
      </c>
      <c r="AE7" s="6"/>
      <c r="AF7" s="6"/>
      <c r="AG7" s="6"/>
      <c r="AH7" s="6"/>
      <c r="AI7" s="6"/>
      <c r="AJ7" s="6"/>
      <c r="AK7" s="6"/>
    </row>
    <row r="8" spans="2:41" ht="16.5" thickBot="1">
      <c r="B8" s="253" t="s">
        <v>928</v>
      </c>
      <c r="C8" s="254"/>
      <c r="D8" s="255"/>
      <c r="E8" s="256"/>
      <c r="F8" s="256"/>
      <c r="G8" s="560"/>
      <c r="H8" s="257"/>
      <c r="I8" s="258"/>
      <c r="J8" s="258"/>
      <c r="K8" s="258"/>
      <c r="L8" s="561"/>
      <c r="M8" s="562"/>
      <c r="N8" s="563"/>
      <c r="O8" s="564"/>
      <c r="P8" s="263"/>
      <c r="Q8" s="562"/>
      <c r="R8" s="565"/>
      <c r="S8" s="566"/>
      <c r="T8" s="567" t="e">
        <f t="shared" ref="T8:U10" si="0">ROUNDDOWN(AN8,1)</f>
        <v>#DIV/0!</v>
      </c>
      <c r="U8" s="567" t="e">
        <f t="shared" si="0"/>
        <v>#DIV/0!</v>
      </c>
      <c r="W8" s="568"/>
      <c r="X8" s="568"/>
      <c r="Y8" s="236">
        <f>スコア入力!AA8</f>
        <v>0</v>
      </c>
      <c r="Z8" s="236">
        <f>スコア入力!AB8</f>
        <v>0</v>
      </c>
      <c r="AA8" s="568"/>
      <c r="AB8" s="568"/>
      <c r="AC8" s="236">
        <f>スコア入力!AH8</f>
        <v>0</v>
      </c>
      <c r="AD8" s="236">
        <f>スコア入力!AI8</f>
        <v>0</v>
      </c>
      <c r="AE8" s="6"/>
      <c r="AF8" s="6"/>
      <c r="AG8" s="6"/>
      <c r="AH8" s="6"/>
      <c r="AI8" s="6"/>
      <c r="AJ8" s="6"/>
      <c r="AK8" s="6"/>
      <c r="AN8" s="567" t="e">
        <f>AH9*AN9+AH61*AN61+AH109*AN109</f>
        <v>#DIV/0!</v>
      </c>
      <c r="AO8" s="567" t="e">
        <f>AI9*AO9+AI61*AO61+AI109*AO109</f>
        <v>#DIV/0!</v>
      </c>
    </row>
    <row r="9" spans="2:41" ht="15.75" thickBot="1">
      <c r="B9" s="266" t="s">
        <v>929</v>
      </c>
      <c r="C9" s="267"/>
      <c r="D9" s="267" t="s">
        <v>930</v>
      </c>
      <c r="E9" s="267"/>
      <c r="F9" s="569"/>
      <c r="G9" s="570"/>
      <c r="H9" s="268"/>
      <c r="I9" s="269"/>
      <c r="J9" s="269"/>
      <c r="K9" s="269"/>
      <c r="L9" s="434"/>
      <c r="M9" s="432"/>
      <c r="N9" s="571" t="e">
        <f>スコア入力!AC9</f>
        <v>#DIV/0!</v>
      </c>
      <c r="O9" s="571" t="e">
        <f>スコア入力!AE9</f>
        <v>#DIV/0!</v>
      </c>
      <c r="P9" s="274"/>
      <c r="Q9" s="572"/>
      <c r="R9" s="571"/>
      <c r="S9" s="571"/>
      <c r="T9" s="573" t="e">
        <f t="shared" si="0"/>
        <v>#DIV/0!</v>
      </c>
      <c r="U9" s="573" t="e">
        <f t="shared" si="0"/>
        <v>#DIV/0!</v>
      </c>
      <c r="W9" s="574" t="e">
        <f t="shared" ref="W9:W40" si="1">AF9</f>
        <v>#DIV/0!</v>
      </c>
      <c r="X9" s="574" t="e">
        <f t="shared" ref="X9:X40" si="2">AG9</f>
        <v>#DIV/0!</v>
      </c>
      <c r="Y9" s="236" t="e">
        <f>スコア入力!AA9</f>
        <v>#DIV/0!</v>
      </c>
      <c r="Z9" s="236" t="e">
        <f>スコア入力!AB9</f>
        <v>#DIV/0!</v>
      </c>
      <c r="AA9" s="574" t="e">
        <f t="shared" ref="AA9:AA40" si="3">AJ9</f>
        <v>#DIV/0!</v>
      </c>
      <c r="AB9" s="574" t="e">
        <f t="shared" ref="AB9:AB40" si="4">AK9</f>
        <v>#DIV/0!</v>
      </c>
      <c r="AC9" s="236" t="e">
        <f>スコア入力!AH9</f>
        <v>#DIV/0!</v>
      </c>
      <c r="AD9" s="236" t="e">
        <f>スコア入力!AI9</f>
        <v>#DIV/0!</v>
      </c>
      <c r="AE9" s="6"/>
      <c r="AF9" s="575" t="e">
        <f>AN9</f>
        <v>#DIV/0!</v>
      </c>
      <c r="AG9" s="575" t="e">
        <f>AO9</f>
        <v>#DIV/0!</v>
      </c>
      <c r="AH9" s="571" t="e">
        <f>スコア入力!AC9</f>
        <v>#DIV/0!</v>
      </c>
      <c r="AI9" s="571" t="e">
        <f>スコア入力!AE9</f>
        <v>#DIV/0!</v>
      </c>
      <c r="AJ9" s="575" t="e">
        <f>AN9</f>
        <v>#DIV/0!</v>
      </c>
      <c r="AK9" s="575" t="e">
        <f>AO9</f>
        <v>#DIV/0!</v>
      </c>
      <c r="AL9" s="571" t="e">
        <f>スコア入力!AJ9</f>
        <v>#DIV/0!</v>
      </c>
      <c r="AM9" s="571" t="e">
        <f>スコア入力!AL9</f>
        <v>#DIV/0!</v>
      </c>
      <c r="AN9" s="573" t="e">
        <f>AN10*AH10+AN20*AH20+AN34*AH34+AN47*AH47</f>
        <v>#DIV/0!</v>
      </c>
      <c r="AO9" s="573" t="e">
        <f>AO10*AI10+AO20*AI20+AO34*AI34+AO47*AI47</f>
        <v>#DIV/0!</v>
      </c>
    </row>
    <row r="10" spans="2:41" ht="14.25" thickBot="1">
      <c r="B10" s="276">
        <v>1</v>
      </c>
      <c r="C10" s="277" t="s">
        <v>595</v>
      </c>
      <c r="D10" s="278"/>
      <c r="E10" s="576"/>
      <c r="F10" s="577"/>
      <c r="G10" s="577"/>
      <c r="H10" s="2982"/>
      <c r="I10" s="2983"/>
      <c r="J10" s="2983"/>
      <c r="K10" s="3008"/>
      <c r="L10" s="2434" t="e">
        <f t="shared" ref="L10:L39" si="5">IF(Y10=0,0,ROUNDDOWN(AF10,1))</f>
        <v>#DIV/0!</v>
      </c>
      <c r="M10" s="2434" t="e">
        <f t="shared" ref="M10:M39" si="6">IF(Z10=0,0,ROUNDDOWN(AG10,1))</f>
        <v>#DIV/0!</v>
      </c>
      <c r="N10" s="578" t="e">
        <f>スコア入力!AC10</f>
        <v>#DIV/0!</v>
      </c>
      <c r="O10" s="578" t="e">
        <f>スコア入力!AE10</f>
        <v>#DIV/0!</v>
      </c>
      <c r="P10" s="575" t="e">
        <f t="shared" ref="P10:P39" si="7">IF(AC10=0,0,ROUNDDOWN(AJ10,1))</f>
        <v>#DIV/0!</v>
      </c>
      <c r="Q10" s="575" t="e">
        <f t="shared" ref="Q10:Q39" si="8">IF(AD10=0,0,ROUNDDOWN(AK10,1))</f>
        <v>#DIV/0!</v>
      </c>
      <c r="R10" s="578"/>
      <c r="S10" s="578"/>
      <c r="T10" s="579" t="e">
        <f t="shared" si="0"/>
        <v>#DIV/0!</v>
      </c>
      <c r="U10" s="579" t="e">
        <f t="shared" si="0"/>
        <v>#DIV/0!</v>
      </c>
      <c r="W10" s="574" t="e">
        <f t="shared" si="1"/>
        <v>#DIV/0!</v>
      </c>
      <c r="X10" s="574" t="e">
        <f t="shared" si="2"/>
        <v>#DIV/0!</v>
      </c>
      <c r="Y10" s="236" t="e">
        <f>スコア入力!AA10</f>
        <v>#DIV/0!</v>
      </c>
      <c r="Z10" s="236" t="e">
        <f>スコア入力!AB10</f>
        <v>#DIV/0!</v>
      </c>
      <c r="AA10" s="574" t="e">
        <f t="shared" si="3"/>
        <v>#DIV/0!</v>
      </c>
      <c r="AB10" s="574" t="e">
        <f t="shared" si="4"/>
        <v>#DIV/0!</v>
      </c>
      <c r="AC10" s="236">
        <f>スコア入力!AH10</f>
        <v>1</v>
      </c>
      <c r="AD10" s="236" t="e">
        <f>スコア入力!AI10</f>
        <v>#DIV/0!</v>
      </c>
      <c r="AE10" s="6"/>
      <c r="AF10" s="575" t="e">
        <f>AF11*AH11+AF14*AH14+AF19*AH19</f>
        <v>#DIV/0!</v>
      </c>
      <c r="AG10" s="575" t="e">
        <f>AG11*AI11+AG14*AI14+AG19*AI19</f>
        <v>#DIV/0!</v>
      </c>
      <c r="AH10" s="578" t="e">
        <f>スコア入力!AC10</f>
        <v>#DIV/0!</v>
      </c>
      <c r="AI10" s="578" t="e">
        <f>スコア入力!AE10</f>
        <v>#DIV/0!</v>
      </c>
      <c r="AJ10" s="575" t="e">
        <f>AJ11*AL11+AJ14*AL14+AJ19*AL19</f>
        <v>#DIV/0!</v>
      </c>
      <c r="AK10" s="575" t="e">
        <f>AK11*AM11+AK14*AM14+AK19*AM19</f>
        <v>#DIV/0!</v>
      </c>
      <c r="AL10" s="578" t="e">
        <f>スコア入力!AJ10</f>
        <v>#DIV/0!</v>
      </c>
      <c r="AM10" s="578" t="e">
        <f>スコア入力!AL10</f>
        <v>#DIV/0!</v>
      </c>
      <c r="AN10" s="579" t="e">
        <f>IF(AJ10=0,AF10,IF(AF10=0,AJ10,AF10*AH$6+AJ10*AL$6))</f>
        <v>#DIV/0!</v>
      </c>
      <c r="AO10" s="579" t="e">
        <f>IF(AK10=0,AG10,IF(AG10=0,AK10,AG10*AI$6+AK10*AM$6))</f>
        <v>#DIV/0!</v>
      </c>
    </row>
    <row r="11" spans="2:41" ht="14.25" thickBot="1">
      <c r="B11" s="288"/>
      <c r="C11" s="289">
        <v>1.1000000000000001</v>
      </c>
      <c r="D11" s="290" t="s">
        <v>598</v>
      </c>
      <c r="E11" s="317"/>
      <c r="F11" s="317"/>
      <c r="G11" s="317"/>
      <c r="H11" s="2966"/>
      <c r="I11" s="2967"/>
      <c r="J11" s="2967"/>
      <c r="K11" s="2968"/>
      <c r="L11" s="2435" t="e">
        <f t="shared" si="5"/>
        <v>#DIV/0!</v>
      </c>
      <c r="M11" s="2436" t="e">
        <f>IF(Z11=0,0,ROUNDDOWN(AG11,1))</f>
        <v>#DIV/0!</v>
      </c>
      <c r="N11" s="2433" t="e">
        <f>スコア入力!AC11</f>
        <v>#DIV/0!</v>
      </c>
      <c r="O11" s="581" t="e">
        <f>スコア入力!AE11</f>
        <v>#DIV/0!</v>
      </c>
      <c r="P11" s="2435" t="e">
        <f t="shared" si="7"/>
        <v>#DIV/0!</v>
      </c>
      <c r="Q11" s="2436" t="e">
        <f t="shared" si="8"/>
        <v>#DIV/0!</v>
      </c>
      <c r="R11" s="581" t="e">
        <f>スコア入力!AJ11</f>
        <v>#DIV/0!</v>
      </c>
      <c r="S11" s="581" t="e">
        <f>スコア入力!AL11</f>
        <v>#DIV/0!</v>
      </c>
      <c r="T11" s="582"/>
      <c r="U11" s="582"/>
      <c r="W11" s="568">
        <f>AF11</f>
        <v>3</v>
      </c>
      <c r="X11" s="568">
        <f t="shared" si="2"/>
        <v>3</v>
      </c>
      <c r="Y11" s="236" t="e">
        <f>スコア入力!AA11</f>
        <v>#DIV/0!</v>
      </c>
      <c r="Z11" s="236" t="e">
        <f>スコア入力!AB11</f>
        <v>#DIV/0!</v>
      </c>
      <c r="AA11" s="568">
        <f t="shared" si="3"/>
        <v>3</v>
      </c>
      <c r="AB11" s="568">
        <f t="shared" si="4"/>
        <v>0</v>
      </c>
      <c r="AC11" s="236" t="e">
        <f>スコア入力!AH11</f>
        <v>#DIV/0!</v>
      </c>
      <c r="AD11" s="236" t="e">
        <f>スコア入力!AI11</f>
        <v>#DIV/0!</v>
      </c>
      <c r="AE11" s="6"/>
      <c r="AF11" s="585">
        <f>スコア入力!N11</f>
        <v>3</v>
      </c>
      <c r="AG11" s="585">
        <f>スコア入力!P11</f>
        <v>3</v>
      </c>
      <c r="AH11" s="584" t="e">
        <f>スコア入力!AC11</f>
        <v>#DIV/0!</v>
      </c>
      <c r="AI11" s="584" t="e">
        <f>スコア入力!AE11</f>
        <v>#DIV/0!</v>
      </c>
      <c r="AJ11" s="585">
        <f>スコア入力!U11</f>
        <v>3</v>
      </c>
      <c r="AK11" s="585">
        <f>スコア入力!W11</f>
        <v>0</v>
      </c>
      <c r="AL11" s="584" t="e">
        <f>スコア入力!AJ11</f>
        <v>#DIV/0!</v>
      </c>
      <c r="AM11" s="584" t="e">
        <f>スコア入力!AL11</f>
        <v>#DIV/0!</v>
      </c>
      <c r="AN11" s="579"/>
      <c r="AO11" s="579"/>
    </row>
    <row r="12" spans="2:41" ht="13.5" hidden="1">
      <c r="B12" s="288"/>
      <c r="C12" s="296"/>
      <c r="D12" s="2106">
        <v>1</v>
      </c>
      <c r="E12" s="2408" t="s">
        <v>803</v>
      </c>
      <c r="F12" s="291"/>
      <c r="G12" s="291"/>
      <c r="H12" s="2966"/>
      <c r="I12" s="2967"/>
      <c r="J12" s="2967"/>
      <c r="K12" s="2968"/>
      <c r="L12" s="583" t="e">
        <f t="shared" si="5"/>
        <v>#DIV/0!</v>
      </c>
      <c r="M12" s="583">
        <f t="shared" si="6"/>
        <v>0</v>
      </c>
      <c r="N12" s="584">
        <f>スコア入力!AC12</f>
        <v>0</v>
      </c>
      <c r="O12" s="584">
        <f>スコア入力!AE12</f>
        <v>0</v>
      </c>
      <c r="P12" s="583" t="e">
        <f t="shared" si="7"/>
        <v>#DIV/0!</v>
      </c>
      <c r="Q12" s="583">
        <f t="shared" si="8"/>
        <v>0</v>
      </c>
      <c r="R12" s="584">
        <f>スコア入力!AJ12</f>
        <v>0</v>
      </c>
      <c r="S12" s="584">
        <f>スコア入力!AL12</f>
        <v>0</v>
      </c>
      <c r="T12" s="579"/>
      <c r="U12" s="579"/>
      <c r="W12" s="237">
        <f t="shared" si="1"/>
        <v>0</v>
      </c>
      <c r="X12" s="237">
        <f t="shared" si="2"/>
        <v>0</v>
      </c>
      <c r="Y12" s="236" t="e">
        <f>スコア入力!AA12</f>
        <v>#DIV/0!</v>
      </c>
      <c r="Z12" s="236">
        <f>スコア入力!AB12</f>
        <v>0</v>
      </c>
      <c r="AA12" s="237">
        <f t="shared" si="3"/>
        <v>0</v>
      </c>
      <c r="AB12" s="237">
        <f t="shared" si="4"/>
        <v>0</v>
      </c>
      <c r="AC12" s="236" t="e">
        <f>スコア入力!AH12</f>
        <v>#DIV/0!</v>
      </c>
      <c r="AD12" s="236">
        <f>スコア入力!AI12</f>
        <v>0</v>
      </c>
      <c r="AE12" s="6"/>
      <c r="AF12" s="585">
        <f>スコア入力!N12</f>
        <v>0</v>
      </c>
      <c r="AG12" s="585">
        <f>スコア入力!P12</f>
        <v>0</v>
      </c>
      <c r="AH12" s="584">
        <f>スコア入力!AC12</f>
        <v>0</v>
      </c>
      <c r="AI12" s="584">
        <f>スコア入力!AE12</f>
        <v>0</v>
      </c>
      <c r="AJ12" s="585">
        <f>スコア入力!U12</f>
        <v>0</v>
      </c>
      <c r="AK12" s="585">
        <f>スコア入力!W12</f>
        <v>0</v>
      </c>
      <c r="AL12" s="584">
        <f>スコア入力!AJ12</f>
        <v>0</v>
      </c>
      <c r="AM12" s="584">
        <f>スコア入力!AL12</f>
        <v>0</v>
      </c>
      <c r="AN12" s="579"/>
      <c r="AO12" s="579"/>
    </row>
    <row r="13" spans="2:41" ht="14.25" hidden="1" thickBot="1">
      <c r="B13" s="288"/>
      <c r="C13" s="303"/>
      <c r="D13" s="2106">
        <v>2</v>
      </c>
      <c r="E13" s="2409" t="s">
        <v>802</v>
      </c>
      <c r="F13" s="317"/>
      <c r="G13" s="317"/>
      <c r="H13" s="2966"/>
      <c r="I13" s="2967"/>
      <c r="J13" s="2967"/>
      <c r="K13" s="2968"/>
      <c r="L13" s="586" t="e">
        <f t="shared" si="5"/>
        <v>#DIV/0!</v>
      </c>
      <c r="M13" s="586">
        <f t="shared" si="6"/>
        <v>0</v>
      </c>
      <c r="N13" s="584">
        <f>スコア入力!AC13</f>
        <v>0</v>
      </c>
      <c r="O13" s="584">
        <f>スコア入力!AE13</f>
        <v>0</v>
      </c>
      <c r="P13" s="586" t="e">
        <f t="shared" si="7"/>
        <v>#DIV/0!</v>
      </c>
      <c r="Q13" s="586">
        <f t="shared" si="8"/>
        <v>0</v>
      </c>
      <c r="R13" s="584">
        <f>スコア入力!AJ13</f>
        <v>0</v>
      </c>
      <c r="S13" s="584">
        <f>スコア入力!AL13</f>
        <v>0</v>
      </c>
      <c r="T13" s="579"/>
      <c r="U13" s="579"/>
      <c r="W13" s="237">
        <f t="shared" si="1"/>
        <v>0</v>
      </c>
      <c r="X13" s="237">
        <f t="shared" si="2"/>
        <v>0</v>
      </c>
      <c r="Y13" s="236" t="e">
        <f>スコア入力!AA13</f>
        <v>#DIV/0!</v>
      </c>
      <c r="Z13" s="236">
        <f>スコア入力!AB13</f>
        <v>0</v>
      </c>
      <c r="AA13" s="237">
        <f t="shared" si="3"/>
        <v>0</v>
      </c>
      <c r="AB13" s="237">
        <f t="shared" si="4"/>
        <v>0</v>
      </c>
      <c r="AC13" s="236" t="e">
        <f>スコア入力!AH13</f>
        <v>#DIV/0!</v>
      </c>
      <c r="AD13" s="236">
        <f>スコア入力!AI13</f>
        <v>0</v>
      </c>
      <c r="AE13" s="6"/>
      <c r="AF13" s="587">
        <f>スコア入力!N13</f>
        <v>0</v>
      </c>
      <c r="AG13" s="587">
        <f>スコア入力!P13</f>
        <v>0</v>
      </c>
      <c r="AH13" s="584">
        <f>スコア入力!AC13</f>
        <v>0</v>
      </c>
      <c r="AI13" s="584">
        <f>スコア入力!AE13</f>
        <v>0</v>
      </c>
      <c r="AJ13" s="587">
        <f>スコア入力!U13</f>
        <v>0</v>
      </c>
      <c r="AK13" s="587">
        <f>スコア入力!W13</f>
        <v>0</v>
      </c>
      <c r="AL13" s="584">
        <f>スコア入力!AJ13</f>
        <v>0</v>
      </c>
      <c r="AM13" s="584">
        <f>スコア入力!AL13</f>
        <v>0</v>
      </c>
      <c r="AN13" s="579"/>
      <c r="AO13" s="579"/>
    </row>
    <row r="14" spans="2:41" ht="14.25" thickBot="1">
      <c r="B14" s="288"/>
      <c r="C14" s="289">
        <v>1.2</v>
      </c>
      <c r="D14" s="290" t="s">
        <v>603</v>
      </c>
      <c r="E14" s="76"/>
      <c r="F14" s="76"/>
      <c r="G14" s="76"/>
      <c r="H14" s="2966"/>
      <c r="I14" s="2967"/>
      <c r="J14" s="2967"/>
      <c r="K14" s="3010"/>
      <c r="L14" s="588" t="e">
        <f t="shared" si="5"/>
        <v>#DIV/0!</v>
      </c>
      <c r="M14" s="580" t="e">
        <f t="shared" si="6"/>
        <v>#DIV/0!</v>
      </c>
      <c r="N14" s="584" t="e">
        <f>スコア入力!AC14</f>
        <v>#DIV/0!</v>
      </c>
      <c r="O14" s="584" t="e">
        <f>スコア入力!AE14</f>
        <v>#DIV/0!</v>
      </c>
      <c r="P14" s="580" t="e">
        <f t="shared" si="7"/>
        <v>#DIV/0!</v>
      </c>
      <c r="Q14" s="580" t="e">
        <f t="shared" si="8"/>
        <v>#DIV/0!</v>
      </c>
      <c r="R14" s="584" t="e">
        <f>スコア入力!AJ14</f>
        <v>#DIV/0!</v>
      </c>
      <c r="S14" s="584" t="e">
        <f>スコア入力!AL14</f>
        <v>#DIV/0!</v>
      </c>
      <c r="T14" s="579"/>
      <c r="U14" s="579"/>
      <c r="W14" s="568" t="e">
        <f t="shared" si="1"/>
        <v>#DIV/0!</v>
      </c>
      <c r="X14" s="568" t="e">
        <f t="shared" si="2"/>
        <v>#DIV/0!</v>
      </c>
      <c r="Y14" s="236" t="e">
        <f>スコア入力!AA14</f>
        <v>#DIV/0!</v>
      </c>
      <c r="Z14" s="236" t="e">
        <f>スコア入力!AB14</f>
        <v>#DIV/0!</v>
      </c>
      <c r="AA14" s="568" t="e">
        <f t="shared" si="3"/>
        <v>#DIV/0!</v>
      </c>
      <c r="AB14" s="568" t="e">
        <f t="shared" si="4"/>
        <v>#DIV/0!</v>
      </c>
      <c r="AC14" s="236" t="e">
        <f>スコア入力!AH14</f>
        <v>#DIV/0!</v>
      </c>
      <c r="AD14" s="236" t="e">
        <f>スコア入力!AI14</f>
        <v>#DIV/0!</v>
      </c>
      <c r="AE14" s="6"/>
      <c r="AF14" s="580" t="e">
        <f>SUMPRODUCT(AF15:AF18,AH15:AH18)</f>
        <v>#DIV/0!</v>
      </c>
      <c r="AG14" s="580" t="e">
        <f>SUMPRODUCT(AG15:AG18,AI15:AI18)</f>
        <v>#DIV/0!</v>
      </c>
      <c r="AH14" s="584" t="e">
        <f>スコア入力!AC14</f>
        <v>#DIV/0!</v>
      </c>
      <c r="AI14" s="584" t="e">
        <f>スコア入力!AE14</f>
        <v>#DIV/0!</v>
      </c>
      <c r="AJ14" s="580" t="e">
        <f>SUMPRODUCT(AJ15:AJ18,AL15:AL18)</f>
        <v>#DIV/0!</v>
      </c>
      <c r="AK14" s="580" t="e">
        <f>SUMPRODUCT(AK15:AK18,AM15:AM18)</f>
        <v>#DIV/0!</v>
      </c>
      <c r="AL14" s="584" t="e">
        <f>スコア入力!AJ14</f>
        <v>#DIV/0!</v>
      </c>
      <c r="AM14" s="584" t="e">
        <f>スコア入力!AL14</f>
        <v>#DIV/0!</v>
      </c>
      <c r="AN14" s="579"/>
      <c r="AO14" s="579"/>
    </row>
    <row r="15" spans="2:41" ht="13.5">
      <c r="B15" s="288"/>
      <c r="C15" s="308"/>
      <c r="D15" s="297">
        <v>1</v>
      </c>
      <c r="E15" s="304" t="s">
        <v>605</v>
      </c>
      <c r="F15" s="317"/>
      <c r="G15" s="317"/>
      <c r="H15" s="2966"/>
      <c r="I15" s="2967"/>
      <c r="J15" s="2967"/>
      <c r="K15" s="2968"/>
      <c r="L15" s="583" t="e">
        <f t="shared" si="5"/>
        <v>#DIV/0!</v>
      </c>
      <c r="M15" s="583" t="e">
        <f t="shared" si="6"/>
        <v>#DIV/0!</v>
      </c>
      <c r="N15" s="584" t="e">
        <f>スコア入力!AC15</f>
        <v>#DIV/0!</v>
      </c>
      <c r="O15" s="584" t="e">
        <f>スコア入力!AE15</f>
        <v>#DIV/0!</v>
      </c>
      <c r="P15" s="583" t="e">
        <f t="shared" si="7"/>
        <v>#DIV/0!</v>
      </c>
      <c r="Q15" s="583" t="e">
        <f t="shared" si="8"/>
        <v>#DIV/0!</v>
      </c>
      <c r="R15" s="584" t="e">
        <f>スコア入力!AJ15</f>
        <v>#DIV/0!</v>
      </c>
      <c r="S15" s="584" t="e">
        <f>スコア入力!AL15</f>
        <v>#DIV/0!</v>
      </c>
      <c r="T15" s="579"/>
      <c r="U15" s="579"/>
      <c r="W15" s="237">
        <f t="shared" si="1"/>
        <v>0</v>
      </c>
      <c r="X15" s="237">
        <f t="shared" si="2"/>
        <v>3</v>
      </c>
      <c r="Y15" s="236" t="e">
        <f>スコア入力!AA15</f>
        <v>#DIV/0!</v>
      </c>
      <c r="Z15" s="236" t="e">
        <f>スコア入力!AB15</f>
        <v>#DIV/0!</v>
      </c>
      <c r="AA15" s="237">
        <f t="shared" si="3"/>
        <v>0</v>
      </c>
      <c r="AB15" s="237">
        <f t="shared" si="4"/>
        <v>0</v>
      </c>
      <c r="AC15" s="236" t="e">
        <f>スコア入力!AH15</f>
        <v>#DIV/0!</v>
      </c>
      <c r="AD15" s="236" t="e">
        <f>スコア入力!AI15</f>
        <v>#DIV/0!</v>
      </c>
      <c r="AE15" s="6"/>
      <c r="AF15" s="585">
        <f>スコア入力!N15</f>
        <v>0</v>
      </c>
      <c r="AG15" s="585">
        <f>スコア入力!P15</f>
        <v>3</v>
      </c>
      <c r="AH15" s="584" t="e">
        <f>スコア入力!AC15</f>
        <v>#DIV/0!</v>
      </c>
      <c r="AI15" s="584" t="e">
        <f>スコア入力!AE15</f>
        <v>#DIV/0!</v>
      </c>
      <c r="AJ15" s="585">
        <f>スコア入力!U15</f>
        <v>0</v>
      </c>
      <c r="AK15" s="585">
        <f>スコア入力!W15</f>
        <v>0</v>
      </c>
      <c r="AL15" s="584" t="e">
        <f>スコア入力!AJ15</f>
        <v>#DIV/0!</v>
      </c>
      <c r="AM15" s="584" t="e">
        <f>スコア入力!AL15</f>
        <v>#DIV/0!</v>
      </c>
      <c r="AN15" s="579"/>
      <c r="AO15" s="579"/>
    </row>
    <row r="16" spans="2:41" ht="13.5">
      <c r="B16" s="288"/>
      <c r="C16" s="296"/>
      <c r="D16" s="297">
        <v>2</v>
      </c>
      <c r="E16" s="304" t="s">
        <v>606</v>
      </c>
      <c r="F16" s="317"/>
      <c r="G16" s="317"/>
      <c r="H16" s="2966"/>
      <c r="I16" s="2967"/>
      <c r="J16" s="2967"/>
      <c r="K16" s="2968"/>
      <c r="L16" s="589" t="e">
        <f t="shared" si="5"/>
        <v>#DIV/0!</v>
      </c>
      <c r="M16" s="589" t="e">
        <f t="shared" si="6"/>
        <v>#DIV/0!</v>
      </c>
      <c r="N16" s="584" t="e">
        <f>スコア入力!AC16</f>
        <v>#DIV/0!</v>
      </c>
      <c r="O16" s="584" t="e">
        <f>スコア入力!AE16</f>
        <v>#DIV/0!</v>
      </c>
      <c r="P16" s="589" t="e">
        <f t="shared" si="7"/>
        <v>#DIV/0!</v>
      </c>
      <c r="Q16" s="589" t="e">
        <f t="shared" si="8"/>
        <v>#DIV/0!</v>
      </c>
      <c r="R16" s="584" t="e">
        <f>スコア入力!AJ16</f>
        <v>#DIV/0!</v>
      </c>
      <c r="S16" s="584" t="e">
        <f>スコア入力!AL16</f>
        <v>#DIV/0!</v>
      </c>
      <c r="T16" s="579"/>
      <c r="U16" s="579"/>
      <c r="W16" s="237">
        <f t="shared" si="1"/>
        <v>3</v>
      </c>
      <c r="X16" s="237">
        <f t="shared" si="2"/>
        <v>3</v>
      </c>
      <c r="Y16" s="236" t="e">
        <f>スコア入力!AA16</f>
        <v>#DIV/0!</v>
      </c>
      <c r="Z16" s="236" t="e">
        <f>スコア入力!AB16</f>
        <v>#DIV/0!</v>
      </c>
      <c r="AA16" s="237">
        <f t="shared" si="3"/>
        <v>3</v>
      </c>
      <c r="AB16" s="237">
        <f t="shared" si="4"/>
        <v>0</v>
      </c>
      <c r="AC16" s="236" t="e">
        <f>スコア入力!AH16</f>
        <v>#DIV/0!</v>
      </c>
      <c r="AD16" s="236" t="e">
        <f>スコア入力!AI16</f>
        <v>#DIV/0!</v>
      </c>
      <c r="AE16" s="6"/>
      <c r="AF16" s="420">
        <f>スコア入力!N16</f>
        <v>3</v>
      </c>
      <c r="AG16" s="420">
        <f>スコア入力!P16</f>
        <v>3</v>
      </c>
      <c r="AH16" s="584" t="e">
        <f>スコア入力!AC16</f>
        <v>#DIV/0!</v>
      </c>
      <c r="AI16" s="584" t="e">
        <f>スコア入力!AE16</f>
        <v>#DIV/0!</v>
      </c>
      <c r="AJ16" s="420">
        <f>スコア入力!U16</f>
        <v>3</v>
      </c>
      <c r="AK16" s="420">
        <f>スコア入力!W16</f>
        <v>0</v>
      </c>
      <c r="AL16" s="584" t="e">
        <f>スコア入力!AJ16</f>
        <v>#DIV/0!</v>
      </c>
      <c r="AM16" s="584" t="e">
        <f>スコア入力!AL16</f>
        <v>#DIV/0!</v>
      </c>
      <c r="AN16" s="579"/>
      <c r="AO16" s="579"/>
    </row>
    <row r="17" spans="2:41" ht="13.5">
      <c r="B17" s="288"/>
      <c r="C17" s="296"/>
      <c r="D17" s="297">
        <v>3</v>
      </c>
      <c r="E17" s="304" t="s">
        <v>607</v>
      </c>
      <c r="F17" s="317"/>
      <c r="G17" s="317"/>
      <c r="H17" s="2966"/>
      <c r="I17" s="2967"/>
      <c r="J17" s="2967"/>
      <c r="K17" s="2968"/>
      <c r="L17" s="589" t="e">
        <f t="shared" si="5"/>
        <v>#DIV/0!</v>
      </c>
      <c r="M17" s="589" t="e">
        <f t="shared" si="6"/>
        <v>#DIV/0!</v>
      </c>
      <c r="N17" s="584" t="e">
        <f>スコア入力!AC17</f>
        <v>#DIV/0!</v>
      </c>
      <c r="O17" s="584" t="e">
        <f>スコア入力!AE17</f>
        <v>#DIV/0!</v>
      </c>
      <c r="P17" s="589" t="e">
        <f t="shared" si="7"/>
        <v>#DIV/0!</v>
      </c>
      <c r="Q17" s="589" t="e">
        <f t="shared" si="8"/>
        <v>#DIV/0!</v>
      </c>
      <c r="R17" s="584" t="e">
        <f>スコア入力!AJ17</f>
        <v>#DIV/0!</v>
      </c>
      <c r="S17" s="584" t="e">
        <f>スコア入力!AL17</f>
        <v>#DIV/0!</v>
      </c>
      <c r="T17" s="579"/>
      <c r="U17" s="579"/>
      <c r="W17" s="237">
        <f t="shared" si="1"/>
        <v>0</v>
      </c>
      <c r="X17" s="237">
        <f t="shared" si="2"/>
        <v>0</v>
      </c>
      <c r="Y17" s="236" t="e">
        <f>スコア入力!AA17</f>
        <v>#DIV/0!</v>
      </c>
      <c r="Z17" s="236" t="e">
        <f>スコア入力!AB17</f>
        <v>#DIV/0!</v>
      </c>
      <c r="AA17" s="237">
        <f t="shared" si="3"/>
        <v>3</v>
      </c>
      <c r="AB17" s="237">
        <f t="shared" si="4"/>
        <v>0</v>
      </c>
      <c r="AC17" s="236" t="e">
        <f>スコア入力!AH17</f>
        <v>#DIV/0!</v>
      </c>
      <c r="AD17" s="236" t="e">
        <f>スコア入力!AI17</f>
        <v>#DIV/0!</v>
      </c>
      <c r="AE17" s="6"/>
      <c r="AF17" s="420">
        <f>スコア入力!N17</f>
        <v>0</v>
      </c>
      <c r="AG17" s="420">
        <f>スコア入力!P17</f>
        <v>0</v>
      </c>
      <c r="AH17" s="584" t="e">
        <f>スコア入力!AC17</f>
        <v>#DIV/0!</v>
      </c>
      <c r="AI17" s="584" t="e">
        <f>スコア入力!AE17</f>
        <v>#DIV/0!</v>
      </c>
      <c r="AJ17" s="420">
        <f>スコア入力!U17</f>
        <v>3</v>
      </c>
      <c r="AK17" s="420">
        <f>スコア入力!W17</f>
        <v>0</v>
      </c>
      <c r="AL17" s="584" t="e">
        <f>スコア入力!AJ17</f>
        <v>#DIV/0!</v>
      </c>
      <c r="AM17" s="584" t="e">
        <f>スコア入力!AL17</f>
        <v>#DIV/0!</v>
      </c>
      <c r="AN17" s="579"/>
      <c r="AO17" s="579"/>
    </row>
    <row r="18" spans="2:41" ht="13.5">
      <c r="B18" s="288"/>
      <c r="C18" s="303"/>
      <c r="D18" s="297">
        <v>4</v>
      </c>
      <c r="E18" s="304" t="s">
        <v>608</v>
      </c>
      <c r="F18" s="317"/>
      <c r="G18" s="317"/>
      <c r="H18" s="2966"/>
      <c r="I18" s="2967"/>
      <c r="J18" s="2967"/>
      <c r="K18" s="2968"/>
      <c r="L18" s="589" t="e">
        <f t="shared" si="5"/>
        <v>#DIV/0!</v>
      </c>
      <c r="M18" s="589" t="e">
        <f t="shared" si="6"/>
        <v>#DIV/0!</v>
      </c>
      <c r="N18" s="584" t="e">
        <f>スコア入力!AC18</f>
        <v>#DIV/0!</v>
      </c>
      <c r="O18" s="584" t="e">
        <f>スコア入力!AE18</f>
        <v>#DIV/0!</v>
      </c>
      <c r="P18" s="589" t="e">
        <f t="shared" si="7"/>
        <v>#DIV/0!</v>
      </c>
      <c r="Q18" s="589" t="e">
        <f t="shared" si="8"/>
        <v>#DIV/0!</v>
      </c>
      <c r="R18" s="584" t="e">
        <f>スコア入力!AJ18</f>
        <v>#DIV/0!</v>
      </c>
      <c r="S18" s="584" t="e">
        <f>スコア入力!AL18</f>
        <v>#DIV/0!</v>
      </c>
      <c r="T18" s="579"/>
      <c r="U18" s="579"/>
      <c r="W18" s="237">
        <f t="shared" si="1"/>
        <v>0</v>
      </c>
      <c r="X18" s="237">
        <f t="shared" si="2"/>
        <v>0</v>
      </c>
      <c r="Y18" s="236" t="e">
        <f>スコア入力!AA18</f>
        <v>#DIV/0!</v>
      </c>
      <c r="Z18" s="236" t="e">
        <f>スコア入力!AB18</f>
        <v>#DIV/0!</v>
      </c>
      <c r="AA18" s="237">
        <f t="shared" si="3"/>
        <v>3</v>
      </c>
      <c r="AB18" s="237">
        <f t="shared" si="4"/>
        <v>0</v>
      </c>
      <c r="AC18" s="236" t="e">
        <f>スコア入力!AH18</f>
        <v>#DIV/0!</v>
      </c>
      <c r="AD18" s="236" t="e">
        <f>スコア入力!AI18</f>
        <v>#DIV/0!</v>
      </c>
      <c r="AE18" s="6"/>
      <c r="AF18" s="420">
        <f>スコア入力!N18</f>
        <v>0</v>
      </c>
      <c r="AG18" s="420">
        <f>スコア入力!P18</f>
        <v>0</v>
      </c>
      <c r="AH18" s="584" t="e">
        <f>スコア入力!AC18</f>
        <v>#DIV/0!</v>
      </c>
      <c r="AI18" s="584" t="e">
        <f>スコア入力!AE18</f>
        <v>#DIV/0!</v>
      </c>
      <c r="AJ18" s="420">
        <f>スコア入力!U18</f>
        <v>3</v>
      </c>
      <c r="AK18" s="420">
        <f>スコア入力!W18</f>
        <v>0</v>
      </c>
      <c r="AL18" s="584" t="e">
        <f>スコア入力!AJ18</f>
        <v>#DIV/0!</v>
      </c>
      <c r="AM18" s="584" t="e">
        <f>スコア入力!AL18</f>
        <v>#DIV/0!</v>
      </c>
      <c r="AN18" s="579"/>
      <c r="AO18" s="579"/>
    </row>
    <row r="19" spans="2:41" ht="14.25" thickBot="1">
      <c r="B19" s="315"/>
      <c r="C19" s="316">
        <v>1.3</v>
      </c>
      <c r="D19" s="317" t="s">
        <v>609</v>
      </c>
      <c r="E19" s="317"/>
      <c r="F19" s="317"/>
      <c r="G19" s="317"/>
      <c r="H19" s="2993"/>
      <c r="I19" s="2994"/>
      <c r="J19" s="2994"/>
      <c r="K19" s="2995"/>
      <c r="L19" s="458" t="e">
        <f t="shared" si="5"/>
        <v>#DIV/0!</v>
      </c>
      <c r="M19" s="586" t="e">
        <f t="shared" si="6"/>
        <v>#DIV/0!</v>
      </c>
      <c r="N19" s="584" t="e">
        <f>スコア入力!AC19</f>
        <v>#DIV/0!</v>
      </c>
      <c r="O19" s="584" t="e">
        <f>スコア入力!AE19</f>
        <v>#DIV/0!</v>
      </c>
      <c r="P19" s="586" t="e">
        <f t="shared" si="7"/>
        <v>#DIV/0!</v>
      </c>
      <c r="Q19" s="586" t="e">
        <f t="shared" si="8"/>
        <v>#DIV/0!</v>
      </c>
      <c r="R19" s="584" t="e">
        <f>スコア入力!AJ19</f>
        <v>#DIV/0!</v>
      </c>
      <c r="S19" s="584" t="e">
        <f>スコア入力!AL19</f>
        <v>#DIV/0!</v>
      </c>
      <c r="T19" s="579"/>
      <c r="U19" s="579"/>
      <c r="W19" s="237">
        <f t="shared" si="1"/>
        <v>3</v>
      </c>
      <c r="X19" s="237">
        <f t="shared" si="2"/>
        <v>3</v>
      </c>
      <c r="Y19" s="236" t="e">
        <f>スコア入力!AA19</f>
        <v>#DIV/0!</v>
      </c>
      <c r="Z19" s="236" t="e">
        <f>スコア入力!AB19</f>
        <v>#DIV/0!</v>
      </c>
      <c r="AA19" s="237">
        <f t="shared" si="3"/>
        <v>3</v>
      </c>
      <c r="AB19" s="237">
        <f t="shared" si="4"/>
        <v>0</v>
      </c>
      <c r="AC19" s="236" t="e">
        <f>スコア入力!AH19</f>
        <v>#DIV/0!</v>
      </c>
      <c r="AD19" s="236" t="e">
        <f>スコア入力!AI19</f>
        <v>#DIV/0!</v>
      </c>
      <c r="AE19" s="6"/>
      <c r="AF19" s="587">
        <f>スコア入力!N19</f>
        <v>3</v>
      </c>
      <c r="AG19" s="587">
        <f>スコア入力!P19</f>
        <v>3</v>
      </c>
      <c r="AH19" s="584" t="e">
        <f>スコア入力!AC19</f>
        <v>#DIV/0!</v>
      </c>
      <c r="AI19" s="584" t="e">
        <f>スコア入力!AE19</f>
        <v>#DIV/0!</v>
      </c>
      <c r="AJ19" s="587">
        <f>スコア入力!U19</f>
        <v>3</v>
      </c>
      <c r="AK19" s="587">
        <f>スコア入力!W19</f>
        <v>0</v>
      </c>
      <c r="AL19" s="584" t="e">
        <f>スコア入力!AJ19</f>
        <v>#DIV/0!</v>
      </c>
      <c r="AM19" s="584" t="e">
        <f>スコア入力!AL19</f>
        <v>#DIV/0!</v>
      </c>
      <c r="AN19" s="579"/>
      <c r="AO19" s="579"/>
    </row>
    <row r="20" spans="2:41" ht="13.5">
      <c r="B20" s="388">
        <v>2</v>
      </c>
      <c r="C20" s="319" t="s">
        <v>610</v>
      </c>
      <c r="D20" s="389"/>
      <c r="E20" s="370"/>
      <c r="F20" s="577"/>
      <c r="G20" s="577"/>
      <c r="H20" s="3005"/>
      <c r="I20" s="3006"/>
      <c r="J20" s="3006"/>
      <c r="K20" s="3007"/>
      <c r="L20" s="590" t="e">
        <f t="shared" si="5"/>
        <v>#DIV/0!</v>
      </c>
      <c r="M20" s="591" t="e">
        <f t="shared" si="6"/>
        <v>#DIV/0!</v>
      </c>
      <c r="N20" s="592" t="e">
        <f>スコア入力!AC20</f>
        <v>#DIV/0!</v>
      </c>
      <c r="O20" s="592" t="e">
        <f>スコア入力!AE20</f>
        <v>#DIV/0!</v>
      </c>
      <c r="P20" s="593" t="e">
        <f t="shared" si="7"/>
        <v>#DIV/0!</v>
      </c>
      <c r="Q20" s="593" t="e">
        <f t="shared" si="8"/>
        <v>#DIV/0!</v>
      </c>
      <c r="R20" s="592"/>
      <c r="S20" s="592"/>
      <c r="T20" s="594" t="e">
        <f>ROUNDDOWN(AN20,1)</f>
        <v>#DIV/0!</v>
      </c>
      <c r="U20" s="594" t="e">
        <f>ROUNDDOWN(AO20,1)</f>
        <v>#DIV/0!</v>
      </c>
      <c r="W20" s="568" t="e">
        <f t="shared" si="1"/>
        <v>#DIV/0!</v>
      </c>
      <c r="X20" s="568" t="e">
        <f t="shared" si="2"/>
        <v>#DIV/0!</v>
      </c>
      <c r="Y20" s="236" t="e">
        <f>スコア入力!AA20</f>
        <v>#DIV/0!</v>
      </c>
      <c r="Z20" s="236" t="e">
        <f>スコア入力!AB20</f>
        <v>#DIV/0!</v>
      </c>
      <c r="AA20" s="568" t="e">
        <f t="shared" si="3"/>
        <v>#DIV/0!</v>
      </c>
      <c r="AB20" s="568" t="e">
        <f t="shared" si="4"/>
        <v>#DIV/0!</v>
      </c>
      <c r="AC20" s="236">
        <f>スコア入力!AH20</f>
        <v>1</v>
      </c>
      <c r="AD20" s="236" t="e">
        <f>スコア入力!AI20</f>
        <v>#DIV/0!</v>
      </c>
      <c r="AE20" s="6"/>
      <c r="AF20" s="590" t="e">
        <f>AF21*AH21+AF30*AH30+AF31*AH31</f>
        <v>#DIV/0!</v>
      </c>
      <c r="AG20" s="590" t="e">
        <f>AG21*AI21+AG30*AI30+AG31*AI31</f>
        <v>#DIV/0!</v>
      </c>
      <c r="AH20" s="592" t="e">
        <f>スコア入力!AC20</f>
        <v>#DIV/0!</v>
      </c>
      <c r="AI20" s="595" t="e">
        <f>スコア入力!AE20</f>
        <v>#DIV/0!</v>
      </c>
      <c r="AJ20" s="590" t="e">
        <f>AJ21*AL21+AJ30*AL30+AJ31*AL31</f>
        <v>#DIV/0!</v>
      </c>
      <c r="AK20" s="591" t="e">
        <f>AK21*AM21+AK30*AM30+AK31*AM31</f>
        <v>#DIV/0!</v>
      </c>
      <c r="AL20" s="592" t="e">
        <f>スコア入力!AJ20</f>
        <v>#DIV/0!</v>
      </c>
      <c r="AM20" s="595" t="e">
        <f>スコア入力!AL20</f>
        <v>#DIV/0!</v>
      </c>
      <c r="AN20" s="594" t="e">
        <f>IF(AJ20=0,AF20,IF(AF20=0,AJ20,AF20*AH$6+AJ20*AL$6))</f>
        <v>#DIV/0!</v>
      </c>
      <c r="AO20" s="594" t="e">
        <f>IF(AK20=0,AG20,IF(AG20=0,AK20,AG20*AI$6+AK20*AM$6))</f>
        <v>#DIV/0!</v>
      </c>
    </row>
    <row r="21" spans="2:41" ht="14.25" thickBot="1">
      <c r="B21" s="288"/>
      <c r="C21" s="289">
        <v>2.1</v>
      </c>
      <c r="D21" s="326" t="s">
        <v>613</v>
      </c>
      <c r="E21" s="370"/>
      <c r="F21" s="370"/>
      <c r="G21" s="370"/>
      <c r="H21" s="2954"/>
      <c r="I21" s="2955"/>
      <c r="J21" s="2955"/>
      <c r="K21" s="3011"/>
      <c r="L21" s="580" t="e">
        <f t="shared" si="5"/>
        <v>#DIV/0!</v>
      </c>
      <c r="M21" s="580" t="e">
        <f t="shared" si="6"/>
        <v>#DIV/0!</v>
      </c>
      <c r="N21" s="596" t="e">
        <f>スコア入力!AC21</f>
        <v>#DIV/0!</v>
      </c>
      <c r="O21" s="596" t="e">
        <f>スコア入力!AE21</f>
        <v>#DIV/0!</v>
      </c>
      <c r="P21" s="580" t="e">
        <f t="shared" si="7"/>
        <v>#DIV/0!</v>
      </c>
      <c r="Q21" s="580" t="e">
        <f t="shared" si="8"/>
        <v>#DIV/0!</v>
      </c>
      <c r="R21" s="596" t="e">
        <f>スコア入力!AJ21</f>
        <v>#DIV/0!</v>
      </c>
      <c r="S21" s="596" t="e">
        <f>スコア入力!AL21</f>
        <v>#DIV/0!</v>
      </c>
      <c r="T21" s="582"/>
      <c r="U21" s="582"/>
      <c r="W21" s="568" t="e">
        <f t="shared" si="1"/>
        <v>#DIV/0!</v>
      </c>
      <c r="X21" s="568" t="e">
        <f t="shared" si="2"/>
        <v>#DIV/0!</v>
      </c>
      <c r="Y21" s="236" t="e">
        <f>スコア入力!AA21</f>
        <v>#DIV/0!</v>
      </c>
      <c r="Z21" s="236" t="e">
        <f>スコア入力!AB21</f>
        <v>#DIV/0!</v>
      </c>
      <c r="AA21" s="568" t="e">
        <f t="shared" si="3"/>
        <v>#DIV/0!</v>
      </c>
      <c r="AB21" s="568" t="e">
        <f t="shared" si="4"/>
        <v>#DIV/0!</v>
      </c>
      <c r="AC21" s="236" t="e">
        <f>スコア入力!AH21</f>
        <v>#DIV/0!</v>
      </c>
      <c r="AD21" s="236" t="e">
        <f>スコア入力!AI21</f>
        <v>#DIV/0!</v>
      </c>
      <c r="AE21" s="6"/>
      <c r="AF21" s="580" t="e">
        <f>SUMPRODUCT(AF22:AF29,AH22:AH29)</f>
        <v>#DIV/0!</v>
      </c>
      <c r="AG21" s="580" t="e">
        <f>SUMPRODUCT(AG22:AG29,AI22:AI29)</f>
        <v>#DIV/0!</v>
      </c>
      <c r="AH21" s="596" t="e">
        <f>スコア入力!AC21</f>
        <v>#DIV/0!</v>
      </c>
      <c r="AI21" s="596" t="e">
        <f>スコア入力!AE21</f>
        <v>#DIV/0!</v>
      </c>
      <c r="AJ21" s="580" t="e">
        <f>SUMPRODUCT(AJ22:AJ29,AL22:AL29)</f>
        <v>#DIV/0!</v>
      </c>
      <c r="AK21" s="580" t="e">
        <f>SUMPRODUCT(AK22:AK29,AM22:AM29)</f>
        <v>#DIV/0!</v>
      </c>
      <c r="AL21" s="596" t="e">
        <f>スコア入力!AJ21</f>
        <v>#DIV/0!</v>
      </c>
      <c r="AM21" s="596" t="e">
        <f>スコア入力!AL21</f>
        <v>#DIV/0!</v>
      </c>
      <c r="AN21" s="582"/>
      <c r="AO21" s="582"/>
    </row>
    <row r="22" spans="2:41" ht="13.5">
      <c r="B22" s="288"/>
      <c r="C22" s="2401"/>
      <c r="D22" s="297">
        <v>1</v>
      </c>
      <c r="E22" s="317" t="s">
        <v>825</v>
      </c>
      <c r="F22" s="320"/>
      <c r="G22" s="320"/>
      <c r="H22" s="2966"/>
      <c r="I22" s="2967"/>
      <c r="J22" s="2967"/>
      <c r="K22" s="2968"/>
      <c r="L22" s="583" t="e">
        <f t="shared" si="5"/>
        <v>#DIV/0!</v>
      </c>
      <c r="M22" s="583" t="e">
        <f t="shared" si="6"/>
        <v>#DIV/0!</v>
      </c>
      <c r="N22" s="584" t="e">
        <f>スコア入力!AC22</f>
        <v>#DIV/0!</v>
      </c>
      <c r="O22" s="584" t="e">
        <f>スコア入力!AE22</f>
        <v>#DIV/0!</v>
      </c>
      <c r="P22" s="583" t="e">
        <f t="shared" si="7"/>
        <v>#DIV/0!</v>
      </c>
      <c r="Q22" s="583" t="e">
        <f t="shared" si="8"/>
        <v>#DIV/0!</v>
      </c>
      <c r="R22" s="584" t="e">
        <f>スコア入力!AJ22</f>
        <v>#DIV/0!</v>
      </c>
      <c r="S22" s="584" t="e">
        <f>スコア入力!AL22</f>
        <v>#DIV/0!</v>
      </c>
      <c r="T22" s="579"/>
      <c r="U22" s="579"/>
      <c r="W22" s="237">
        <f t="shared" si="1"/>
        <v>3</v>
      </c>
      <c r="X22" s="237">
        <f t="shared" si="2"/>
        <v>3</v>
      </c>
      <c r="Y22" s="236" t="e">
        <f>スコア入力!AA22</f>
        <v>#DIV/0!</v>
      </c>
      <c r="Z22" s="236" t="e">
        <f>スコア入力!AB22</f>
        <v>#DIV/0!</v>
      </c>
      <c r="AA22" s="237">
        <f t="shared" si="3"/>
        <v>0</v>
      </c>
      <c r="AB22" s="237">
        <f t="shared" si="4"/>
        <v>3</v>
      </c>
      <c r="AC22" s="236" t="e">
        <f>スコア入力!AH22</f>
        <v>#DIV/0!</v>
      </c>
      <c r="AD22" s="236" t="e">
        <f>スコア入力!AI22</f>
        <v>#DIV/0!</v>
      </c>
      <c r="AE22" s="6"/>
      <c r="AF22" s="585">
        <f>スコア入力!N22</f>
        <v>3</v>
      </c>
      <c r="AG22" s="585">
        <f>スコア入力!P22</f>
        <v>3</v>
      </c>
      <c r="AH22" s="584" t="e">
        <f>スコア入力!AC22</f>
        <v>#DIV/0!</v>
      </c>
      <c r="AI22" s="584" t="e">
        <f>スコア入力!AE22</f>
        <v>#DIV/0!</v>
      </c>
      <c r="AJ22" s="585">
        <f>スコア入力!U22</f>
        <v>0</v>
      </c>
      <c r="AK22" s="585">
        <f>スコア入力!W22</f>
        <v>3</v>
      </c>
      <c r="AL22" s="584" t="e">
        <f>スコア入力!AJ22</f>
        <v>#DIV/0!</v>
      </c>
      <c r="AM22" s="584" t="e">
        <f>スコア入力!AL22</f>
        <v>#DIV/0!</v>
      </c>
      <c r="AN22" s="579"/>
      <c r="AO22" s="579"/>
    </row>
    <row r="23" spans="2:41" ht="13.5" hidden="1">
      <c r="B23" s="288"/>
      <c r="C23" s="2401"/>
      <c r="D23" s="2106">
        <v>2</v>
      </c>
      <c r="E23" s="2082" t="s">
        <v>1758</v>
      </c>
      <c r="F23" s="320"/>
      <c r="G23" s="320"/>
      <c r="H23" s="2966"/>
      <c r="I23" s="2967"/>
      <c r="J23" s="2967"/>
      <c r="K23" s="2968"/>
      <c r="L23" s="589" t="e">
        <f t="shared" si="5"/>
        <v>#DIV/0!</v>
      </c>
      <c r="M23" s="589" t="e">
        <f t="shared" si="6"/>
        <v>#DIV/0!</v>
      </c>
      <c r="N23" s="584" t="e">
        <f>スコア入力!AC23</f>
        <v>#DIV/0!</v>
      </c>
      <c r="O23" s="584" t="e">
        <f>スコア入力!AE23</f>
        <v>#DIV/0!</v>
      </c>
      <c r="P23" s="589" t="e">
        <f t="shared" si="7"/>
        <v>#DIV/0!</v>
      </c>
      <c r="Q23" s="589" t="e">
        <f t="shared" si="8"/>
        <v>#DIV/0!</v>
      </c>
      <c r="R23" s="584" t="e">
        <f>スコア入力!AJ23</f>
        <v>#DIV/0!</v>
      </c>
      <c r="S23" s="584" t="e">
        <f>スコア入力!AL23</f>
        <v>#DIV/0!</v>
      </c>
      <c r="T23" s="579"/>
      <c r="U23" s="579"/>
      <c r="W23" s="237">
        <f t="shared" si="1"/>
        <v>0</v>
      </c>
      <c r="X23" s="237">
        <f t="shared" si="2"/>
        <v>0</v>
      </c>
      <c r="Y23" s="236" t="e">
        <f>スコア入力!AA23</f>
        <v>#DIV/0!</v>
      </c>
      <c r="Z23" s="236" t="e">
        <f>スコア入力!AB23</f>
        <v>#DIV/0!</v>
      </c>
      <c r="AA23" s="237">
        <f t="shared" si="3"/>
        <v>0</v>
      </c>
      <c r="AB23" s="237">
        <f t="shared" si="4"/>
        <v>0</v>
      </c>
      <c r="AC23" s="236" t="e">
        <f>スコア入力!AH23</f>
        <v>#DIV/0!</v>
      </c>
      <c r="AD23" s="236" t="e">
        <f>スコア入力!AI23</f>
        <v>#DIV/0!</v>
      </c>
      <c r="AE23" s="6"/>
      <c r="AF23" s="420">
        <f>スコア入力!N23</f>
        <v>0</v>
      </c>
      <c r="AG23" s="420">
        <f>スコア入力!P23</f>
        <v>0</v>
      </c>
      <c r="AH23" s="584" t="e">
        <f>スコア入力!AC23</f>
        <v>#DIV/0!</v>
      </c>
      <c r="AI23" s="584" t="e">
        <f>スコア入力!AE23</f>
        <v>#DIV/0!</v>
      </c>
      <c r="AJ23" s="420">
        <f>スコア入力!U23</f>
        <v>0</v>
      </c>
      <c r="AK23" s="420">
        <f>スコア入力!W23</f>
        <v>0</v>
      </c>
      <c r="AL23" s="584" t="e">
        <f>スコア入力!AJ23</f>
        <v>#DIV/0!</v>
      </c>
      <c r="AM23" s="584" t="e">
        <f>スコア入力!AL23</f>
        <v>#DIV/0!</v>
      </c>
      <c r="AN23" s="579"/>
      <c r="AO23" s="579"/>
    </row>
    <row r="24" spans="2:41" ht="13.5">
      <c r="B24" s="288"/>
      <c r="C24" s="2401"/>
      <c r="D24" s="297">
        <v>2</v>
      </c>
      <c r="E24" s="317" t="s">
        <v>615</v>
      </c>
      <c r="F24" s="320"/>
      <c r="G24" s="320"/>
      <c r="H24" s="2966"/>
      <c r="I24" s="2967"/>
      <c r="J24" s="2967"/>
      <c r="K24" s="2968"/>
      <c r="L24" s="589" t="e">
        <f t="shared" si="5"/>
        <v>#DIV/0!</v>
      </c>
      <c r="M24" s="589" t="e">
        <f t="shared" si="6"/>
        <v>#DIV/0!</v>
      </c>
      <c r="N24" s="584" t="e">
        <f>スコア入力!AC24</f>
        <v>#DIV/0!</v>
      </c>
      <c r="O24" s="584" t="e">
        <f>スコア入力!AE24</f>
        <v>#DIV/0!</v>
      </c>
      <c r="P24" s="589" t="e">
        <f t="shared" si="7"/>
        <v>#DIV/0!</v>
      </c>
      <c r="Q24" s="589" t="e">
        <f t="shared" si="8"/>
        <v>#DIV/0!</v>
      </c>
      <c r="R24" s="584" t="e">
        <f>スコア入力!AJ24</f>
        <v>#DIV/0!</v>
      </c>
      <c r="S24" s="584" t="e">
        <f>スコア入力!AL24</f>
        <v>#DIV/0!</v>
      </c>
      <c r="T24" s="579"/>
      <c r="U24" s="579"/>
      <c r="W24" s="237">
        <f t="shared" si="1"/>
        <v>3</v>
      </c>
      <c r="X24" s="237">
        <f t="shared" si="2"/>
        <v>3</v>
      </c>
      <c r="Y24" s="236" t="e">
        <f>スコア入力!AA24</f>
        <v>#DIV/0!</v>
      </c>
      <c r="Z24" s="236" t="e">
        <f>スコア入力!AB24</f>
        <v>#DIV/0!</v>
      </c>
      <c r="AA24" s="237">
        <f t="shared" si="3"/>
        <v>3</v>
      </c>
      <c r="AB24" s="237">
        <f t="shared" si="4"/>
        <v>3</v>
      </c>
      <c r="AC24" s="236" t="e">
        <f>スコア入力!AH24</f>
        <v>#DIV/0!</v>
      </c>
      <c r="AD24" s="236" t="e">
        <f>スコア入力!AI24</f>
        <v>#DIV/0!</v>
      </c>
      <c r="AE24" s="6"/>
      <c r="AF24" s="420">
        <f>スコア入力!N24</f>
        <v>3</v>
      </c>
      <c r="AG24" s="420">
        <f>スコア入力!P24</f>
        <v>3</v>
      </c>
      <c r="AH24" s="584" t="e">
        <f>スコア入力!AC24</f>
        <v>#DIV/0!</v>
      </c>
      <c r="AI24" s="584" t="e">
        <f>スコア入力!AE24</f>
        <v>#DIV/0!</v>
      </c>
      <c r="AJ24" s="420">
        <f>スコア入力!U24</f>
        <v>3</v>
      </c>
      <c r="AK24" s="420">
        <f>スコア入力!W24</f>
        <v>3</v>
      </c>
      <c r="AL24" s="584" t="e">
        <f>スコア入力!AJ24</f>
        <v>#DIV/0!</v>
      </c>
      <c r="AM24" s="584" t="e">
        <f>スコア入力!AL24</f>
        <v>#DIV/0!</v>
      </c>
      <c r="AN24" s="579"/>
      <c r="AO24" s="579"/>
    </row>
    <row r="25" spans="2:41" ht="13.5">
      <c r="B25" s="288"/>
      <c r="C25" s="2401"/>
      <c r="D25" s="297">
        <v>3</v>
      </c>
      <c r="E25" s="317" t="s">
        <v>617</v>
      </c>
      <c r="F25" s="320"/>
      <c r="G25" s="320"/>
      <c r="H25" s="2966"/>
      <c r="I25" s="2967"/>
      <c r="J25" s="2967"/>
      <c r="K25" s="2968"/>
      <c r="L25" s="589" t="e">
        <f t="shared" si="5"/>
        <v>#DIV/0!</v>
      </c>
      <c r="M25" s="589" t="e">
        <f t="shared" si="6"/>
        <v>#DIV/0!</v>
      </c>
      <c r="N25" s="584" t="e">
        <f>スコア入力!AC25</f>
        <v>#DIV/0!</v>
      </c>
      <c r="O25" s="584" t="e">
        <f>スコア入力!AE25</f>
        <v>#DIV/0!</v>
      </c>
      <c r="P25" s="589" t="e">
        <f t="shared" si="7"/>
        <v>#DIV/0!</v>
      </c>
      <c r="Q25" s="589" t="e">
        <f t="shared" si="8"/>
        <v>#DIV/0!</v>
      </c>
      <c r="R25" s="584" t="e">
        <f>スコア入力!AJ25</f>
        <v>#DIV/0!</v>
      </c>
      <c r="S25" s="584" t="e">
        <f>スコア入力!AL25</f>
        <v>#DIV/0!</v>
      </c>
      <c r="T25" s="579"/>
      <c r="U25" s="579"/>
      <c r="W25" s="237">
        <f t="shared" si="1"/>
        <v>3</v>
      </c>
      <c r="X25" s="237">
        <f t="shared" si="2"/>
        <v>3</v>
      </c>
      <c r="Y25" s="236" t="e">
        <f>スコア入力!AA25</f>
        <v>#DIV/0!</v>
      </c>
      <c r="Z25" s="236" t="e">
        <f>スコア入力!AB25</f>
        <v>#DIV/0!</v>
      </c>
      <c r="AA25" s="237">
        <f t="shared" si="3"/>
        <v>0</v>
      </c>
      <c r="AB25" s="237">
        <f t="shared" si="4"/>
        <v>0</v>
      </c>
      <c r="AC25" s="236" t="e">
        <f>スコア入力!AH25</f>
        <v>#DIV/0!</v>
      </c>
      <c r="AD25" s="236" t="e">
        <f>スコア入力!AI25</f>
        <v>#DIV/0!</v>
      </c>
      <c r="AE25" s="6"/>
      <c r="AF25" s="420">
        <f>スコア入力!N25</f>
        <v>3</v>
      </c>
      <c r="AG25" s="420">
        <f>スコア入力!P25</f>
        <v>3</v>
      </c>
      <c r="AH25" s="584" t="e">
        <f>スコア入力!AC25</f>
        <v>#DIV/0!</v>
      </c>
      <c r="AI25" s="584" t="e">
        <f>スコア入力!AE25</f>
        <v>#DIV/0!</v>
      </c>
      <c r="AJ25" s="420">
        <f>スコア入力!U25</f>
        <v>0</v>
      </c>
      <c r="AK25" s="420">
        <f>スコア入力!W25</f>
        <v>0</v>
      </c>
      <c r="AL25" s="584" t="e">
        <f>スコア入力!AJ25</f>
        <v>#DIV/0!</v>
      </c>
      <c r="AM25" s="584" t="e">
        <f>スコア入力!AL25</f>
        <v>#DIV/0!</v>
      </c>
      <c r="AN25" s="579"/>
      <c r="AO25" s="579"/>
    </row>
    <row r="26" spans="2:41" ht="13.5" hidden="1">
      <c r="B26" s="288"/>
      <c r="C26" s="2401"/>
      <c r="D26" s="2106">
        <v>5</v>
      </c>
      <c r="E26" s="2082" t="s">
        <v>1759</v>
      </c>
      <c r="F26" s="320"/>
      <c r="G26" s="320"/>
      <c r="H26" s="2966"/>
      <c r="I26" s="2967"/>
      <c r="J26" s="2967"/>
      <c r="K26" s="2968"/>
      <c r="L26" s="589" t="e">
        <f t="shared" si="5"/>
        <v>#DIV/0!</v>
      </c>
      <c r="M26" s="589" t="e">
        <f t="shared" si="6"/>
        <v>#DIV/0!</v>
      </c>
      <c r="N26" s="584" t="e">
        <f>スコア入力!AC26</f>
        <v>#DIV/0!</v>
      </c>
      <c r="O26" s="584" t="e">
        <f>スコア入力!AE26</f>
        <v>#DIV/0!</v>
      </c>
      <c r="P26" s="589" t="e">
        <f t="shared" si="7"/>
        <v>#DIV/0!</v>
      </c>
      <c r="Q26" s="589" t="e">
        <f t="shared" si="8"/>
        <v>#DIV/0!</v>
      </c>
      <c r="R26" s="584" t="e">
        <f>スコア入力!AJ26</f>
        <v>#DIV/0!</v>
      </c>
      <c r="S26" s="584" t="e">
        <f>スコア入力!AL26</f>
        <v>#DIV/0!</v>
      </c>
      <c r="T26" s="579"/>
      <c r="U26" s="579"/>
      <c r="W26" s="237">
        <f t="shared" si="1"/>
        <v>0</v>
      </c>
      <c r="X26" s="237">
        <f t="shared" si="2"/>
        <v>0</v>
      </c>
      <c r="Y26" s="236" t="e">
        <f>スコア入力!AA26</f>
        <v>#DIV/0!</v>
      </c>
      <c r="Z26" s="236" t="e">
        <f>スコア入力!AB26</f>
        <v>#DIV/0!</v>
      </c>
      <c r="AA26" s="237">
        <f t="shared" si="3"/>
        <v>0</v>
      </c>
      <c r="AB26" s="237">
        <f t="shared" si="4"/>
        <v>0</v>
      </c>
      <c r="AC26" s="236" t="e">
        <f>スコア入力!AH26</f>
        <v>#DIV/0!</v>
      </c>
      <c r="AD26" s="236" t="e">
        <f>スコア入力!AI26</f>
        <v>#DIV/0!</v>
      </c>
      <c r="AE26" s="6"/>
      <c r="AF26" s="420">
        <f>スコア入力!N26</f>
        <v>0</v>
      </c>
      <c r="AG26" s="420">
        <f>スコア入力!P26</f>
        <v>0</v>
      </c>
      <c r="AH26" s="584" t="e">
        <f>スコア入力!AC26</f>
        <v>#DIV/0!</v>
      </c>
      <c r="AI26" s="584" t="e">
        <f>スコア入力!AE26</f>
        <v>#DIV/0!</v>
      </c>
      <c r="AJ26" s="420">
        <f>スコア入力!U26</f>
        <v>0</v>
      </c>
      <c r="AK26" s="420">
        <f>スコア入力!W26</f>
        <v>0</v>
      </c>
      <c r="AL26" s="584" t="e">
        <f>スコア入力!AJ26</f>
        <v>#DIV/0!</v>
      </c>
      <c r="AM26" s="584" t="e">
        <f>スコア入力!AL26</f>
        <v>#DIV/0!</v>
      </c>
      <c r="AN26" s="579"/>
      <c r="AO26" s="579"/>
    </row>
    <row r="27" spans="2:41" ht="13.5" hidden="1">
      <c r="B27" s="288"/>
      <c r="C27" s="2401"/>
      <c r="D27" s="2106">
        <v>6</v>
      </c>
      <c r="E27" s="2082" t="s">
        <v>619</v>
      </c>
      <c r="F27" s="320"/>
      <c r="G27" s="320"/>
      <c r="H27" s="2966"/>
      <c r="I27" s="2967"/>
      <c r="J27" s="2967"/>
      <c r="K27" s="2968"/>
      <c r="L27" s="589" t="e">
        <f t="shared" si="5"/>
        <v>#DIV/0!</v>
      </c>
      <c r="M27" s="589" t="e">
        <f t="shared" si="6"/>
        <v>#DIV/0!</v>
      </c>
      <c r="N27" s="584" t="e">
        <f>スコア入力!AC27</f>
        <v>#DIV/0!</v>
      </c>
      <c r="O27" s="584" t="e">
        <f>スコア入力!AE27</f>
        <v>#DIV/0!</v>
      </c>
      <c r="P27" s="589" t="e">
        <f t="shared" si="7"/>
        <v>#DIV/0!</v>
      </c>
      <c r="Q27" s="589" t="e">
        <f t="shared" si="8"/>
        <v>#DIV/0!</v>
      </c>
      <c r="R27" s="584" t="e">
        <f>スコア入力!AJ27</f>
        <v>#DIV/0!</v>
      </c>
      <c r="S27" s="584" t="e">
        <f>スコア入力!AL27</f>
        <v>#DIV/0!</v>
      </c>
      <c r="T27" s="579"/>
      <c r="U27" s="579"/>
      <c r="W27" s="237">
        <f t="shared" si="1"/>
        <v>0</v>
      </c>
      <c r="X27" s="237">
        <f t="shared" si="2"/>
        <v>0</v>
      </c>
      <c r="Y27" s="236" t="e">
        <f>スコア入力!AA27</f>
        <v>#DIV/0!</v>
      </c>
      <c r="Z27" s="236" t="e">
        <f>スコア入力!AB27</f>
        <v>#DIV/0!</v>
      </c>
      <c r="AA27" s="237">
        <f t="shared" si="3"/>
        <v>0</v>
      </c>
      <c r="AB27" s="237">
        <f t="shared" si="4"/>
        <v>0</v>
      </c>
      <c r="AC27" s="236" t="e">
        <f>スコア入力!AH27</f>
        <v>#DIV/0!</v>
      </c>
      <c r="AD27" s="236" t="e">
        <f>スコア入力!AI27</f>
        <v>#DIV/0!</v>
      </c>
      <c r="AE27" s="6"/>
      <c r="AF27" s="420">
        <f>スコア入力!N27</f>
        <v>0</v>
      </c>
      <c r="AG27" s="420">
        <f>スコア入力!P27</f>
        <v>0</v>
      </c>
      <c r="AH27" s="584" t="e">
        <f>スコア入力!AC27</f>
        <v>#DIV/0!</v>
      </c>
      <c r="AI27" s="584" t="e">
        <f>スコア入力!AE27</f>
        <v>#DIV/0!</v>
      </c>
      <c r="AJ27" s="420">
        <f>スコア入力!U27</f>
        <v>0</v>
      </c>
      <c r="AK27" s="420">
        <f>スコア入力!W27</f>
        <v>0</v>
      </c>
      <c r="AL27" s="584" t="e">
        <f>スコア入力!AJ27</f>
        <v>#DIV/0!</v>
      </c>
      <c r="AM27" s="584" t="e">
        <f>スコア入力!AL27</f>
        <v>#DIV/0!</v>
      </c>
      <c r="AN27" s="579"/>
      <c r="AO27" s="579"/>
    </row>
    <row r="28" spans="2:41" ht="13.5" hidden="1">
      <c r="B28" s="288"/>
      <c r="C28" s="2401"/>
      <c r="D28" s="2106">
        <v>7</v>
      </c>
      <c r="E28" s="2082" t="s">
        <v>1760</v>
      </c>
      <c r="F28" s="320"/>
      <c r="G28" s="320"/>
      <c r="H28" s="2966"/>
      <c r="I28" s="2967"/>
      <c r="J28" s="2967"/>
      <c r="K28" s="2968"/>
      <c r="L28" s="589" t="e">
        <f t="shared" si="5"/>
        <v>#DIV/0!</v>
      </c>
      <c r="M28" s="589" t="e">
        <f t="shared" si="6"/>
        <v>#DIV/0!</v>
      </c>
      <c r="N28" s="584" t="e">
        <f>スコア入力!AC28</f>
        <v>#DIV/0!</v>
      </c>
      <c r="O28" s="584" t="e">
        <f>スコア入力!AE28</f>
        <v>#DIV/0!</v>
      </c>
      <c r="P28" s="589" t="e">
        <f t="shared" si="7"/>
        <v>#DIV/0!</v>
      </c>
      <c r="Q28" s="589" t="e">
        <f t="shared" si="8"/>
        <v>#DIV/0!</v>
      </c>
      <c r="R28" s="584" t="e">
        <f>スコア入力!AJ28</f>
        <v>#DIV/0!</v>
      </c>
      <c r="S28" s="584" t="e">
        <f>スコア入力!AL28</f>
        <v>#DIV/0!</v>
      </c>
      <c r="T28" s="579"/>
      <c r="U28" s="579"/>
      <c r="W28" s="237">
        <f t="shared" si="1"/>
        <v>0</v>
      </c>
      <c r="X28" s="237">
        <f t="shared" si="2"/>
        <v>0</v>
      </c>
      <c r="Y28" s="236" t="e">
        <f>スコア入力!AA28</f>
        <v>#DIV/0!</v>
      </c>
      <c r="Z28" s="236" t="e">
        <f>スコア入力!AB28</f>
        <v>#DIV/0!</v>
      </c>
      <c r="AA28" s="237">
        <f t="shared" si="3"/>
        <v>0</v>
      </c>
      <c r="AB28" s="237">
        <f t="shared" si="4"/>
        <v>0</v>
      </c>
      <c r="AC28" s="236" t="e">
        <f>スコア入力!AH28</f>
        <v>#DIV/0!</v>
      </c>
      <c r="AD28" s="236" t="e">
        <f>スコア入力!AI28</f>
        <v>#DIV/0!</v>
      </c>
      <c r="AE28" s="6"/>
      <c r="AF28" s="420">
        <f>スコア入力!N28</f>
        <v>0</v>
      </c>
      <c r="AG28" s="420">
        <f>スコア入力!P28</f>
        <v>0</v>
      </c>
      <c r="AH28" s="584" t="e">
        <f>スコア入力!AC28</f>
        <v>#DIV/0!</v>
      </c>
      <c r="AI28" s="584" t="e">
        <f>スコア入力!AE28</f>
        <v>#DIV/0!</v>
      </c>
      <c r="AJ28" s="420">
        <f>スコア入力!U28</f>
        <v>0</v>
      </c>
      <c r="AK28" s="420">
        <f>スコア入力!W28</f>
        <v>0</v>
      </c>
      <c r="AL28" s="584" t="e">
        <f>スコア入力!AJ28</f>
        <v>#DIV/0!</v>
      </c>
      <c r="AM28" s="584" t="e">
        <f>スコア入力!AL28</f>
        <v>#DIV/0!</v>
      </c>
      <c r="AN28" s="579"/>
      <c r="AO28" s="579"/>
    </row>
    <row r="29" spans="2:41" ht="13.5" hidden="1">
      <c r="B29" s="288"/>
      <c r="C29" s="2401"/>
      <c r="D29" s="2106">
        <v>8</v>
      </c>
      <c r="E29" s="2082" t="s">
        <v>621</v>
      </c>
      <c r="F29" s="370"/>
      <c r="G29" s="370"/>
      <c r="H29" s="2966"/>
      <c r="I29" s="2967"/>
      <c r="J29" s="2967"/>
      <c r="K29" s="2968"/>
      <c r="L29" s="589" t="e">
        <f t="shared" si="5"/>
        <v>#DIV/0!</v>
      </c>
      <c r="M29" s="589" t="e">
        <f t="shared" si="6"/>
        <v>#DIV/0!</v>
      </c>
      <c r="N29" s="584" t="e">
        <f>スコア入力!AC29</f>
        <v>#DIV/0!</v>
      </c>
      <c r="O29" s="584" t="e">
        <f>スコア入力!AE29</f>
        <v>#DIV/0!</v>
      </c>
      <c r="P29" s="589" t="e">
        <f t="shared" si="7"/>
        <v>#DIV/0!</v>
      </c>
      <c r="Q29" s="589" t="e">
        <f t="shared" si="8"/>
        <v>#DIV/0!</v>
      </c>
      <c r="R29" s="584" t="e">
        <f>スコア入力!AJ29</f>
        <v>#DIV/0!</v>
      </c>
      <c r="S29" s="584" t="e">
        <f>スコア入力!AL29</f>
        <v>#DIV/0!</v>
      </c>
      <c r="T29" s="579"/>
      <c r="U29" s="579"/>
      <c r="W29" s="237">
        <f t="shared" si="1"/>
        <v>0</v>
      </c>
      <c r="X29" s="237">
        <f t="shared" si="2"/>
        <v>0</v>
      </c>
      <c r="Y29" s="236" t="e">
        <f>スコア入力!AA29</f>
        <v>#DIV/0!</v>
      </c>
      <c r="Z29" s="236" t="e">
        <f>スコア入力!AB29</f>
        <v>#DIV/0!</v>
      </c>
      <c r="AA29" s="237">
        <f t="shared" si="3"/>
        <v>0</v>
      </c>
      <c r="AB29" s="237">
        <f t="shared" si="4"/>
        <v>0</v>
      </c>
      <c r="AC29" s="236" t="e">
        <f>スコア入力!AH29</f>
        <v>#DIV/0!</v>
      </c>
      <c r="AD29" s="236" t="e">
        <f>スコア入力!AI29</f>
        <v>#DIV/0!</v>
      </c>
      <c r="AE29" s="6"/>
      <c r="AF29" s="420">
        <f>スコア入力!N29</f>
        <v>0</v>
      </c>
      <c r="AG29" s="420">
        <f>スコア入力!P29</f>
        <v>0</v>
      </c>
      <c r="AH29" s="584" t="e">
        <f>スコア入力!AC29</f>
        <v>#DIV/0!</v>
      </c>
      <c r="AI29" s="584" t="e">
        <f>スコア入力!AE29</f>
        <v>#DIV/0!</v>
      </c>
      <c r="AJ29" s="420">
        <f>スコア入力!U29</f>
        <v>0</v>
      </c>
      <c r="AK29" s="420">
        <f>スコア入力!W29</f>
        <v>0</v>
      </c>
      <c r="AL29" s="584" t="e">
        <f>スコア入力!AJ29</f>
        <v>#DIV/0!</v>
      </c>
      <c r="AM29" s="584" t="e">
        <f>スコア入力!AL29</f>
        <v>#DIV/0!</v>
      </c>
      <c r="AN29" s="579"/>
      <c r="AO29" s="579"/>
    </row>
    <row r="30" spans="2:41" ht="14.25" thickBot="1">
      <c r="B30" s="288"/>
      <c r="C30" s="316">
        <v>2.2000000000000002</v>
      </c>
      <c r="D30" s="317" t="s">
        <v>931</v>
      </c>
      <c r="E30" s="320"/>
      <c r="F30" s="320"/>
      <c r="G30" s="320"/>
      <c r="H30" s="2966"/>
      <c r="I30" s="2967"/>
      <c r="J30" s="2967"/>
      <c r="K30" s="2968"/>
      <c r="L30" s="457" t="e">
        <f t="shared" si="5"/>
        <v>#DIV/0!</v>
      </c>
      <c r="M30" s="458" t="e">
        <f t="shared" si="6"/>
        <v>#DIV/0!</v>
      </c>
      <c r="N30" s="584" t="e">
        <f>スコア入力!AC30</f>
        <v>#DIV/0!</v>
      </c>
      <c r="O30" s="584" t="e">
        <f>スコア入力!AE30</f>
        <v>#DIV/0!</v>
      </c>
      <c r="P30" s="586" t="e">
        <f t="shared" si="7"/>
        <v>#DIV/0!</v>
      </c>
      <c r="Q30" s="586" t="e">
        <f t="shared" si="8"/>
        <v>#DIV/0!</v>
      </c>
      <c r="R30" s="584" t="e">
        <f>スコア入力!AJ30</f>
        <v>#DIV/0!</v>
      </c>
      <c r="S30" s="584" t="e">
        <f>スコア入力!AL30</f>
        <v>#DIV/0!</v>
      </c>
      <c r="T30" s="579"/>
      <c r="U30" s="579"/>
      <c r="W30" s="237">
        <f t="shared" si="1"/>
        <v>3</v>
      </c>
      <c r="X30" s="237">
        <f t="shared" si="2"/>
        <v>3</v>
      </c>
      <c r="Y30" s="236" t="e">
        <f>スコア入力!AA30</f>
        <v>#DIV/0!</v>
      </c>
      <c r="Z30" s="236" t="e">
        <f>スコア入力!AB30</f>
        <v>#DIV/0!</v>
      </c>
      <c r="AA30" s="237">
        <f t="shared" si="3"/>
        <v>0</v>
      </c>
      <c r="AB30" s="237">
        <f t="shared" si="4"/>
        <v>0</v>
      </c>
      <c r="AC30" s="236" t="e">
        <f>スコア入力!AH30</f>
        <v>#DIV/0!</v>
      </c>
      <c r="AD30" s="236" t="e">
        <f>スコア入力!AI30</f>
        <v>#DIV/0!</v>
      </c>
      <c r="AE30" s="6"/>
      <c r="AF30" s="587">
        <f>スコア入力!N30</f>
        <v>3</v>
      </c>
      <c r="AG30" s="587">
        <f>スコア入力!P30</f>
        <v>3</v>
      </c>
      <c r="AH30" s="584" t="e">
        <f>スコア入力!AC30</f>
        <v>#DIV/0!</v>
      </c>
      <c r="AI30" s="584" t="e">
        <f>スコア入力!AE30</f>
        <v>#DIV/0!</v>
      </c>
      <c r="AJ30" s="587">
        <f>スコア入力!U30</f>
        <v>0</v>
      </c>
      <c r="AK30" s="587">
        <f>スコア入力!W30</f>
        <v>0</v>
      </c>
      <c r="AL30" s="584" t="e">
        <f>スコア入力!AJ30</f>
        <v>#DIV/0!</v>
      </c>
      <c r="AM30" s="584" t="e">
        <f>スコア入力!AL30</f>
        <v>#DIV/0!</v>
      </c>
      <c r="AN30" s="579"/>
      <c r="AO30" s="579"/>
    </row>
    <row r="31" spans="2:41" ht="14.25" thickBot="1">
      <c r="B31" s="288"/>
      <c r="C31" s="308">
        <v>2.2999999999999998</v>
      </c>
      <c r="D31" s="317" t="s">
        <v>622</v>
      </c>
      <c r="E31" s="320"/>
      <c r="F31" s="320"/>
      <c r="G31" s="320"/>
      <c r="H31" s="2966"/>
      <c r="I31" s="2967"/>
      <c r="J31" s="2967"/>
      <c r="K31" s="3010"/>
      <c r="L31" s="588" t="e">
        <f t="shared" si="5"/>
        <v>#DIV/0!</v>
      </c>
      <c r="M31" s="597" t="e">
        <f t="shared" si="6"/>
        <v>#DIV/0!</v>
      </c>
      <c r="N31" s="578" t="e">
        <f>スコア入力!AC31</f>
        <v>#DIV/0!</v>
      </c>
      <c r="O31" s="578" t="e">
        <f>スコア入力!AE31</f>
        <v>#DIV/0!</v>
      </c>
      <c r="P31" s="597" t="e">
        <f t="shared" si="7"/>
        <v>#DIV/0!</v>
      </c>
      <c r="Q31" s="597" t="e">
        <f t="shared" si="8"/>
        <v>#DIV/0!</v>
      </c>
      <c r="R31" s="578" t="e">
        <f>スコア入力!AJ31</f>
        <v>#DIV/0!</v>
      </c>
      <c r="S31" s="578" t="e">
        <f>スコア入力!AL31</f>
        <v>#DIV/0!</v>
      </c>
      <c r="T31" s="579"/>
      <c r="U31" s="579"/>
      <c r="W31" s="598" t="e">
        <f t="shared" si="1"/>
        <v>#DIV/0!</v>
      </c>
      <c r="X31" s="598" t="e">
        <f t="shared" si="2"/>
        <v>#DIV/0!</v>
      </c>
      <c r="Y31" s="236" t="e">
        <f>スコア入力!AA31</f>
        <v>#DIV/0!</v>
      </c>
      <c r="Z31" s="236" t="e">
        <f>スコア入力!AB31</f>
        <v>#DIV/0!</v>
      </c>
      <c r="AA31" s="598" t="e">
        <f t="shared" si="3"/>
        <v>#DIV/0!</v>
      </c>
      <c r="AB31" s="598" t="e">
        <f t="shared" si="4"/>
        <v>#DIV/0!</v>
      </c>
      <c r="AC31" s="236" t="e">
        <f>スコア入力!AH31</f>
        <v>#DIV/0!</v>
      </c>
      <c r="AD31" s="236" t="e">
        <f>スコア入力!AI31</f>
        <v>#DIV/0!</v>
      </c>
      <c r="AE31" s="6"/>
      <c r="AF31" s="597" t="e">
        <f>SUMPRODUCT(AF32:AF33,AH32:AH33)</f>
        <v>#DIV/0!</v>
      </c>
      <c r="AG31" s="597" t="e">
        <f>SUMPRODUCT(AG32:AG33,AI32:AI33)</f>
        <v>#DIV/0!</v>
      </c>
      <c r="AH31" s="584" t="e">
        <f>スコア入力!AC31</f>
        <v>#DIV/0!</v>
      </c>
      <c r="AI31" s="584" t="e">
        <f>スコア入力!AE31</f>
        <v>#DIV/0!</v>
      </c>
      <c r="AJ31" s="597" t="e">
        <f>SUMPRODUCT(AJ32:AJ33,AL32:AL33)</f>
        <v>#DIV/0!</v>
      </c>
      <c r="AK31" s="597" t="e">
        <f>SUMPRODUCT(AK32:AK33,AM32:AM33)</f>
        <v>#DIV/0!</v>
      </c>
      <c r="AL31" s="584" t="e">
        <f>スコア入力!AJ31</f>
        <v>#DIV/0!</v>
      </c>
      <c r="AM31" s="584" t="e">
        <f>スコア入力!AL31</f>
        <v>#DIV/0!</v>
      </c>
      <c r="AN31" s="579"/>
      <c r="AO31" s="579"/>
    </row>
    <row r="32" spans="2:41" ht="13.5">
      <c r="B32" s="288"/>
      <c r="C32" s="2402"/>
      <c r="D32" s="297">
        <v>1</v>
      </c>
      <c r="E32" s="317" t="s">
        <v>624</v>
      </c>
      <c r="F32" s="320"/>
      <c r="G32" s="320"/>
      <c r="H32" s="2966"/>
      <c r="I32" s="2967"/>
      <c r="J32" s="2967"/>
      <c r="K32" s="2968"/>
      <c r="L32" s="583" t="e">
        <f t="shared" si="5"/>
        <v>#DIV/0!</v>
      </c>
      <c r="M32" s="583" t="e">
        <f t="shared" si="6"/>
        <v>#DIV/0!</v>
      </c>
      <c r="N32" s="584" t="e">
        <f>スコア入力!AC32</f>
        <v>#DIV/0!</v>
      </c>
      <c r="O32" s="584" t="e">
        <f>スコア入力!AE32</f>
        <v>#DIV/0!</v>
      </c>
      <c r="P32" s="583" t="e">
        <f t="shared" si="7"/>
        <v>#DIV/0!</v>
      </c>
      <c r="Q32" s="583" t="e">
        <f t="shared" si="8"/>
        <v>#DIV/0!</v>
      </c>
      <c r="R32" s="584" t="e">
        <f>スコア入力!AJ32</f>
        <v>#DIV/0!</v>
      </c>
      <c r="S32" s="584" t="e">
        <f>スコア入力!AL32</f>
        <v>#DIV/0!</v>
      </c>
      <c r="T32" s="579"/>
      <c r="U32" s="579"/>
      <c r="W32" s="237">
        <f t="shared" si="1"/>
        <v>3</v>
      </c>
      <c r="X32" s="237">
        <f t="shared" si="2"/>
        <v>3</v>
      </c>
      <c r="Y32" s="236" t="e">
        <f>スコア入力!AA32</f>
        <v>#DIV/0!</v>
      </c>
      <c r="Z32" s="236" t="e">
        <f>スコア入力!AB32</f>
        <v>#DIV/0!</v>
      </c>
      <c r="AA32" s="237">
        <f t="shared" si="3"/>
        <v>0</v>
      </c>
      <c r="AB32" s="237">
        <f t="shared" si="4"/>
        <v>0</v>
      </c>
      <c r="AC32" s="236" t="e">
        <f>スコア入力!AH32</f>
        <v>#DIV/0!</v>
      </c>
      <c r="AD32" s="236" t="e">
        <f>スコア入力!AI32</f>
        <v>#DIV/0!</v>
      </c>
      <c r="AE32" s="6"/>
      <c r="AF32" s="585">
        <f>スコア入力!N32</f>
        <v>3</v>
      </c>
      <c r="AG32" s="585">
        <f>スコア入力!P32</f>
        <v>3</v>
      </c>
      <c r="AH32" s="584" t="e">
        <f>スコア入力!AC32</f>
        <v>#DIV/0!</v>
      </c>
      <c r="AI32" s="584" t="e">
        <f>スコア入力!AE32</f>
        <v>#DIV/0!</v>
      </c>
      <c r="AJ32" s="585">
        <f>スコア入力!U32</f>
        <v>0</v>
      </c>
      <c r="AK32" s="585">
        <f>スコア入力!W32</f>
        <v>0</v>
      </c>
      <c r="AL32" s="584" t="e">
        <f>スコア入力!AJ32</f>
        <v>#DIV/0!</v>
      </c>
      <c r="AM32" s="584" t="e">
        <f>スコア入力!AL32</f>
        <v>#DIV/0!</v>
      </c>
      <c r="AN32" s="579"/>
      <c r="AO32" s="579"/>
    </row>
    <row r="33" spans="2:41" ht="14.25" thickBot="1">
      <c r="B33" s="2403"/>
      <c r="C33" s="2404"/>
      <c r="D33" s="297">
        <v>2</v>
      </c>
      <c r="E33" s="317" t="s">
        <v>627</v>
      </c>
      <c r="F33" s="320"/>
      <c r="G33" s="320"/>
      <c r="H33" s="2993"/>
      <c r="I33" s="2994"/>
      <c r="J33" s="2994"/>
      <c r="K33" s="2995"/>
      <c r="L33" s="586" t="e">
        <f t="shared" si="5"/>
        <v>#DIV/0!</v>
      </c>
      <c r="M33" s="586" t="e">
        <f t="shared" si="6"/>
        <v>#DIV/0!</v>
      </c>
      <c r="N33" s="584" t="e">
        <f>スコア入力!AC33</f>
        <v>#DIV/0!</v>
      </c>
      <c r="O33" s="584" t="e">
        <f>スコア入力!AE33</f>
        <v>#DIV/0!</v>
      </c>
      <c r="P33" s="586" t="e">
        <f t="shared" si="7"/>
        <v>#DIV/0!</v>
      </c>
      <c r="Q33" s="586" t="e">
        <f t="shared" si="8"/>
        <v>#DIV/0!</v>
      </c>
      <c r="R33" s="584" t="e">
        <f>スコア入力!AJ33</f>
        <v>#DIV/0!</v>
      </c>
      <c r="S33" s="584" t="e">
        <f>スコア入力!AL33</f>
        <v>#DIV/0!</v>
      </c>
      <c r="T33" s="579"/>
      <c r="U33" s="579"/>
      <c r="W33" s="237">
        <f t="shared" si="1"/>
        <v>3</v>
      </c>
      <c r="X33" s="237">
        <f t="shared" si="2"/>
        <v>3</v>
      </c>
      <c r="Y33" s="236" t="e">
        <f>スコア入力!AA33</f>
        <v>#DIV/0!</v>
      </c>
      <c r="Z33" s="236" t="e">
        <f>スコア入力!AB33</f>
        <v>#DIV/0!</v>
      </c>
      <c r="AA33" s="237">
        <f t="shared" si="3"/>
        <v>0</v>
      </c>
      <c r="AB33" s="237">
        <f t="shared" si="4"/>
        <v>0</v>
      </c>
      <c r="AC33" s="236" t="e">
        <f>スコア入力!AH33</f>
        <v>#DIV/0!</v>
      </c>
      <c r="AD33" s="236" t="e">
        <f>スコア入力!AI33</f>
        <v>#DIV/0!</v>
      </c>
      <c r="AE33" s="6"/>
      <c r="AF33" s="587">
        <f>スコア入力!N33</f>
        <v>3</v>
      </c>
      <c r="AG33" s="587">
        <f>スコア入力!P33</f>
        <v>3</v>
      </c>
      <c r="AH33" s="584" t="e">
        <f>スコア入力!AC33</f>
        <v>#DIV/0!</v>
      </c>
      <c r="AI33" s="584" t="e">
        <f>スコア入力!AE33</f>
        <v>#DIV/0!</v>
      </c>
      <c r="AJ33" s="587">
        <f>スコア入力!U33</f>
        <v>0</v>
      </c>
      <c r="AK33" s="587">
        <f>スコア入力!W33</f>
        <v>0</v>
      </c>
      <c r="AL33" s="584" t="e">
        <f>スコア入力!AJ33</f>
        <v>#DIV/0!</v>
      </c>
      <c r="AM33" s="584" t="e">
        <f>スコア入力!AL33</f>
        <v>#DIV/0!</v>
      </c>
      <c r="AN33" s="579"/>
      <c r="AO33" s="579"/>
    </row>
    <row r="34" spans="2:41" ht="13.5">
      <c r="B34" s="388">
        <v>3</v>
      </c>
      <c r="C34" s="319" t="s">
        <v>630</v>
      </c>
      <c r="D34" s="389"/>
      <c r="E34" s="370"/>
      <c r="F34" s="577"/>
      <c r="G34" s="577"/>
      <c r="H34" s="3005"/>
      <c r="I34" s="3006"/>
      <c r="J34" s="3006"/>
      <c r="K34" s="3007"/>
      <c r="L34" s="593" t="e">
        <f t="shared" si="5"/>
        <v>#DIV/0!</v>
      </c>
      <c r="M34" s="593" t="e">
        <f t="shared" si="6"/>
        <v>#DIV/0!</v>
      </c>
      <c r="N34" s="592" t="e">
        <f>スコア入力!AC34</f>
        <v>#DIV/0!</v>
      </c>
      <c r="O34" s="592" t="e">
        <f>スコア入力!AE34</f>
        <v>#DIV/0!</v>
      </c>
      <c r="P34" s="593" t="e">
        <f t="shared" si="7"/>
        <v>#DIV/0!</v>
      </c>
      <c r="Q34" s="593" t="e">
        <f t="shared" si="8"/>
        <v>#DIV/0!</v>
      </c>
      <c r="R34" s="592"/>
      <c r="S34" s="592"/>
      <c r="T34" s="594" t="e">
        <f>ROUNDDOWN(AN34,1)</f>
        <v>#DIV/0!</v>
      </c>
      <c r="U34" s="594" t="e">
        <f>ROUNDDOWN(AO34,1)</f>
        <v>#DIV/0!</v>
      </c>
      <c r="W34" s="568" t="e">
        <f t="shared" si="1"/>
        <v>#DIV/0!</v>
      </c>
      <c r="X34" s="568" t="e">
        <f t="shared" si="2"/>
        <v>#DIV/0!</v>
      </c>
      <c r="Y34" s="236" t="e">
        <f>スコア入力!AA34</f>
        <v>#DIV/0!</v>
      </c>
      <c r="Z34" s="236" t="e">
        <f>スコア入力!AB34</f>
        <v>#DIV/0!</v>
      </c>
      <c r="AA34" s="568" t="e">
        <f t="shared" si="3"/>
        <v>#DIV/0!</v>
      </c>
      <c r="AB34" s="568" t="e">
        <f t="shared" si="4"/>
        <v>#DIV/0!</v>
      </c>
      <c r="AC34" s="236">
        <f>スコア入力!AH34</f>
        <v>1</v>
      </c>
      <c r="AD34" s="236" t="e">
        <f>スコア入力!AI34</f>
        <v>#DIV/0!</v>
      </c>
      <c r="AE34" s="6"/>
      <c r="AF34" s="593" t="e">
        <f>AF35*AH35+AF39*AH39+AF43*AH43+AF46*AH46</f>
        <v>#DIV/0!</v>
      </c>
      <c r="AG34" s="593" t="e">
        <f>AG35*AI35+AG39*AI39+AG43*AI43+AG46*AI46</f>
        <v>#DIV/0!</v>
      </c>
      <c r="AH34" s="592" t="e">
        <f>スコア入力!AC34</f>
        <v>#DIV/0!</v>
      </c>
      <c r="AI34" s="592" t="e">
        <f>スコア入力!AE34</f>
        <v>#DIV/0!</v>
      </c>
      <c r="AJ34" s="593" t="e">
        <f>AJ35*AL35+AJ39*AL39+AJ43*AL43+AJ46*AL46</f>
        <v>#DIV/0!</v>
      </c>
      <c r="AK34" s="593" t="e">
        <f>AK35*AM35+AK39*AM39+AK43*AM43+AK46*AM46</f>
        <v>#DIV/0!</v>
      </c>
      <c r="AL34" s="592" t="e">
        <f>スコア入力!AJ34</f>
        <v>#DIV/0!</v>
      </c>
      <c r="AM34" s="592" t="e">
        <f>スコア入力!AL34</f>
        <v>#DIV/0!</v>
      </c>
      <c r="AN34" s="594" t="e">
        <f>IF(AJ34=0,AF34,IF(AF34=0,AJ34,AF34*AH$6+AJ34*AL$6))</f>
        <v>#DIV/0!</v>
      </c>
      <c r="AO34" s="594" t="e">
        <f>IF(AK34=0,AG34,IF(AG34=0,AK34,AG34*AI$6+AK34*AM$6))</f>
        <v>#DIV/0!</v>
      </c>
    </row>
    <row r="35" spans="2:41" ht="14.25" thickBot="1">
      <c r="B35" s="288"/>
      <c r="C35" s="289">
        <v>3.1</v>
      </c>
      <c r="D35" s="326" t="s">
        <v>631</v>
      </c>
      <c r="E35" s="370"/>
      <c r="F35" s="370"/>
      <c r="G35" s="370"/>
      <c r="H35" s="2954"/>
      <c r="I35" s="2955"/>
      <c r="J35" s="2955"/>
      <c r="K35" s="3011"/>
      <c r="L35" s="599" t="e">
        <f t="shared" si="5"/>
        <v>#DIV/0!</v>
      </c>
      <c r="M35" s="580" t="e">
        <f t="shared" si="6"/>
        <v>#DIV/0!</v>
      </c>
      <c r="N35" s="596" t="e">
        <f>スコア入力!AC35</f>
        <v>#DIV/0!</v>
      </c>
      <c r="O35" s="596" t="e">
        <f>スコア入力!AE35</f>
        <v>#DIV/0!</v>
      </c>
      <c r="P35" s="580" t="e">
        <f t="shared" si="7"/>
        <v>#DIV/0!</v>
      </c>
      <c r="Q35" s="580" t="e">
        <f t="shared" si="8"/>
        <v>#DIV/0!</v>
      </c>
      <c r="R35" s="596" t="e">
        <f>スコア入力!AJ35</f>
        <v>#DIV/0!</v>
      </c>
      <c r="S35" s="596" t="e">
        <f>スコア入力!AL35</f>
        <v>#DIV/0!</v>
      </c>
      <c r="T35" s="582"/>
      <c r="U35" s="582"/>
      <c r="W35" s="568" t="e">
        <f t="shared" si="1"/>
        <v>#DIV/0!</v>
      </c>
      <c r="X35" s="568" t="e">
        <f t="shared" si="2"/>
        <v>#DIV/0!</v>
      </c>
      <c r="Y35" s="236" t="e">
        <f>スコア入力!AA35</f>
        <v>#DIV/0!</v>
      </c>
      <c r="Z35" s="236" t="e">
        <f>スコア入力!AB35</f>
        <v>#DIV/0!</v>
      </c>
      <c r="AA35" s="568" t="e">
        <f t="shared" si="3"/>
        <v>#DIV/0!</v>
      </c>
      <c r="AB35" s="568" t="e">
        <f t="shared" si="4"/>
        <v>#DIV/0!</v>
      </c>
      <c r="AC35" s="236" t="e">
        <f>スコア入力!AH35</f>
        <v>#DIV/0!</v>
      </c>
      <c r="AD35" s="236" t="e">
        <f>スコア入力!AI35</f>
        <v>#DIV/0!</v>
      </c>
      <c r="AE35" s="6"/>
      <c r="AF35" s="580" t="e">
        <f>SUMPRODUCT(AF36:AF38,AH36:AH38)</f>
        <v>#DIV/0!</v>
      </c>
      <c r="AG35" s="580" t="e">
        <f>SUMPRODUCT(AG36:AG38,AI36:AI38)</f>
        <v>#DIV/0!</v>
      </c>
      <c r="AH35" s="596" t="e">
        <f>スコア入力!AC35</f>
        <v>#DIV/0!</v>
      </c>
      <c r="AI35" s="596" t="e">
        <f>スコア入力!AE35</f>
        <v>#DIV/0!</v>
      </c>
      <c r="AJ35" s="580" t="e">
        <f>SUMPRODUCT(AJ36:AJ38,AL36:AL38)</f>
        <v>#DIV/0!</v>
      </c>
      <c r="AK35" s="580" t="e">
        <f>SUMPRODUCT(AK36:AK38,AM36:AM38)</f>
        <v>#DIV/0!</v>
      </c>
      <c r="AL35" s="596" t="e">
        <f>スコア入力!AJ35</f>
        <v>#DIV/0!</v>
      </c>
      <c r="AM35" s="596" t="e">
        <f>スコア入力!AL35</f>
        <v>#DIV/0!</v>
      </c>
      <c r="AN35" s="582"/>
      <c r="AO35" s="582"/>
    </row>
    <row r="36" spans="2:41" ht="13.5">
      <c r="B36" s="288"/>
      <c r="C36" s="2401"/>
      <c r="D36" s="297">
        <v>1</v>
      </c>
      <c r="E36" s="317" t="s">
        <v>634</v>
      </c>
      <c r="F36" s="320"/>
      <c r="G36" s="320"/>
      <c r="H36" s="2966"/>
      <c r="I36" s="2967"/>
      <c r="J36" s="2967"/>
      <c r="K36" s="2968"/>
      <c r="L36" s="583" t="e">
        <f t="shared" si="5"/>
        <v>#DIV/0!</v>
      </c>
      <c r="M36" s="583" t="e">
        <f t="shared" si="6"/>
        <v>#DIV/0!</v>
      </c>
      <c r="N36" s="584" t="e">
        <f>スコア入力!AC36</f>
        <v>#DIV/0!</v>
      </c>
      <c r="O36" s="584" t="e">
        <f>スコア入力!AE36</f>
        <v>#DIV/0!</v>
      </c>
      <c r="P36" s="583" t="e">
        <f t="shared" si="7"/>
        <v>#DIV/0!</v>
      </c>
      <c r="Q36" s="583" t="e">
        <f t="shared" si="8"/>
        <v>#DIV/0!</v>
      </c>
      <c r="R36" s="584" t="e">
        <f>スコア入力!AJ36</f>
        <v>#DIV/0!</v>
      </c>
      <c r="S36" s="584" t="e">
        <f>スコア入力!AL36</f>
        <v>#DIV/0!</v>
      </c>
      <c r="T36" s="579"/>
      <c r="U36" s="579"/>
      <c r="W36" s="237">
        <f t="shared" si="1"/>
        <v>3</v>
      </c>
      <c r="X36" s="237">
        <f t="shared" si="2"/>
        <v>3</v>
      </c>
      <c r="Y36" s="236" t="e">
        <f>スコア入力!AA36</f>
        <v>#DIV/0!</v>
      </c>
      <c r="Z36" s="236" t="e">
        <f>スコア入力!AB36</f>
        <v>#DIV/0!</v>
      </c>
      <c r="AA36" s="237">
        <f t="shared" si="3"/>
        <v>3</v>
      </c>
      <c r="AB36" s="237">
        <f t="shared" si="4"/>
        <v>3</v>
      </c>
      <c r="AC36" s="236" t="e">
        <f>スコア入力!AH36</f>
        <v>#DIV/0!</v>
      </c>
      <c r="AD36" s="236" t="e">
        <f>スコア入力!AI36</f>
        <v>#DIV/0!</v>
      </c>
      <c r="AE36" s="6"/>
      <c r="AF36" s="585">
        <f>スコア入力!N36</f>
        <v>3</v>
      </c>
      <c r="AG36" s="585">
        <f>スコア入力!P36</f>
        <v>3</v>
      </c>
      <c r="AH36" s="584" t="e">
        <f>スコア入力!AC36</f>
        <v>#DIV/0!</v>
      </c>
      <c r="AI36" s="584" t="e">
        <f>スコア入力!AE36</f>
        <v>#DIV/0!</v>
      </c>
      <c r="AJ36" s="585">
        <f>スコア入力!U36</f>
        <v>3</v>
      </c>
      <c r="AK36" s="585">
        <f>スコア入力!W36</f>
        <v>3</v>
      </c>
      <c r="AL36" s="584" t="e">
        <f>スコア入力!AJ36</f>
        <v>#DIV/0!</v>
      </c>
      <c r="AM36" s="584" t="e">
        <f>スコア入力!AL36</f>
        <v>#DIV/0!</v>
      </c>
      <c r="AN36" s="579"/>
      <c r="AO36" s="579"/>
    </row>
    <row r="37" spans="2:41" ht="13.5">
      <c r="B37" s="288"/>
      <c r="C37" s="2401"/>
      <c r="D37" s="297">
        <v>2</v>
      </c>
      <c r="E37" s="317" t="s">
        <v>636</v>
      </c>
      <c r="F37" s="320"/>
      <c r="G37" s="320"/>
      <c r="H37" s="2966"/>
      <c r="I37" s="2967"/>
      <c r="J37" s="2967"/>
      <c r="K37" s="2968"/>
      <c r="L37" s="589" t="e">
        <f t="shared" si="5"/>
        <v>#DIV/0!</v>
      </c>
      <c r="M37" s="589" t="e">
        <f t="shared" si="6"/>
        <v>#DIV/0!</v>
      </c>
      <c r="N37" s="584" t="e">
        <f>スコア入力!AC37</f>
        <v>#DIV/0!</v>
      </c>
      <c r="O37" s="584" t="e">
        <f>スコア入力!AE37</f>
        <v>#DIV/0!</v>
      </c>
      <c r="P37" s="589" t="e">
        <f t="shared" si="7"/>
        <v>#DIV/0!</v>
      </c>
      <c r="Q37" s="589" t="e">
        <f t="shared" si="8"/>
        <v>#DIV/0!</v>
      </c>
      <c r="R37" s="584" t="e">
        <f>スコア入力!AJ37</f>
        <v>#DIV/0!</v>
      </c>
      <c r="S37" s="584" t="e">
        <f>スコア入力!AL37</f>
        <v>#DIV/0!</v>
      </c>
      <c r="T37" s="579"/>
      <c r="U37" s="579"/>
      <c r="W37" s="237">
        <f t="shared" si="1"/>
        <v>3</v>
      </c>
      <c r="X37" s="237">
        <f t="shared" si="2"/>
        <v>3</v>
      </c>
      <c r="Y37" s="236" t="e">
        <f>スコア入力!AA37</f>
        <v>#DIV/0!</v>
      </c>
      <c r="Z37" s="236" t="e">
        <f>スコア入力!AB37</f>
        <v>#DIV/0!</v>
      </c>
      <c r="AA37" s="237">
        <f t="shared" si="3"/>
        <v>3</v>
      </c>
      <c r="AB37" s="237">
        <f t="shared" si="4"/>
        <v>3</v>
      </c>
      <c r="AC37" s="236" t="e">
        <f>スコア入力!AH37</f>
        <v>#DIV/0!</v>
      </c>
      <c r="AD37" s="236" t="e">
        <f>スコア入力!AI37</f>
        <v>#DIV/0!</v>
      </c>
      <c r="AE37" s="6"/>
      <c r="AF37" s="420">
        <f>スコア入力!N37</f>
        <v>3</v>
      </c>
      <c r="AG37" s="420">
        <f>スコア入力!P37</f>
        <v>3</v>
      </c>
      <c r="AH37" s="584" t="e">
        <f>スコア入力!AC37</f>
        <v>#DIV/0!</v>
      </c>
      <c r="AI37" s="584" t="e">
        <f>スコア入力!AE37</f>
        <v>#DIV/0!</v>
      </c>
      <c r="AJ37" s="420">
        <f>スコア入力!U37</f>
        <v>3</v>
      </c>
      <c r="AK37" s="420">
        <f>スコア入力!W37</f>
        <v>3</v>
      </c>
      <c r="AL37" s="584" t="e">
        <f>スコア入力!AJ37</f>
        <v>#DIV/0!</v>
      </c>
      <c r="AM37" s="584" t="e">
        <f>スコア入力!AL37</f>
        <v>#DIV/0!</v>
      </c>
      <c r="AN37" s="579"/>
      <c r="AO37" s="579"/>
    </row>
    <row r="38" spans="2:41" ht="14.25" thickBot="1">
      <c r="B38" s="288"/>
      <c r="C38" s="2405"/>
      <c r="D38" s="297">
        <v>3</v>
      </c>
      <c r="E38" s="317" t="s">
        <v>638</v>
      </c>
      <c r="F38" s="320"/>
      <c r="G38" s="320"/>
      <c r="H38" s="2966"/>
      <c r="I38" s="2967"/>
      <c r="J38" s="2967"/>
      <c r="K38" s="2968"/>
      <c r="L38" s="586" t="e">
        <f t="shared" si="5"/>
        <v>#DIV/0!</v>
      </c>
      <c r="M38" s="586" t="e">
        <f t="shared" si="6"/>
        <v>#DIV/0!</v>
      </c>
      <c r="N38" s="584" t="e">
        <f>スコア入力!AC38</f>
        <v>#DIV/0!</v>
      </c>
      <c r="O38" s="584" t="e">
        <f>スコア入力!AE38</f>
        <v>#DIV/0!</v>
      </c>
      <c r="P38" s="586" t="e">
        <f t="shared" si="7"/>
        <v>#DIV/0!</v>
      </c>
      <c r="Q38" s="586" t="e">
        <f t="shared" si="8"/>
        <v>#DIV/0!</v>
      </c>
      <c r="R38" s="584" t="e">
        <f>スコア入力!AJ38</f>
        <v>#DIV/0!</v>
      </c>
      <c r="S38" s="584" t="e">
        <f>スコア入力!AL38</f>
        <v>#DIV/0!</v>
      </c>
      <c r="T38" s="579"/>
      <c r="U38" s="579"/>
      <c r="W38" s="237">
        <f t="shared" si="1"/>
        <v>3</v>
      </c>
      <c r="X38" s="237">
        <f t="shared" si="2"/>
        <v>3</v>
      </c>
      <c r="Y38" s="236" t="e">
        <f>スコア入力!AA38</f>
        <v>#DIV/0!</v>
      </c>
      <c r="Z38" s="236" t="e">
        <f>スコア入力!AB38</f>
        <v>#DIV/0!</v>
      </c>
      <c r="AA38" s="237">
        <f t="shared" si="3"/>
        <v>3</v>
      </c>
      <c r="AB38" s="237">
        <f t="shared" si="4"/>
        <v>3</v>
      </c>
      <c r="AC38" s="236" t="e">
        <f>スコア入力!AH38</f>
        <v>#DIV/0!</v>
      </c>
      <c r="AD38" s="236" t="e">
        <f>スコア入力!AI38</f>
        <v>#DIV/0!</v>
      </c>
      <c r="AE38" s="6"/>
      <c r="AF38" s="587">
        <f>スコア入力!N38</f>
        <v>3</v>
      </c>
      <c r="AG38" s="587">
        <f>スコア入力!P38</f>
        <v>3</v>
      </c>
      <c r="AH38" s="584" t="e">
        <f>スコア入力!AC38</f>
        <v>#DIV/0!</v>
      </c>
      <c r="AI38" s="584" t="e">
        <f>スコア入力!AE38</f>
        <v>#DIV/0!</v>
      </c>
      <c r="AJ38" s="587">
        <f>スコア入力!U38</f>
        <v>3</v>
      </c>
      <c r="AK38" s="587">
        <f>スコア入力!W38</f>
        <v>3</v>
      </c>
      <c r="AL38" s="584" t="e">
        <f>スコア入力!AJ38</f>
        <v>#DIV/0!</v>
      </c>
      <c r="AM38" s="584" t="e">
        <f>スコア入力!AL38</f>
        <v>#DIV/0!</v>
      </c>
      <c r="AN38" s="579"/>
      <c r="AO38" s="579"/>
    </row>
    <row r="39" spans="2:41" ht="14.25" thickBot="1">
      <c r="B39" s="331"/>
      <c r="C39" s="308">
        <v>3.2</v>
      </c>
      <c r="D39" s="290" t="s">
        <v>640</v>
      </c>
      <c r="E39" s="370"/>
      <c r="F39" s="370"/>
      <c r="G39" s="370"/>
      <c r="H39" s="2966"/>
      <c r="I39" s="2967"/>
      <c r="J39" s="2967"/>
      <c r="K39" s="3010"/>
      <c r="L39" s="588" t="e">
        <f t="shared" si="5"/>
        <v>#DIV/0!</v>
      </c>
      <c r="M39" s="597" t="e">
        <f t="shared" si="6"/>
        <v>#DIV/0!</v>
      </c>
      <c r="N39" s="578" t="e">
        <f>スコア入力!AC39</f>
        <v>#DIV/0!</v>
      </c>
      <c r="O39" s="578" t="e">
        <f>スコア入力!AE39</f>
        <v>#DIV/0!</v>
      </c>
      <c r="P39" s="597" t="e">
        <f t="shared" si="7"/>
        <v>#DIV/0!</v>
      </c>
      <c r="Q39" s="597" t="e">
        <f t="shared" si="8"/>
        <v>#DIV/0!</v>
      </c>
      <c r="R39" s="578" t="e">
        <f>スコア入力!AJ39</f>
        <v>#DIV/0!</v>
      </c>
      <c r="S39" s="578" t="e">
        <f>スコア入力!AL39</f>
        <v>#DIV/0!</v>
      </c>
      <c r="T39" s="579"/>
      <c r="U39" s="579"/>
      <c r="W39" s="568" t="e">
        <f t="shared" si="1"/>
        <v>#DIV/0!</v>
      </c>
      <c r="X39" s="568" t="e">
        <f t="shared" si="2"/>
        <v>#DIV/0!</v>
      </c>
      <c r="Y39" s="236" t="e">
        <f>スコア入力!AA39</f>
        <v>#DIV/0!</v>
      </c>
      <c r="Z39" s="236" t="e">
        <f>スコア入力!AB39</f>
        <v>#DIV/0!</v>
      </c>
      <c r="AA39" s="568" t="e">
        <f t="shared" si="3"/>
        <v>#DIV/0!</v>
      </c>
      <c r="AB39" s="568" t="e">
        <f t="shared" si="4"/>
        <v>#DIV/0!</v>
      </c>
      <c r="AC39" s="236" t="e">
        <f>スコア入力!AH39</f>
        <v>#DIV/0!</v>
      </c>
      <c r="AD39" s="236" t="e">
        <f>スコア入力!AI39</f>
        <v>#DIV/0!</v>
      </c>
      <c r="AE39" s="6"/>
      <c r="AF39" s="597" t="e">
        <f>SUMPRODUCT(AF40:AF42,AH40:AH42)</f>
        <v>#DIV/0!</v>
      </c>
      <c r="AG39" s="597" t="e">
        <f>SUMPRODUCT(AG40:AG42,AI40:AI42)</f>
        <v>#DIV/0!</v>
      </c>
      <c r="AH39" s="578" t="e">
        <f>スコア入力!AC39</f>
        <v>#DIV/0!</v>
      </c>
      <c r="AI39" s="578" t="e">
        <f>スコア入力!AE39</f>
        <v>#DIV/0!</v>
      </c>
      <c r="AJ39" s="597" t="e">
        <f>SUMPRODUCT(AJ40:AJ42,AL40:AL42)</f>
        <v>#DIV/0!</v>
      </c>
      <c r="AK39" s="597" t="e">
        <f>SUMPRODUCT(AK40:AK42,AM40:AM42)</f>
        <v>#DIV/0!</v>
      </c>
      <c r="AL39" s="578" t="e">
        <f>スコア入力!AJ39</f>
        <v>#DIV/0!</v>
      </c>
      <c r="AM39" s="578" t="e">
        <f>スコア入力!AL39</f>
        <v>#DIV/0!</v>
      </c>
      <c r="AN39" s="579"/>
      <c r="AO39" s="579"/>
    </row>
    <row r="40" spans="2:41" ht="13.5" hidden="1">
      <c r="B40" s="331"/>
      <c r="C40" s="2401"/>
      <c r="D40" s="2106">
        <v>1</v>
      </c>
      <c r="E40" s="2082" t="s">
        <v>643</v>
      </c>
      <c r="F40" s="320"/>
      <c r="G40" s="320"/>
      <c r="H40" s="2966"/>
      <c r="I40" s="2967"/>
      <c r="J40" s="2967"/>
      <c r="K40" s="2968"/>
      <c r="L40" s="583" t="e">
        <f t="shared" ref="L40:M42" si="9">IF(Y40=0,0,ROUNDDOWN(AF40,1))</f>
        <v>#DIV/0!</v>
      </c>
      <c r="M40" s="583" t="e">
        <f t="shared" si="9"/>
        <v>#DIV/0!</v>
      </c>
      <c r="N40" s="584" t="e">
        <f>スコア入力!AC40</f>
        <v>#DIV/0!</v>
      </c>
      <c r="O40" s="584" t="e">
        <f>スコア入力!AE40</f>
        <v>#DIV/0!</v>
      </c>
      <c r="P40" s="583" t="e">
        <f t="shared" ref="P40:Q42" si="10">IF(AC40=0,0,ROUNDDOWN(AJ40,1))</f>
        <v>#DIV/0!</v>
      </c>
      <c r="Q40" s="583" t="e">
        <f t="shared" si="10"/>
        <v>#DIV/0!</v>
      </c>
      <c r="R40" s="584" t="e">
        <f>スコア入力!AJ40</f>
        <v>#DIV/0!</v>
      </c>
      <c r="S40" s="584" t="e">
        <f>スコア入力!AL40</f>
        <v>#DIV/0!</v>
      </c>
      <c r="T40" s="579"/>
      <c r="U40" s="579"/>
      <c r="W40" s="237">
        <f t="shared" si="1"/>
        <v>0</v>
      </c>
      <c r="X40" s="237">
        <f t="shared" si="2"/>
        <v>0</v>
      </c>
      <c r="Y40" s="236" t="e">
        <f>スコア入力!AA40</f>
        <v>#DIV/0!</v>
      </c>
      <c r="Z40" s="236" t="e">
        <f>スコア入力!AB40</f>
        <v>#DIV/0!</v>
      </c>
      <c r="AA40" s="237">
        <f t="shared" si="3"/>
        <v>0</v>
      </c>
      <c r="AB40" s="237">
        <f t="shared" si="4"/>
        <v>0</v>
      </c>
      <c r="AC40" s="236" t="e">
        <f>スコア入力!AH40</f>
        <v>#DIV/0!</v>
      </c>
      <c r="AD40" s="236" t="e">
        <f>スコア入力!AI40</f>
        <v>#DIV/0!</v>
      </c>
      <c r="AE40" s="6"/>
      <c r="AF40" s="585">
        <f>スコア入力!N40</f>
        <v>0</v>
      </c>
      <c r="AG40" s="585">
        <f>スコア入力!P40</f>
        <v>0</v>
      </c>
      <c r="AH40" s="584" t="e">
        <f>スコア入力!AC40</f>
        <v>#DIV/0!</v>
      </c>
      <c r="AI40" s="584" t="e">
        <f>スコア入力!AE40</f>
        <v>#DIV/0!</v>
      </c>
      <c r="AJ40" s="585">
        <f>スコア入力!U40</f>
        <v>0</v>
      </c>
      <c r="AK40" s="585">
        <f>スコア入力!W40</f>
        <v>0</v>
      </c>
      <c r="AL40" s="584" t="e">
        <f>スコア入力!AJ40</f>
        <v>#DIV/0!</v>
      </c>
      <c r="AM40" s="584" t="e">
        <f>スコア入力!AL40</f>
        <v>#DIV/0!</v>
      </c>
      <c r="AN40" s="579"/>
      <c r="AO40" s="579"/>
    </row>
    <row r="41" spans="2:41" ht="13.5">
      <c r="B41" s="331"/>
      <c r="C41" s="2401"/>
      <c r="D41" s="297">
        <v>1</v>
      </c>
      <c r="E41" s="317" t="s">
        <v>645</v>
      </c>
      <c r="F41" s="320"/>
      <c r="G41" s="320"/>
      <c r="H41" s="2966"/>
      <c r="I41" s="2967"/>
      <c r="J41" s="2967"/>
      <c r="K41" s="2968"/>
      <c r="L41" s="583" t="e">
        <f t="shared" si="9"/>
        <v>#DIV/0!</v>
      </c>
      <c r="M41" s="583" t="e">
        <f t="shared" si="9"/>
        <v>#DIV/0!</v>
      </c>
      <c r="N41" s="584" t="e">
        <f>スコア入力!AC41</f>
        <v>#DIV/0!</v>
      </c>
      <c r="O41" s="584" t="e">
        <f>スコア入力!AE41</f>
        <v>#DIV/0!</v>
      </c>
      <c r="P41" s="583" t="e">
        <f t="shared" si="10"/>
        <v>#DIV/0!</v>
      </c>
      <c r="Q41" s="583" t="e">
        <f t="shared" si="10"/>
        <v>#DIV/0!</v>
      </c>
      <c r="R41" s="584" t="e">
        <f>スコア入力!AJ41</f>
        <v>#DIV/0!</v>
      </c>
      <c r="S41" s="584" t="e">
        <f>スコア入力!AL41</f>
        <v>#DIV/0!</v>
      </c>
      <c r="T41" s="579"/>
      <c r="U41" s="579"/>
      <c r="W41" s="237">
        <f t="shared" ref="W41:W60" si="11">AF41</f>
        <v>3</v>
      </c>
      <c r="X41" s="237">
        <f t="shared" ref="X41:X60" si="12">AG41</f>
        <v>3</v>
      </c>
      <c r="Y41" s="236" t="e">
        <f>スコア入力!AA41</f>
        <v>#DIV/0!</v>
      </c>
      <c r="Z41" s="236" t="e">
        <f>スコア入力!AB41</f>
        <v>#DIV/0!</v>
      </c>
      <c r="AA41" s="237">
        <f t="shared" ref="AA41:AA73" si="13">AJ41</f>
        <v>3</v>
      </c>
      <c r="AB41" s="237">
        <f t="shared" ref="AB41:AB73" si="14">AK41</f>
        <v>3</v>
      </c>
      <c r="AC41" s="236" t="e">
        <f>スコア入力!AH41</f>
        <v>#DIV/0!</v>
      </c>
      <c r="AD41" s="236" t="e">
        <f>スコア入力!AI41</f>
        <v>#DIV/0!</v>
      </c>
      <c r="AE41" s="6"/>
      <c r="AF41" s="420">
        <f>スコア入力!N41</f>
        <v>3</v>
      </c>
      <c r="AG41" s="420">
        <f>スコア入力!P41</f>
        <v>3</v>
      </c>
      <c r="AH41" s="584" t="e">
        <f>スコア入力!AC41</f>
        <v>#DIV/0!</v>
      </c>
      <c r="AI41" s="584" t="e">
        <f>スコア入力!AE41</f>
        <v>#DIV/0!</v>
      </c>
      <c r="AJ41" s="420">
        <f>スコア入力!U41</f>
        <v>3</v>
      </c>
      <c r="AK41" s="420">
        <f>スコア入力!W41</f>
        <v>3</v>
      </c>
      <c r="AL41" s="584" t="e">
        <f>スコア入力!AJ41</f>
        <v>#DIV/0!</v>
      </c>
      <c r="AM41" s="584" t="e">
        <f>スコア入力!AL41</f>
        <v>#DIV/0!</v>
      </c>
      <c r="AN41" s="579"/>
      <c r="AO41" s="579"/>
    </row>
    <row r="42" spans="2:41" ht="14.25" thickBot="1">
      <c r="B42" s="331"/>
      <c r="C42" s="2405"/>
      <c r="D42" s="297">
        <v>2</v>
      </c>
      <c r="E42" s="317" t="s">
        <v>844</v>
      </c>
      <c r="F42" s="370"/>
      <c r="G42" s="370"/>
      <c r="H42" s="2966"/>
      <c r="I42" s="2967"/>
      <c r="J42" s="2967"/>
      <c r="K42" s="2968"/>
      <c r="L42" s="589" t="e">
        <f t="shared" si="9"/>
        <v>#DIV/0!</v>
      </c>
      <c r="M42" s="589" t="e">
        <f t="shared" si="9"/>
        <v>#DIV/0!</v>
      </c>
      <c r="N42" s="584" t="e">
        <f>スコア入力!AC42</f>
        <v>#DIV/0!</v>
      </c>
      <c r="O42" s="584" t="e">
        <f>スコア入力!AE42</f>
        <v>#DIV/0!</v>
      </c>
      <c r="P42" s="589" t="e">
        <f t="shared" si="10"/>
        <v>#DIV/0!</v>
      </c>
      <c r="Q42" s="589" t="e">
        <f t="shared" si="10"/>
        <v>#DIV/0!</v>
      </c>
      <c r="R42" s="584" t="e">
        <f>スコア入力!AJ42</f>
        <v>#DIV/0!</v>
      </c>
      <c r="S42" s="584" t="e">
        <f>スコア入力!AL42</f>
        <v>#DIV/0!</v>
      </c>
      <c r="T42" s="579"/>
      <c r="U42" s="579"/>
      <c r="W42" s="237">
        <f>AF42</f>
        <v>3</v>
      </c>
      <c r="X42" s="237">
        <f>AG42</f>
        <v>3</v>
      </c>
      <c r="Y42" s="236" t="e">
        <f>スコア入力!AA42</f>
        <v>#DIV/0!</v>
      </c>
      <c r="Z42" s="236" t="e">
        <f>スコア入力!AB42</f>
        <v>#DIV/0!</v>
      </c>
      <c r="AA42" s="237">
        <f>AJ42</f>
        <v>3</v>
      </c>
      <c r="AB42" s="237">
        <f>AK42</f>
        <v>3</v>
      </c>
      <c r="AC42" s="236" t="e">
        <f>スコア入力!AH42</f>
        <v>#DIV/0!</v>
      </c>
      <c r="AD42" s="236" t="e">
        <f>スコア入力!AI42</f>
        <v>#DIV/0!</v>
      </c>
      <c r="AE42" s="6"/>
      <c r="AF42" s="587">
        <f>スコア入力!N42</f>
        <v>3</v>
      </c>
      <c r="AG42" s="587">
        <f>スコア入力!P42</f>
        <v>3</v>
      </c>
      <c r="AH42" s="584" t="e">
        <f>スコア入力!AC42</f>
        <v>#DIV/0!</v>
      </c>
      <c r="AI42" s="584" t="e">
        <f>スコア入力!AE42</f>
        <v>#DIV/0!</v>
      </c>
      <c r="AJ42" s="587">
        <f>スコア入力!U42</f>
        <v>3</v>
      </c>
      <c r="AK42" s="587">
        <f>スコア入力!W42</f>
        <v>3</v>
      </c>
      <c r="AL42" s="584" t="e">
        <f>スコア入力!AJ42</f>
        <v>#DIV/0!</v>
      </c>
      <c r="AM42" s="584" t="e">
        <f>スコア入力!AL42</f>
        <v>#DIV/0!</v>
      </c>
      <c r="AN42" s="579"/>
      <c r="AO42" s="579"/>
    </row>
    <row r="43" spans="2:41" ht="14.25" thickBot="1">
      <c r="B43" s="340"/>
      <c r="C43" s="289">
        <v>3.3</v>
      </c>
      <c r="D43" s="326" t="s">
        <v>646</v>
      </c>
      <c r="E43" s="326"/>
      <c r="F43" s="326"/>
      <c r="G43" s="326"/>
      <c r="H43" s="2966"/>
      <c r="I43" s="2967"/>
      <c r="J43" s="2967"/>
      <c r="K43" s="3010"/>
      <c r="L43" s="457" t="e">
        <f t="shared" ref="L43:L60" si="15">IF(Y43=0,0,ROUNDDOWN(AF43,1))</f>
        <v>#DIV/0!</v>
      </c>
      <c r="M43" s="457" t="e">
        <f t="shared" ref="M43:M60" si="16">IF(Z43=0,0,ROUNDDOWN(AG43,1))</f>
        <v>#DIV/0!</v>
      </c>
      <c r="N43" s="584" t="e">
        <f>スコア入力!AC43</f>
        <v>#DIV/0!</v>
      </c>
      <c r="O43" s="584" t="e">
        <f>スコア入力!AE43</f>
        <v>#DIV/0!</v>
      </c>
      <c r="P43" s="457" t="e">
        <f t="shared" ref="P43:P60" si="17">IF(AC43=0,0,ROUNDDOWN(AJ43,1))</f>
        <v>#DIV/0!</v>
      </c>
      <c r="Q43" s="457" t="e">
        <f t="shared" ref="Q43:Q60" si="18">IF(AD43=0,0,ROUNDDOWN(AK43,1))</f>
        <v>#DIV/0!</v>
      </c>
      <c r="R43" s="584" t="e">
        <f>スコア入力!AJ43</f>
        <v>#DIV/0!</v>
      </c>
      <c r="S43" s="584" t="e">
        <f>スコア入力!AL43</f>
        <v>#DIV/0!</v>
      </c>
      <c r="T43" s="579"/>
      <c r="U43" s="579"/>
      <c r="W43" s="237">
        <f>AF43</f>
        <v>3</v>
      </c>
      <c r="X43" s="237">
        <f>AG43</f>
        <v>3</v>
      </c>
      <c r="Y43" s="236" t="e">
        <f>スコア入力!AA43</f>
        <v>#DIV/0!</v>
      </c>
      <c r="Z43" s="236" t="e">
        <f>スコア入力!AB43</f>
        <v>#DIV/0!</v>
      </c>
      <c r="AA43" s="237">
        <f>AJ43</f>
        <v>3</v>
      </c>
      <c r="AB43" s="237">
        <f>AK43</f>
        <v>3</v>
      </c>
      <c r="AC43" s="236" t="e">
        <f>スコア入力!AH43</f>
        <v>#DIV/0!</v>
      </c>
      <c r="AD43" s="236" t="e">
        <f>スコア入力!AI43</f>
        <v>#DIV/0!</v>
      </c>
      <c r="AE43" s="6"/>
      <c r="AF43" s="600">
        <f>スコア入力!N43</f>
        <v>3</v>
      </c>
      <c r="AG43" s="600">
        <f>スコア入力!P43</f>
        <v>3</v>
      </c>
      <c r="AH43" s="584" t="e">
        <f>スコア入力!AC43</f>
        <v>#DIV/0!</v>
      </c>
      <c r="AI43" s="584" t="e">
        <f>スコア入力!AE43</f>
        <v>#DIV/0!</v>
      </c>
      <c r="AJ43" s="600">
        <f>スコア入力!U43</f>
        <v>3</v>
      </c>
      <c r="AK43" s="600">
        <f>スコア入力!W43</f>
        <v>3</v>
      </c>
      <c r="AL43" s="584" t="e">
        <f>スコア入力!AJ43</f>
        <v>#DIV/0!</v>
      </c>
      <c r="AM43" s="584" t="e">
        <f>スコア入力!AL43</f>
        <v>#DIV/0!</v>
      </c>
      <c r="AN43" s="579"/>
      <c r="AO43" s="579"/>
    </row>
    <row r="44" spans="2:41" ht="14.25" hidden="1" thickBot="1">
      <c r="B44" s="340"/>
      <c r="C44" s="2406"/>
      <c r="D44" s="2106">
        <v>1</v>
      </c>
      <c r="E44" s="2082" t="s">
        <v>1761</v>
      </c>
      <c r="F44" s="320"/>
      <c r="G44" s="320"/>
      <c r="H44" s="2966"/>
      <c r="I44" s="2967"/>
      <c r="J44" s="2967"/>
      <c r="K44" s="2968"/>
      <c r="L44" s="586" t="e">
        <f t="shared" si="15"/>
        <v>#DIV/0!</v>
      </c>
      <c r="M44" s="586">
        <f t="shared" si="16"/>
        <v>0</v>
      </c>
      <c r="N44" s="584" t="e">
        <f>スコア入力!AC44</f>
        <v>#DIV/0!</v>
      </c>
      <c r="O44" s="584">
        <f>スコア入力!AE44</f>
        <v>0</v>
      </c>
      <c r="P44" s="586" t="e">
        <f t="shared" si="17"/>
        <v>#DIV/0!</v>
      </c>
      <c r="Q44" s="586">
        <f t="shared" si="18"/>
        <v>0</v>
      </c>
      <c r="R44" s="584" t="e">
        <f>スコア入力!AJ44</f>
        <v>#DIV/0!</v>
      </c>
      <c r="S44" s="584">
        <f>スコア入力!AL44</f>
        <v>0</v>
      </c>
      <c r="T44" s="579"/>
      <c r="U44" s="579"/>
      <c r="W44" s="237">
        <f t="shared" si="11"/>
        <v>0</v>
      </c>
      <c r="X44" s="237">
        <f t="shared" si="12"/>
        <v>0</v>
      </c>
      <c r="Y44" s="236" t="e">
        <f>スコア入力!AA44</f>
        <v>#DIV/0!</v>
      </c>
      <c r="Z44" s="236">
        <f>スコア入力!AB44</f>
        <v>0</v>
      </c>
      <c r="AA44" s="237">
        <f t="shared" si="13"/>
        <v>0</v>
      </c>
      <c r="AB44" s="237">
        <f t="shared" si="14"/>
        <v>0</v>
      </c>
      <c r="AC44" s="236" t="e">
        <f>スコア入力!AH44</f>
        <v>#DIV/0!</v>
      </c>
      <c r="AD44" s="236">
        <f>スコア入力!AI44</f>
        <v>0</v>
      </c>
      <c r="AE44" s="6"/>
      <c r="AF44" s="585">
        <f>スコア入力!N44</f>
        <v>0</v>
      </c>
      <c r="AG44" s="585">
        <f>スコア入力!P44</f>
        <v>0</v>
      </c>
      <c r="AH44" s="584" t="e">
        <f>スコア入力!AC44</f>
        <v>#DIV/0!</v>
      </c>
      <c r="AI44" s="584">
        <f>スコア入力!AE44</f>
        <v>0</v>
      </c>
      <c r="AJ44" s="585">
        <f>スコア入力!U44</f>
        <v>0</v>
      </c>
      <c r="AK44" s="585">
        <f>スコア入力!W44</f>
        <v>0</v>
      </c>
      <c r="AL44" s="584" t="e">
        <f>スコア入力!AJ44</f>
        <v>#DIV/0!</v>
      </c>
      <c r="AM44" s="584">
        <f>スコア入力!AL44</f>
        <v>0</v>
      </c>
      <c r="AN44" s="579"/>
      <c r="AO44" s="579"/>
    </row>
    <row r="45" spans="2:41" ht="13.5" hidden="1">
      <c r="B45" s="340"/>
      <c r="C45" s="2407"/>
      <c r="D45" s="2106">
        <v>2</v>
      </c>
      <c r="E45" s="2082" t="s">
        <v>1762</v>
      </c>
      <c r="F45" s="320"/>
      <c r="G45" s="320"/>
      <c r="H45" s="2966"/>
      <c r="I45" s="2967"/>
      <c r="J45" s="2967"/>
      <c r="K45" s="2968"/>
      <c r="L45" s="589" t="e">
        <f t="shared" si="15"/>
        <v>#DIV/0!</v>
      </c>
      <c r="M45" s="589">
        <f t="shared" si="16"/>
        <v>0</v>
      </c>
      <c r="N45" s="584" t="e">
        <f>スコア入力!AC45</f>
        <v>#DIV/0!</v>
      </c>
      <c r="O45" s="584">
        <f>スコア入力!AE45</f>
        <v>0</v>
      </c>
      <c r="P45" s="589" t="e">
        <f t="shared" si="17"/>
        <v>#DIV/0!</v>
      </c>
      <c r="Q45" s="589">
        <f t="shared" si="18"/>
        <v>0</v>
      </c>
      <c r="R45" s="584" t="e">
        <f>スコア入力!AJ45</f>
        <v>#DIV/0!</v>
      </c>
      <c r="S45" s="584">
        <f>スコア入力!AL45</f>
        <v>0</v>
      </c>
      <c r="T45" s="579"/>
      <c r="U45" s="579"/>
      <c r="W45" s="237">
        <f t="shared" si="11"/>
        <v>0</v>
      </c>
      <c r="X45" s="237">
        <f t="shared" si="12"/>
        <v>0</v>
      </c>
      <c r="Y45" s="236" t="e">
        <f>スコア入力!AA45</f>
        <v>#DIV/0!</v>
      </c>
      <c r="Z45" s="236">
        <f>スコア入力!AB45</f>
        <v>0</v>
      </c>
      <c r="AA45" s="237">
        <f t="shared" si="13"/>
        <v>0</v>
      </c>
      <c r="AB45" s="237">
        <f t="shared" si="14"/>
        <v>0</v>
      </c>
      <c r="AC45" s="236" t="e">
        <f>スコア入力!AH45</f>
        <v>#DIV/0!</v>
      </c>
      <c r="AD45" s="236">
        <f>スコア入力!AI45</f>
        <v>0</v>
      </c>
      <c r="AE45" s="6"/>
      <c r="AF45" s="420">
        <f>スコア入力!N45</f>
        <v>0</v>
      </c>
      <c r="AG45" s="420">
        <f>スコア入力!P45</f>
        <v>0</v>
      </c>
      <c r="AH45" s="584" t="e">
        <f>スコア入力!AC45</f>
        <v>#DIV/0!</v>
      </c>
      <c r="AI45" s="584">
        <f>スコア入力!AE45</f>
        <v>0</v>
      </c>
      <c r="AJ45" s="420">
        <f>スコア入力!U45</f>
        <v>0</v>
      </c>
      <c r="AK45" s="420">
        <f>スコア入力!W45</f>
        <v>0</v>
      </c>
      <c r="AL45" s="584" t="e">
        <f>スコア入力!AJ45</f>
        <v>#DIV/0!</v>
      </c>
      <c r="AM45" s="584">
        <f>スコア入力!AL45</f>
        <v>0</v>
      </c>
      <c r="AN45" s="579"/>
      <c r="AO45" s="579"/>
    </row>
    <row r="46" spans="2:41" ht="14.25" thickBot="1">
      <c r="B46" s="344"/>
      <c r="C46" s="316">
        <v>3.4</v>
      </c>
      <c r="D46" s="2949" t="s">
        <v>647</v>
      </c>
      <c r="E46" s="2950"/>
      <c r="F46" s="320"/>
      <c r="G46" s="320"/>
      <c r="H46" s="2993"/>
      <c r="I46" s="2994"/>
      <c r="J46" s="2994"/>
      <c r="K46" s="2995"/>
      <c r="L46" s="458" t="e">
        <f t="shared" si="15"/>
        <v>#DIV/0!</v>
      </c>
      <c r="M46" s="458" t="e">
        <f t="shared" si="16"/>
        <v>#DIV/0!</v>
      </c>
      <c r="N46" s="584" t="e">
        <f>スコア入力!AC46</f>
        <v>#DIV/0!</v>
      </c>
      <c r="O46" s="584" t="e">
        <f>スコア入力!AE46</f>
        <v>#DIV/0!</v>
      </c>
      <c r="P46" s="458" t="e">
        <f t="shared" si="17"/>
        <v>#DIV/0!</v>
      </c>
      <c r="Q46" s="458" t="e">
        <f t="shared" si="18"/>
        <v>#DIV/0!</v>
      </c>
      <c r="R46" s="584" t="e">
        <f>スコア入力!AJ46</f>
        <v>#DIV/0!</v>
      </c>
      <c r="S46" s="584" t="e">
        <f>スコア入力!AL46</f>
        <v>#DIV/0!</v>
      </c>
      <c r="T46" s="579"/>
      <c r="U46" s="579"/>
      <c r="W46" s="237">
        <f>AF46</f>
        <v>3</v>
      </c>
      <c r="X46" s="237">
        <f t="shared" si="12"/>
        <v>3</v>
      </c>
      <c r="Y46" s="236" t="e">
        <f>スコア入力!AA46</f>
        <v>#DIV/0!</v>
      </c>
      <c r="Z46" s="236" t="e">
        <f>スコア入力!AB46</f>
        <v>#DIV/0!</v>
      </c>
      <c r="AA46" s="237">
        <f t="shared" si="13"/>
        <v>3</v>
      </c>
      <c r="AB46" s="237">
        <f t="shared" si="14"/>
        <v>3</v>
      </c>
      <c r="AC46" s="236" t="e">
        <f>スコア入力!AH46</f>
        <v>#DIV/0!</v>
      </c>
      <c r="AD46" s="236" t="e">
        <f>スコア入力!AI46</f>
        <v>#DIV/0!</v>
      </c>
      <c r="AE46" s="6"/>
      <c r="AF46" s="600">
        <f>スコア入力!N46</f>
        <v>3</v>
      </c>
      <c r="AG46" s="600">
        <f>スコア入力!P46</f>
        <v>3</v>
      </c>
      <c r="AH46" s="584" t="e">
        <f>スコア入力!AC46</f>
        <v>#DIV/0!</v>
      </c>
      <c r="AI46" s="584" t="e">
        <f>スコア入力!AE46</f>
        <v>#DIV/0!</v>
      </c>
      <c r="AJ46" s="600">
        <f>スコア入力!U46</f>
        <v>3</v>
      </c>
      <c r="AK46" s="600">
        <f>スコア入力!W46</f>
        <v>3</v>
      </c>
      <c r="AL46" s="584" t="e">
        <f>スコア入力!AJ46</f>
        <v>#DIV/0!</v>
      </c>
      <c r="AM46" s="584" t="e">
        <f>スコア入力!AL46</f>
        <v>#DIV/0!</v>
      </c>
      <c r="AN46" s="579"/>
      <c r="AO46" s="579"/>
    </row>
    <row r="47" spans="2:41" ht="13.5">
      <c r="B47" s="388">
        <v>4</v>
      </c>
      <c r="C47" s="319" t="s">
        <v>648</v>
      </c>
      <c r="D47" s="389"/>
      <c r="E47" s="370"/>
      <c r="F47" s="577"/>
      <c r="G47" s="577"/>
      <c r="H47" s="3005"/>
      <c r="I47" s="3006"/>
      <c r="J47" s="3006"/>
      <c r="K47" s="3007"/>
      <c r="L47" s="593" t="e">
        <f t="shared" si="15"/>
        <v>#DIV/0!</v>
      </c>
      <c r="M47" s="593" t="e">
        <f t="shared" si="16"/>
        <v>#DIV/0!</v>
      </c>
      <c r="N47" s="592" t="e">
        <f>スコア入力!AC47</f>
        <v>#DIV/0!</v>
      </c>
      <c r="O47" s="592" t="e">
        <f>スコア入力!AE47</f>
        <v>#DIV/0!</v>
      </c>
      <c r="P47" s="593" t="e">
        <f t="shared" si="17"/>
        <v>#DIV/0!</v>
      </c>
      <c r="Q47" s="593" t="e">
        <f t="shared" si="18"/>
        <v>#DIV/0!</v>
      </c>
      <c r="R47" s="592"/>
      <c r="S47" s="592"/>
      <c r="T47" s="594" t="e">
        <f>ROUNDDOWN(AN47,1)</f>
        <v>#DIV/0!</v>
      </c>
      <c r="U47" s="594" t="e">
        <f>ROUNDDOWN(AO47,1)</f>
        <v>#DIV/0!</v>
      </c>
      <c r="W47" s="568" t="e">
        <f t="shared" si="11"/>
        <v>#DIV/0!</v>
      </c>
      <c r="X47" s="568" t="e">
        <f t="shared" si="12"/>
        <v>#DIV/0!</v>
      </c>
      <c r="Y47" s="236" t="e">
        <f>スコア入力!AA47</f>
        <v>#DIV/0!</v>
      </c>
      <c r="Z47" s="236" t="e">
        <f>スコア入力!AB47</f>
        <v>#DIV/0!</v>
      </c>
      <c r="AA47" s="568" t="e">
        <f t="shared" si="13"/>
        <v>#DIV/0!</v>
      </c>
      <c r="AB47" s="568" t="e">
        <f t="shared" si="14"/>
        <v>#DIV/0!</v>
      </c>
      <c r="AC47" s="236">
        <f>スコア入力!AH47</f>
        <v>1</v>
      </c>
      <c r="AD47" s="236" t="e">
        <f>スコア入力!AI47</f>
        <v>#DIV/0!</v>
      </c>
      <c r="AE47" s="6"/>
      <c r="AF47" s="593" t="e">
        <f>AF48*AH48+AF53*AH53+AF58*AH58</f>
        <v>#DIV/0!</v>
      </c>
      <c r="AG47" s="593" t="e">
        <f>AG48*AI48+AG53*AI53+AG58*AI58</f>
        <v>#DIV/0!</v>
      </c>
      <c r="AH47" s="592" t="e">
        <f>スコア入力!AC47</f>
        <v>#DIV/0!</v>
      </c>
      <c r="AI47" s="592" t="e">
        <f>スコア入力!AE47</f>
        <v>#DIV/0!</v>
      </c>
      <c r="AJ47" s="593" t="e">
        <f>AJ48*AL48+AJ53*AL53+AJ58*AL58</f>
        <v>#DIV/0!</v>
      </c>
      <c r="AK47" s="593" t="e">
        <f>AK48*AM48+AK53*AM53+AK58*AM58</f>
        <v>#DIV/0!</v>
      </c>
      <c r="AL47" s="592" t="e">
        <f>スコア入力!AJ47</f>
        <v>#DIV/0!</v>
      </c>
      <c r="AM47" s="592" t="e">
        <f>スコア入力!AL47</f>
        <v>#DIV/0!</v>
      </c>
      <c r="AN47" s="594" t="e">
        <f>IF(AJ47=0,AF47,IF(AF47=0,AJ47,AF47*AH$6+AJ47*AL$6))</f>
        <v>#DIV/0!</v>
      </c>
      <c r="AO47" s="594" t="e">
        <f>IF(AK47=0,AG47,IF(AG47=0,AK47,AG47*AI$6+AK47*AM$6))</f>
        <v>#DIV/0!</v>
      </c>
    </row>
    <row r="48" spans="2:41" ht="14.25" thickBot="1">
      <c r="B48" s="288"/>
      <c r="C48" s="289">
        <v>4.0999999999999996</v>
      </c>
      <c r="D48" s="326" t="s">
        <v>649</v>
      </c>
      <c r="E48" s="326"/>
      <c r="F48" s="326"/>
      <c r="G48" s="326"/>
      <c r="H48" s="2954"/>
      <c r="I48" s="2955"/>
      <c r="J48" s="2955"/>
      <c r="K48" s="3011"/>
      <c r="L48" s="599" t="e">
        <f t="shared" si="15"/>
        <v>#DIV/0!</v>
      </c>
      <c r="M48" s="597" t="e">
        <f t="shared" si="16"/>
        <v>#DIV/0!</v>
      </c>
      <c r="N48" s="578" t="e">
        <f>スコア入力!AC48</f>
        <v>#DIV/0!</v>
      </c>
      <c r="O48" s="578" t="e">
        <f>スコア入力!AE48</f>
        <v>#DIV/0!</v>
      </c>
      <c r="P48" s="580" t="e">
        <f t="shared" si="17"/>
        <v>#DIV/0!</v>
      </c>
      <c r="Q48" s="597" t="e">
        <f t="shared" si="18"/>
        <v>#DIV/0!</v>
      </c>
      <c r="R48" s="578" t="e">
        <f>スコア入力!AJ48</f>
        <v>#DIV/0!</v>
      </c>
      <c r="S48" s="578" t="e">
        <f>スコア入力!AL48</f>
        <v>#DIV/0!</v>
      </c>
      <c r="T48" s="579"/>
      <c r="U48" s="579"/>
      <c r="W48" s="568" t="e">
        <f t="shared" si="11"/>
        <v>#DIV/0!</v>
      </c>
      <c r="X48" s="568" t="e">
        <f t="shared" si="12"/>
        <v>#DIV/0!</v>
      </c>
      <c r="Y48" s="236" t="e">
        <f>スコア入力!AA48</f>
        <v>#DIV/0!</v>
      </c>
      <c r="Z48" s="236" t="e">
        <f>スコア入力!AB48</f>
        <v>#DIV/0!</v>
      </c>
      <c r="AA48" s="568" t="e">
        <f t="shared" si="13"/>
        <v>#DIV/0!</v>
      </c>
      <c r="AB48" s="568" t="e">
        <f t="shared" si="14"/>
        <v>#DIV/0!</v>
      </c>
      <c r="AC48" s="236" t="e">
        <f>スコア入力!AH48</f>
        <v>#DIV/0!</v>
      </c>
      <c r="AD48" s="236" t="e">
        <f>スコア入力!AI48</f>
        <v>#DIV/0!</v>
      </c>
      <c r="AE48" s="6"/>
      <c r="AF48" s="597" t="e">
        <f>SUMPRODUCT(AF49:AF52,AH49:AH52)</f>
        <v>#DIV/0!</v>
      </c>
      <c r="AG48" s="597" t="e">
        <f>SUMPRODUCT(AG49:AG52,AI49:AI52)</f>
        <v>#DIV/0!</v>
      </c>
      <c r="AH48" s="578" t="e">
        <f>スコア入力!AC48</f>
        <v>#DIV/0!</v>
      </c>
      <c r="AI48" s="578" t="e">
        <f>スコア入力!AE48</f>
        <v>#DIV/0!</v>
      </c>
      <c r="AJ48" s="597" t="e">
        <f>SUMPRODUCT(AJ49:AJ52,AL49:AL52)</f>
        <v>#DIV/0!</v>
      </c>
      <c r="AK48" s="597" t="e">
        <f>SUMPRODUCT(AK49:AK52,AM49:AM52)</f>
        <v>#DIV/0!</v>
      </c>
      <c r="AL48" s="578" t="e">
        <f>スコア入力!AJ48</f>
        <v>#DIV/0!</v>
      </c>
      <c r="AM48" s="578" t="e">
        <f>スコア入力!AL48</f>
        <v>#DIV/0!</v>
      </c>
      <c r="AN48" s="579"/>
      <c r="AO48" s="579"/>
    </row>
    <row r="49" spans="2:41" ht="13.5">
      <c r="B49" s="288"/>
      <c r="C49" s="2401"/>
      <c r="D49" s="297">
        <v>1</v>
      </c>
      <c r="E49" s="317" t="s">
        <v>652</v>
      </c>
      <c r="F49" s="320"/>
      <c r="G49" s="320"/>
      <c r="H49" s="2966"/>
      <c r="I49" s="2967"/>
      <c r="J49" s="2967"/>
      <c r="K49" s="2968"/>
      <c r="L49" s="583" t="e">
        <f t="shared" si="15"/>
        <v>#DIV/0!</v>
      </c>
      <c r="M49" s="583" t="e">
        <f t="shared" si="16"/>
        <v>#DIV/0!</v>
      </c>
      <c r="N49" s="584" t="e">
        <f>スコア入力!AC49</f>
        <v>#DIV/0!</v>
      </c>
      <c r="O49" s="584" t="e">
        <f>スコア入力!AE49</f>
        <v>#DIV/0!</v>
      </c>
      <c r="P49" s="583" t="e">
        <f t="shared" si="17"/>
        <v>#DIV/0!</v>
      </c>
      <c r="Q49" s="583" t="e">
        <f t="shared" si="18"/>
        <v>#DIV/0!</v>
      </c>
      <c r="R49" s="584" t="e">
        <f>スコア入力!AJ49</f>
        <v>#DIV/0!</v>
      </c>
      <c r="S49" s="584" t="e">
        <f>スコア入力!AL49</f>
        <v>#DIV/0!</v>
      </c>
      <c r="T49" s="579"/>
      <c r="U49" s="579"/>
      <c r="W49" s="237">
        <f t="shared" si="11"/>
        <v>3</v>
      </c>
      <c r="X49" s="237">
        <f t="shared" si="12"/>
        <v>3</v>
      </c>
      <c r="Y49" s="236" t="e">
        <f>スコア入力!AA49</f>
        <v>#DIV/0!</v>
      </c>
      <c r="Z49" s="236" t="e">
        <f>スコア入力!AB49</f>
        <v>#DIV/0!</v>
      </c>
      <c r="AA49" s="237">
        <f t="shared" si="13"/>
        <v>3</v>
      </c>
      <c r="AB49" s="237">
        <f t="shared" si="14"/>
        <v>3</v>
      </c>
      <c r="AC49" s="236" t="e">
        <f>スコア入力!AH49</f>
        <v>#DIV/0!</v>
      </c>
      <c r="AD49" s="236" t="e">
        <f>スコア入力!AI49</f>
        <v>#DIV/0!</v>
      </c>
      <c r="AE49" s="6"/>
      <c r="AF49" s="585">
        <f>スコア入力!N49</f>
        <v>3</v>
      </c>
      <c r="AG49" s="585">
        <f>スコア入力!P49</f>
        <v>3</v>
      </c>
      <c r="AH49" s="584" t="e">
        <f>スコア入力!AC49</f>
        <v>#DIV/0!</v>
      </c>
      <c r="AI49" s="584" t="e">
        <f>スコア入力!AE49</f>
        <v>#DIV/0!</v>
      </c>
      <c r="AJ49" s="585">
        <f>スコア入力!U49</f>
        <v>3</v>
      </c>
      <c r="AK49" s="585">
        <f>スコア入力!W49</f>
        <v>3</v>
      </c>
      <c r="AL49" s="584" t="e">
        <f>スコア入力!AJ49</f>
        <v>#DIV/0!</v>
      </c>
      <c r="AM49" s="584" t="e">
        <f>スコア入力!AL49</f>
        <v>#DIV/0!</v>
      </c>
      <c r="AN49" s="579"/>
      <c r="AO49" s="579"/>
    </row>
    <row r="50" spans="2:41" ht="14.25" thickBot="1">
      <c r="B50" s="288"/>
      <c r="C50" s="2401"/>
      <c r="D50" s="297">
        <v>2</v>
      </c>
      <c r="E50" s="317" t="s">
        <v>653</v>
      </c>
      <c r="F50" s="320"/>
      <c r="G50" s="320"/>
      <c r="H50" s="2966"/>
      <c r="I50" s="2967"/>
      <c r="J50" s="2967"/>
      <c r="K50" s="2968"/>
      <c r="L50" s="586" t="e">
        <f t="shared" si="15"/>
        <v>#DIV/0!</v>
      </c>
      <c r="M50" s="586" t="e">
        <f t="shared" si="16"/>
        <v>#DIV/0!</v>
      </c>
      <c r="N50" s="584" t="e">
        <f>スコア入力!AC50</f>
        <v>#DIV/0!</v>
      </c>
      <c r="O50" s="584" t="e">
        <f>スコア入力!AE50</f>
        <v>#DIV/0!</v>
      </c>
      <c r="P50" s="586" t="e">
        <f t="shared" si="17"/>
        <v>#DIV/0!</v>
      </c>
      <c r="Q50" s="586" t="e">
        <f t="shared" si="18"/>
        <v>#DIV/0!</v>
      </c>
      <c r="R50" s="584" t="e">
        <f>スコア入力!AJ50</f>
        <v>#DIV/0!</v>
      </c>
      <c r="S50" s="584" t="e">
        <f>スコア入力!AL50</f>
        <v>#DIV/0!</v>
      </c>
      <c r="T50" s="579"/>
      <c r="U50" s="579"/>
      <c r="W50" s="237">
        <f t="shared" si="11"/>
        <v>3</v>
      </c>
      <c r="X50" s="237">
        <f t="shared" si="12"/>
        <v>3</v>
      </c>
      <c r="Y50" s="236" t="e">
        <f>スコア入力!AA50</f>
        <v>#DIV/0!</v>
      </c>
      <c r="Z50" s="236" t="e">
        <f>スコア入力!AB50</f>
        <v>#DIV/0!</v>
      </c>
      <c r="AA50" s="237">
        <f t="shared" si="13"/>
        <v>3</v>
      </c>
      <c r="AB50" s="237">
        <f t="shared" si="14"/>
        <v>3</v>
      </c>
      <c r="AC50" s="236" t="e">
        <f>スコア入力!AH50</f>
        <v>#DIV/0!</v>
      </c>
      <c r="AD50" s="236" t="e">
        <f>スコア入力!AI50</f>
        <v>#DIV/0!</v>
      </c>
      <c r="AE50" s="6"/>
      <c r="AF50" s="420">
        <f>スコア入力!N50</f>
        <v>3</v>
      </c>
      <c r="AG50" s="420">
        <f>スコア入力!P50</f>
        <v>3</v>
      </c>
      <c r="AH50" s="584" t="e">
        <f>スコア入力!AC50</f>
        <v>#DIV/0!</v>
      </c>
      <c r="AI50" s="584" t="e">
        <f>スコア入力!AE50</f>
        <v>#DIV/0!</v>
      </c>
      <c r="AJ50" s="420">
        <f>スコア入力!U50</f>
        <v>3</v>
      </c>
      <c r="AK50" s="420">
        <f>スコア入力!W50</f>
        <v>3</v>
      </c>
      <c r="AL50" s="584" t="e">
        <f>スコア入力!AJ50</f>
        <v>#DIV/0!</v>
      </c>
      <c r="AM50" s="584" t="e">
        <f>スコア入力!AL50</f>
        <v>#DIV/0!</v>
      </c>
      <c r="AN50" s="579"/>
      <c r="AO50" s="579"/>
    </row>
    <row r="51" spans="2:41" ht="13.5" hidden="1">
      <c r="B51" s="288"/>
      <c r="C51" s="2401"/>
      <c r="D51" s="2106">
        <v>3</v>
      </c>
      <c r="E51" s="2082" t="s">
        <v>654</v>
      </c>
      <c r="F51" s="320"/>
      <c r="G51" s="320"/>
      <c r="H51" s="2966"/>
      <c r="I51" s="2967"/>
      <c r="J51" s="2967"/>
      <c r="K51" s="2968"/>
      <c r="L51" s="589" t="e">
        <f t="shared" si="15"/>
        <v>#DIV/0!</v>
      </c>
      <c r="M51" s="589" t="e">
        <f t="shared" si="16"/>
        <v>#DIV/0!</v>
      </c>
      <c r="N51" s="584" t="e">
        <f>スコア入力!AC51</f>
        <v>#DIV/0!</v>
      </c>
      <c r="O51" s="584" t="e">
        <f>スコア入力!AE51</f>
        <v>#DIV/0!</v>
      </c>
      <c r="P51" s="589" t="e">
        <f t="shared" si="17"/>
        <v>#DIV/0!</v>
      </c>
      <c r="Q51" s="589" t="e">
        <f t="shared" si="18"/>
        <v>#DIV/0!</v>
      </c>
      <c r="R51" s="584" t="e">
        <f>スコア入力!AJ51</f>
        <v>#DIV/0!</v>
      </c>
      <c r="S51" s="584" t="e">
        <f>スコア入力!AL51</f>
        <v>#DIV/0!</v>
      </c>
      <c r="T51" s="579"/>
      <c r="U51" s="579"/>
      <c r="W51" s="237">
        <f t="shared" si="11"/>
        <v>0</v>
      </c>
      <c r="X51" s="237">
        <f t="shared" si="12"/>
        <v>0</v>
      </c>
      <c r="Y51" s="236" t="e">
        <f>スコア入力!AA51</f>
        <v>#DIV/0!</v>
      </c>
      <c r="Z51" s="236" t="e">
        <f>スコア入力!AB51</f>
        <v>#DIV/0!</v>
      </c>
      <c r="AA51" s="237">
        <f t="shared" si="13"/>
        <v>0</v>
      </c>
      <c r="AB51" s="237">
        <f t="shared" si="14"/>
        <v>0</v>
      </c>
      <c r="AC51" s="236" t="e">
        <f>スコア入力!AH51</f>
        <v>#DIV/0!</v>
      </c>
      <c r="AD51" s="236" t="e">
        <f>スコア入力!AI51</f>
        <v>#DIV/0!</v>
      </c>
      <c r="AE51" s="6"/>
      <c r="AF51" s="420">
        <f>スコア入力!N51</f>
        <v>0</v>
      </c>
      <c r="AG51" s="420">
        <f>スコア入力!P51</f>
        <v>0</v>
      </c>
      <c r="AH51" s="584" t="e">
        <f>スコア入力!AC51</f>
        <v>#DIV/0!</v>
      </c>
      <c r="AI51" s="584" t="e">
        <f>スコア入力!AE51</f>
        <v>#DIV/0!</v>
      </c>
      <c r="AJ51" s="420">
        <f>スコア入力!U51</f>
        <v>0</v>
      </c>
      <c r="AK51" s="420">
        <f>スコア入力!W51</f>
        <v>0</v>
      </c>
      <c r="AL51" s="584" t="e">
        <f>スコア入力!AJ51</f>
        <v>#DIV/0!</v>
      </c>
      <c r="AM51" s="584" t="e">
        <f>スコア入力!AL51</f>
        <v>#DIV/0!</v>
      </c>
      <c r="AN51" s="579"/>
      <c r="AO51" s="579"/>
    </row>
    <row r="52" spans="2:41" ht="14.25" hidden="1" thickBot="1">
      <c r="B52" s="288"/>
      <c r="C52" s="2405"/>
      <c r="D52" s="2106">
        <v>4</v>
      </c>
      <c r="E52" s="2082" t="s">
        <v>655</v>
      </c>
      <c r="F52" s="370"/>
      <c r="G52" s="370"/>
      <c r="H52" s="2966"/>
      <c r="I52" s="2967"/>
      <c r="J52" s="2967"/>
      <c r="K52" s="2968"/>
      <c r="L52" s="586" t="e">
        <f t="shared" si="15"/>
        <v>#DIV/0!</v>
      </c>
      <c r="M52" s="586" t="e">
        <f t="shared" si="16"/>
        <v>#DIV/0!</v>
      </c>
      <c r="N52" s="584" t="e">
        <f>スコア入力!AC52</f>
        <v>#DIV/0!</v>
      </c>
      <c r="O52" s="584" t="e">
        <f>スコア入力!AE52</f>
        <v>#DIV/0!</v>
      </c>
      <c r="P52" s="586" t="e">
        <f t="shared" si="17"/>
        <v>#DIV/0!</v>
      </c>
      <c r="Q52" s="586" t="e">
        <f t="shared" si="18"/>
        <v>#DIV/0!</v>
      </c>
      <c r="R52" s="584" t="e">
        <f>スコア入力!AJ52</f>
        <v>#DIV/0!</v>
      </c>
      <c r="S52" s="584" t="e">
        <f>スコア入力!AL52</f>
        <v>#DIV/0!</v>
      </c>
      <c r="T52" s="579"/>
      <c r="U52" s="579"/>
      <c r="W52" s="237">
        <f t="shared" si="11"/>
        <v>0</v>
      </c>
      <c r="X52" s="237">
        <f t="shared" si="12"/>
        <v>0</v>
      </c>
      <c r="Y52" s="236" t="e">
        <f>スコア入力!AA52</f>
        <v>#DIV/0!</v>
      </c>
      <c r="Z52" s="236" t="e">
        <f>スコア入力!AB52</f>
        <v>#DIV/0!</v>
      </c>
      <c r="AA52" s="237">
        <f t="shared" si="13"/>
        <v>3</v>
      </c>
      <c r="AB52" s="237">
        <f t="shared" si="14"/>
        <v>3</v>
      </c>
      <c r="AC52" s="236" t="e">
        <f>スコア入力!AH52</f>
        <v>#DIV/0!</v>
      </c>
      <c r="AD52" s="236" t="e">
        <f>スコア入力!AI52</f>
        <v>#DIV/0!</v>
      </c>
      <c r="AE52" s="6"/>
      <c r="AF52" s="587">
        <f>スコア入力!N52</f>
        <v>0</v>
      </c>
      <c r="AG52" s="587">
        <f>スコア入力!P52</f>
        <v>0</v>
      </c>
      <c r="AH52" s="584" t="e">
        <f>スコア入力!AC52</f>
        <v>#DIV/0!</v>
      </c>
      <c r="AI52" s="584" t="e">
        <f>スコア入力!AE52</f>
        <v>#DIV/0!</v>
      </c>
      <c r="AJ52" s="587">
        <f>スコア入力!U52</f>
        <v>3</v>
      </c>
      <c r="AK52" s="587">
        <f>スコア入力!W52</f>
        <v>3</v>
      </c>
      <c r="AL52" s="584" t="e">
        <f>スコア入力!AJ52</f>
        <v>#DIV/0!</v>
      </c>
      <c r="AM52" s="584" t="e">
        <f>スコア入力!AL52</f>
        <v>#DIV/0!</v>
      </c>
      <c r="AN52" s="579"/>
      <c r="AO52" s="579"/>
    </row>
    <row r="53" spans="2:41" ht="14.25" thickBot="1">
      <c r="B53" s="331"/>
      <c r="C53" s="289">
        <v>4.2</v>
      </c>
      <c r="D53" s="326" t="s">
        <v>656</v>
      </c>
      <c r="E53" s="370"/>
      <c r="F53" s="320"/>
      <c r="G53" s="320"/>
      <c r="H53" s="2966"/>
      <c r="I53" s="2967"/>
      <c r="J53" s="2967"/>
      <c r="K53" s="3010"/>
      <c r="L53" s="588" t="e">
        <f t="shared" si="15"/>
        <v>#DIV/0!</v>
      </c>
      <c r="M53" s="597" t="e">
        <f t="shared" si="16"/>
        <v>#DIV/0!</v>
      </c>
      <c r="N53" s="578" t="e">
        <f>スコア入力!AC53</f>
        <v>#DIV/0!</v>
      </c>
      <c r="O53" s="578" t="e">
        <f>スコア入力!AE53</f>
        <v>#DIV/0!</v>
      </c>
      <c r="P53" s="597" t="e">
        <f t="shared" si="17"/>
        <v>#DIV/0!</v>
      </c>
      <c r="Q53" s="597" t="e">
        <f t="shared" si="18"/>
        <v>#DIV/0!</v>
      </c>
      <c r="R53" s="578" t="e">
        <f>スコア入力!AJ53</f>
        <v>#DIV/0!</v>
      </c>
      <c r="S53" s="578" t="e">
        <f>スコア入力!AL53</f>
        <v>#DIV/0!</v>
      </c>
      <c r="T53" s="579"/>
      <c r="U53" s="579"/>
      <c r="W53" s="568" t="e">
        <f t="shared" si="11"/>
        <v>#DIV/0!</v>
      </c>
      <c r="X53" s="568" t="e">
        <f t="shared" si="12"/>
        <v>#DIV/0!</v>
      </c>
      <c r="Y53" s="236" t="e">
        <f>スコア入力!AA53</f>
        <v>#DIV/0!</v>
      </c>
      <c r="Z53" s="236" t="e">
        <f>スコア入力!AB53</f>
        <v>#DIV/0!</v>
      </c>
      <c r="AA53" s="568" t="e">
        <f t="shared" si="13"/>
        <v>#DIV/0!</v>
      </c>
      <c r="AB53" s="568" t="e">
        <f t="shared" si="14"/>
        <v>#DIV/0!</v>
      </c>
      <c r="AC53" s="236" t="e">
        <f>スコア入力!AH53</f>
        <v>#DIV/0!</v>
      </c>
      <c r="AD53" s="236" t="e">
        <f>スコア入力!AI53</f>
        <v>#DIV/0!</v>
      </c>
      <c r="AE53" s="6"/>
      <c r="AF53" s="597" t="e">
        <f>SUMPRODUCT(AF54:AF57,AH54:AH57)</f>
        <v>#DIV/0!</v>
      </c>
      <c r="AG53" s="597" t="e">
        <f>SUMPRODUCT(AG54:AG57,AI54:AI57)</f>
        <v>#DIV/0!</v>
      </c>
      <c r="AH53" s="578" t="e">
        <f>スコア入力!AC53</f>
        <v>#DIV/0!</v>
      </c>
      <c r="AI53" s="578" t="e">
        <f>スコア入力!AE53</f>
        <v>#DIV/0!</v>
      </c>
      <c r="AJ53" s="597" t="e">
        <f>SUMPRODUCT(AJ54:AJ57,AL54:AL57)</f>
        <v>#DIV/0!</v>
      </c>
      <c r="AK53" s="597" t="e">
        <f>SUMPRODUCT(AK54:AK57,AM54:AM57)</f>
        <v>#DIV/0!</v>
      </c>
      <c r="AL53" s="578" t="e">
        <f>スコア入力!AJ53</f>
        <v>#DIV/0!</v>
      </c>
      <c r="AM53" s="578" t="e">
        <f>スコア入力!AL53</f>
        <v>#DIV/0!</v>
      </c>
      <c r="AN53" s="579"/>
      <c r="AO53" s="579"/>
    </row>
    <row r="54" spans="2:41" ht="13.5">
      <c r="B54" s="331"/>
      <c r="C54" s="2406"/>
      <c r="D54" s="297">
        <v>1</v>
      </c>
      <c r="E54" s="317" t="s">
        <v>659</v>
      </c>
      <c r="F54" s="601"/>
      <c r="G54" s="601"/>
      <c r="H54" s="2966"/>
      <c r="I54" s="2967"/>
      <c r="J54" s="2967"/>
      <c r="K54" s="2968"/>
      <c r="L54" s="583" t="e">
        <f t="shared" si="15"/>
        <v>#DIV/0!</v>
      </c>
      <c r="M54" s="583" t="e">
        <f t="shared" si="16"/>
        <v>#DIV/0!</v>
      </c>
      <c r="N54" s="584" t="e">
        <f>スコア入力!AC54</f>
        <v>#DIV/0!</v>
      </c>
      <c r="O54" s="584" t="e">
        <f>スコア入力!AE54</f>
        <v>#DIV/0!</v>
      </c>
      <c r="P54" s="583" t="e">
        <f t="shared" si="17"/>
        <v>#DIV/0!</v>
      </c>
      <c r="Q54" s="583" t="e">
        <f t="shared" si="18"/>
        <v>#DIV/0!</v>
      </c>
      <c r="R54" s="584" t="e">
        <f>スコア入力!AJ54</f>
        <v>#DIV/0!</v>
      </c>
      <c r="S54" s="584" t="e">
        <f>スコア入力!AL54</f>
        <v>#DIV/0!</v>
      </c>
      <c r="T54" s="579"/>
      <c r="U54" s="579"/>
      <c r="W54" s="237">
        <f t="shared" si="11"/>
        <v>3</v>
      </c>
      <c r="X54" s="237">
        <f t="shared" si="12"/>
        <v>3</v>
      </c>
      <c r="Y54" s="236" t="e">
        <f>スコア入力!AA54</f>
        <v>#DIV/0!</v>
      </c>
      <c r="Z54" s="236" t="e">
        <f>スコア入力!AB54</f>
        <v>#DIV/0!</v>
      </c>
      <c r="AA54" s="237">
        <f t="shared" si="13"/>
        <v>3</v>
      </c>
      <c r="AB54" s="237">
        <f t="shared" si="14"/>
        <v>3</v>
      </c>
      <c r="AC54" s="236" t="e">
        <f>スコア入力!AH54</f>
        <v>#DIV/0!</v>
      </c>
      <c r="AD54" s="236" t="e">
        <f>スコア入力!AI54</f>
        <v>#DIV/0!</v>
      </c>
      <c r="AE54" s="6"/>
      <c r="AF54" s="585">
        <f>スコア入力!N54</f>
        <v>3</v>
      </c>
      <c r="AG54" s="585">
        <f>スコア入力!P54</f>
        <v>3</v>
      </c>
      <c r="AH54" s="584" t="e">
        <f>スコア入力!AC54</f>
        <v>#DIV/0!</v>
      </c>
      <c r="AI54" s="584" t="e">
        <f>スコア入力!AE54</f>
        <v>#DIV/0!</v>
      </c>
      <c r="AJ54" s="585">
        <f>スコア入力!U54</f>
        <v>3</v>
      </c>
      <c r="AK54" s="585">
        <f>スコア入力!W54</f>
        <v>3</v>
      </c>
      <c r="AL54" s="584" t="e">
        <f>スコア入力!AJ54</f>
        <v>#DIV/0!</v>
      </c>
      <c r="AM54" s="584" t="e">
        <f>スコア入力!AL54</f>
        <v>#DIV/0!</v>
      </c>
      <c r="AN54" s="579"/>
      <c r="AO54" s="579"/>
    </row>
    <row r="55" spans="2:41" ht="13.5">
      <c r="B55" s="331"/>
      <c r="C55" s="2406"/>
      <c r="D55" s="297">
        <v>2</v>
      </c>
      <c r="E55" s="317" t="s">
        <v>660</v>
      </c>
      <c r="F55" s="320"/>
      <c r="G55" s="320"/>
      <c r="H55" s="2966"/>
      <c r="I55" s="2967"/>
      <c r="J55" s="2967"/>
      <c r="K55" s="2968"/>
      <c r="L55" s="589" t="e">
        <f t="shared" si="15"/>
        <v>#DIV/0!</v>
      </c>
      <c r="M55" s="589" t="e">
        <f t="shared" si="16"/>
        <v>#DIV/0!</v>
      </c>
      <c r="N55" s="584" t="e">
        <f>スコア入力!AC55</f>
        <v>#DIV/0!</v>
      </c>
      <c r="O55" s="584" t="e">
        <f>スコア入力!AE55</f>
        <v>#DIV/0!</v>
      </c>
      <c r="P55" s="589" t="e">
        <f t="shared" si="17"/>
        <v>#DIV/0!</v>
      </c>
      <c r="Q55" s="589" t="e">
        <f t="shared" si="18"/>
        <v>#DIV/0!</v>
      </c>
      <c r="R55" s="584" t="e">
        <f>スコア入力!AJ55</f>
        <v>#DIV/0!</v>
      </c>
      <c r="S55" s="584" t="e">
        <f>スコア入力!AL55</f>
        <v>#DIV/0!</v>
      </c>
      <c r="T55" s="579"/>
      <c r="U55" s="579"/>
      <c r="W55" s="237">
        <f t="shared" si="11"/>
        <v>3</v>
      </c>
      <c r="X55" s="237">
        <f t="shared" si="12"/>
        <v>3</v>
      </c>
      <c r="Y55" s="236" t="e">
        <f>スコア入力!AA55</f>
        <v>#DIV/0!</v>
      </c>
      <c r="Z55" s="236" t="e">
        <f>スコア入力!AB55</f>
        <v>#DIV/0!</v>
      </c>
      <c r="AA55" s="237">
        <f t="shared" si="13"/>
        <v>3</v>
      </c>
      <c r="AB55" s="237">
        <f t="shared" si="14"/>
        <v>3</v>
      </c>
      <c r="AC55" s="236" t="e">
        <f>スコア入力!AH55</f>
        <v>#DIV/0!</v>
      </c>
      <c r="AD55" s="236" t="e">
        <f>スコア入力!AI55</f>
        <v>#DIV/0!</v>
      </c>
      <c r="AE55" s="6"/>
      <c r="AF55" s="420">
        <f>スコア入力!N55</f>
        <v>3</v>
      </c>
      <c r="AG55" s="420">
        <f>スコア入力!P55</f>
        <v>3</v>
      </c>
      <c r="AH55" s="584" t="e">
        <f>スコア入力!AC55</f>
        <v>#DIV/0!</v>
      </c>
      <c r="AI55" s="584" t="e">
        <f>スコア入力!AE55</f>
        <v>#DIV/0!</v>
      </c>
      <c r="AJ55" s="420">
        <f>スコア入力!U55</f>
        <v>3</v>
      </c>
      <c r="AK55" s="420">
        <f>スコア入力!W55</f>
        <v>3</v>
      </c>
      <c r="AL55" s="584" t="e">
        <f>スコア入力!AJ55</f>
        <v>#DIV/0!</v>
      </c>
      <c r="AM55" s="584" t="e">
        <f>スコア入力!AL55</f>
        <v>#DIV/0!</v>
      </c>
      <c r="AN55" s="579"/>
      <c r="AO55" s="579"/>
    </row>
    <row r="56" spans="2:41" ht="14.25" thickBot="1">
      <c r="B56" s="331"/>
      <c r="C56" s="2406"/>
      <c r="D56" s="297">
        <v>3</v>
      </c>
      <c r="E56" s="317" t="s">
        <v>661</v>
      </c>
      <c r="F56" s="320"/>
      <c r="G56" s="320"/>
      <c r="H56" s="2966"/>
      <c r="I56" s="2967"/>
      <c r="J56" s="2967"/>
      <c r="K56" s="2968"/>
      <c r="L56" s="586" t="e">
        <f t="shared" si="15"/>
        <v>#DIV/0!</v>
      </c>
      <c r="M56" s="586" t="e">
        <f t="shared" si="16"/>
        <v>#DIV/0!</v>
      </c>
      <c r="N56" s="584" t="e">
        <f>スコア入力!AC56</f>
        <v>#DIV/0!</v>
      </c>
      <c r="O56" s="584" t="e">
        <f>スコア入力!AE56</f>
        <v>#DIV/0!</v>
      </c>
      <c r="P56" s="586" t="e">
        <f t="shared" si="17"/>
        <v>#DIV/0!</v>
      </c>
      <c r="Q56" s="586" t="e">
        <f t="shared" si="18"/>
        <v>#DIV/0!</v>
      </c>
      <c r="R56" s="584" t="e">
        <f>スコア入力!AJ56</f>
        <v>#DIV/0!</v>
      </c>
      <c r="S56" s="584" t="e">
        <f>スコア入力!AL56</f>
        <v>#DIV/0!</v>
      </c>
      <c r="T56" s="579"/>
      <c r="U56" s="579"/>
      <c r="W56" s="237">
        <f t="shared" si="11"/>
        <v>3</v>
      </c>
      <c r="X56" s="237">
        <f t="shared" si="12"/>
        <v>3</v>
      </c>
      <c r="Y56" s="236" t="e">
        <f>スコア入力!AA56</f>
        <v>#DIV/0!</v>
      </c>
      <c r="Z56" s="236" t="e">
        <f>スコア入力!AB56</f>
        <v>#DIV/0!</v>
      </c>
      <c r="AA56" s="237">
        <f t="shared" si="13"/>
        <v>3</v>
      </c>
      <c r="AB56" s="237">
        <f t="shared" si="14"/>
        <v>3</v>
      </c>
      <c r="AC56" s="236" t="e">
        <f>スコア入力!AH56</f>
        <v>#DIV/0!</v>
      </c>
      <c r="AD56" s="236" t="e">
        <f>スコア入力!AI56</f>
        <v>#DIV/0!</v>
      </c>
      <c r="AE56" s="6"/>
      <c r="AF56" s="420">
        <f>スコア入力!N56</f>
        <v>3</v>
      </c>
      <c r="AG56" s="420">
        <f>スコア入力!P56</f>
        <v>3</v>
      </c>
      <c r="AH56" s="584" t="e">
        <f>スコア入力!AC56</f>
        <v>#DIV/0!</v>
      </c>
      <c r="AI56" s="584" t="e">
        <f>スコア入力!AE56</f>
        <v>#DIV/0!</v>
      </c>
      <c r="AJ56" s="420">
        <f>スコア入力!U56</f>
        <v>3</v>
      </c>
      <c r="AK56" s="420">
        <f>スコア入力!W56</f>
        <v>3</v>
      </c>
      <c r="AL56" s="584" t="e">
        <f>スコア入力!AJ56</f>
        <v>#DIV/0!</v>
      </c>
      <c r="AM56" s="584" t="e">
        <f>スコア入力!AL56</f>
        <v>#DIV/0!</v>
      </c>
      <c r="AN56" s="579"/>
      <c r="AO56" s="579"/>
    </row>
    <row r="57" spans="2:41" ht="14.25" hidden="1" thickBot="1">
      <c r="B57" s="331"/>
      <c r="C57" s="2407"/>
      <c r="D57" s="2106">
        <v>4</v>
      </c>
      <c r="E57" s="2082" t="s">
        <v>662</v>
      </c>
      <c r="F57" s="320"/>
      <c r="G57" s="320"/>
      <c r="H57" s="2966"/>
      <c r="I57" s="2967"/>
      <c r="J57" s="2967"/>
      <c r="K57" s="2968"/>
      <c r="L57" s="586" t="e">
        <f t="shared" si="15"/>
        <v>#DIV/0!</v>
      </c>
      <c r="M57" s="586" t="e">
        <f t="shared" si="16"/>
        <v>#DIV/0!</v>
      </c>
      <c r="N57" s="584" t="e">
        <f>スコア入力!AC57</f>
        <v>#DIV/0!</v>
      </c>
      <c r="O57" s="584" t="e">
        <f>スコア入力!AE57</f>
        <v>#DIV/0!</v>
      </c>
      <c r="P57" s="586" t="e">
        <f t="shared" si="17"/>
        <v>#DIV/0!</v>
      </c>
      <c r="Q57" s="586" t="e">
        <f t="shared" si="18"/>
        <v>#DIV/0!</v>
      </c>
      <c r="R57" s="584" t="e">
        <f>スコア入力!AJ57</f>
        <v>#DIV/0!</v>
      </c>
      <c r="S57" s="584" t="e">
        <f>スコア入力!AL57</f>
        <v>#DIV/0!</v>
      </c>
      <c r="T57" s="579"/>
      <c r="U57" s="579"/>
      <c r="W57" s="237">
        <f t="shared" si="11"/>
        <v>0</v>
      </c>
      <c r="X57" s="237">
        <f t="shared" si="12"/>
        <v>0</v>
      </c>
      <c r="Y57" s="236" t="e">
        <f>スコア入力!AA57</f>
        <v>#DIV/0!</v>
      </c>
      <c r="Z57" s="236" t="e">
        <f>スコア入力!AB57</f>
        <v>#DIV/0!</v>
      </c>
      <c r="AA57" s="237">
        <f t="shared" si="13"/>
        <v>0</v>
      </c>
      <c r="AB57" s="237">
        <f t="shared" si="14"/>
        <v>0</v>
      </c>
      <c r="AC57" s="236" t="e">
        <f>スコア入力!AH57</f>
        <v>#DIV/0!</v>
      </c>
      <c r="AD57" s="236" t="e">
        <f>スコア入力!AI57</f>
        <v>#DIV/0!</v>
      </c>
      <c r="AE57" s="6"/>
      <c r="AF57" s="587">
        <f>スコア入力!N57</f>
        <v>0</v>
      </c>
      <c r="AG57" s="587">
        <f>スコア入力!P57</f>
        <v>0</v>
      </c>
      <c r="AH57" s="584" t="e">
        <f>スコア入力!AC57</f>
        <v>#DIV/0!</v>
      </c>
      <c r="AI57" s="584" t="e">
        <f>スコア入力!AE57</f>
        <v>#DIV/0!</v>
      </c>
      <c r="AJ57" s="587">
        <f>スコア入力!U57</f>
        <v>0</v>
      </c>
      <c r="AK57" s="587">
        <f>スコア入力!W57</f>
        <v>0</v>
      </c>
      <c r="AL57" s="584" t="e">
        <f>スコア入力!AJ57</f>
        <v>#DIV/0!</v>
      </c>
      <c r="AM57" s="584" t="e">
        <f>スコア入力!AL57</f>
        <v>#DIV/0!</v>
      </c>
      <c r="AN57" s="579"/>
      <c r="AO57" s="579"/>
    </row>
    <row r="58" spans="2:41" ht="14.25" thickBot="1">
      <c r="B58" s="331"/>
      <c r="C58" s="289">
        <v>4.3</v>
      </c>
      <c r="D58" s="326" t="s">
        <v>664</v>
      </c>
      <c r="E58" s="370"/>
      <c r="F58" s="370"/>
      <c r="G58" s="370"/>
      <c r="H58" s="2966"/>
      <c r="I58" s="2967"/>
      <c r="J58" s="2967"/>
      <c r="K58" s="3010"/>
      <c r="L58" s="588" t="e">
        <f t="shared" si="15"/>
        <v>#DIV/0!</v>
      </c>
      <c r="M58" s="597" t="e">
        <f t="shared" si="16"/>
        <v>#DIV/0!</v>
      </c>
      <c r="N58" s="578" t="e">
        <f>スコア入力!AC58</f>
        <v>#DIV/0!</v>
      </c>
      <c r="O58" s="578" t="e">
        <f>スコア入力!AE58</f>
        <v>#DIV/0!</v>
      </c>
      <c r="P58" s="597" t="e">
        <f t="shared" si="17"/>
        <v>#DIV/0!</v>
      </c>
      <c r="Q58" s="597" t="e">
        <f t="shared" si="18"/>
        <v>#DIV/0!</v>
      </c>
      <c r="R58" s="578" t="e">
        <f>スコア入力!AJ58</f>
        <v>#DIV/0!</v>
      </c>
      <c r="S58" s="578" t="e">
        <f>スコア入力!AL58</f>
        <v>#DIV/0!</v>
      </c>
      <c r="T58" s="579"/>
      <c r="U58" s="579"/>
      <c r="W58" s="568" t="e">
        <f t="shared" si="11"/>
        <v>#DIV/0!</v>
      </c>
      <c r="X58" s="568" t="e">
        <f t="shared" si="12"/>
        <v>#DIV/0!</v>
      </c>
      <c r="Y58" s="236" t="e">
        <f>スコア入力!AA58</f>
        <v>#DIV/0!</v>
      </c>
      <c r="Z58" s="236" t="e">
        <f>スコア入力!AB58</f>
        <v>#DIV/0!</v>
      </c>
      <c r="AA58" s="568" t="e">
        <f t="shared" si="13"/>
        <v>#DIV/0!</v>
      </c>
      <c r="AB58" s="568" t="e">
        <f t="shared" si="14"/>
        <v>#DIV/0!</v>
      </c>
      <c r="AC58" s="236" t="e">
        <f>スコア入力!AH58</f>
        <v>#DIV/0!</v>
      </c>
      <c r="AD58" s="236" t="e">
        <f>スコア入力!AI58</f>
        <v>#DIV/0!</v>
      </c>
      <c r="AE58" s="6"/>
      <c r="AF58" s="597" t="e">
        <f>SUMPRODUCT(AF59:AF60,AH59:AH60)</f>
        <v>#DIV/0!</v>
      </c>
      <c r="AG58" s="597" t="e">
        <f>SUMPRODUCT(AG59:AG60,AI59:AI60)</f>
        <v>#DIV/0!</v>
      </c>
      <c r="AH58" s="578" t="e">
        <f>スコア入力!AC58</f>
        <v>#DIV/0!</v>
      </c>
      <c r="AI58" s="578" t="e">
        <f>スコア入力!AE58</f>
        <v>#DIV/0!</v>
      </c>
      <c r="AJ58" s="597" t="e">
        <f>SUMPRODUCT(AJ59:AJ60,AL59:AL60)</f>
        <v>#DIV/0!</v>
      </c>
      <c r="AK58" s="597" t="e">
        <f>SUMPRODUCT(AK59:AK60,AM59:AM60)</f>
        <v>#DIV/0!</v>
      </c>
      <c r="AL58" s="578" t="e">
        <f>スコア入力!AJ58</f>
        <v>#DIV/0!</v>
      </c>
      <c r="AM58" s="578" t="e">
        <f>スコア入力!AL58</f>
        <v>#DIV/0!</v>
      </c>
      <c r="AN58" s="579"/>
      <c r="AO58" s="579"/>
    </row>
    <row r="59" spans="2:41" ht="13.5">
      <c r="B59" s="331"/>
      <c r="C59" s="2406"/>
      <c r="D59" s="297">
        <v>1</v>
      </c>
      <c r="E59" s="317" t="s">
        <v>667</v>
      </c>
      <c r="F59" s="320"/>
      <c r="G59" s="320"/>
      <c r="H59" s="2966"/>
      <c r="I59" s="2967"/>
      <c r="J59" s="2967"/>
      <c r="K59" s="2968"/>
      <c r="L59" s="583" t="e">
        <f t="shared" si="15"/>
        <v>#DIV/0!</v>
      </c>
      <c r="M59" s="583" t="e">
        <f t="shared" si="16"/>
        <v>#DIV/0!</v>
      </c>
      <c r="N59" s="584" t="e">
        <f>スコア入力!AC59</f>
        <v>#DIV/0!</v>
      </c>
      <c r="O59" s="584" t="e">
        <f>スコア入力!AE59</f>
        <v>#DIV/0!</v>
      </c>
      <c r="P59" s="583" t="e">
        <f t="shared" si="17"/>
        <v>#DIV/0!</v>
      </c>
      <c r="Q59" s="583" t="e">
        <f t="shared" si="18"/>
        <v>#DIV/0!</v>
      </c>
      <c r="R59" s="584" t="e">
        <f>スコア入力!AJ59</f>
        <v>#DIV/0!</v>
      </c>
      <c r="S59" s="584" t="e">
        <f>スコア入力!AL59</f>
        <v>#DIV/0!</v>
      </c>
      <c r="T59" s="579"/>
      <c r="U59" s="579"/>
      <c r="W59" s="237">
        <f t="shared" si="11"/>
        <v>3</v>
      </c>
      <c r="X59" s="237">
        <f t="shared" si="12"/>
        <v>3</v>
      </c>
      <c r="Y59" s="236" t="e">
        <f>スコア入力!AA59</f>
        <v>#DIV/0!</v>
      </c>
      <c r="Z59" s="236" t="e">
        <f>スコア入力!AB59</f>
        <v>#DIV/0!</v>
      </c>
      <c r="AA59" s="237">
        <f t="shared" si="13"/>
        <v>3</v>
      </c>
      <c r="AB59" s="237">
        <f t="shared" si="14"/>
        <v>3</v>
      </c>
      <c r="AC59" s="236" t="e">
        <f>スコア入力!AH59</f>
        <v>#DIV/0!</v>
      </c>
      <c r="AD59" s="236" t="e">
        <f>スコア入力!AI59</f>
        <v>#DIV/0!</v>
      </c>
      <c r="AE59" s="6"/>
      <c r="AF59" s="585">
        <f>スコア入力!N59</f>
        <v>3</v>
      </c>
      <c r="AG59" s="585">
        <f>スコア入力!P59</f>
        <v>3</v>
      </c>
      <c r="AH59" s="584" t="e">
        <f>スコア入力!AC59</f>
        <v>#DIV/0!</v>
      </c>
      <c r="AI59" s="584" t="e">
        <f>スコア入力!AE59</f>
        <v>#DIV/0!</v>
      </c>
      <c r="AJ59" s="585">
        <f>スコア入力!U59</f>
        <v>3</v>
      </c>
      <c r="AK59" s="585">
        <f>スコア入力!W59</f>
        <v>3</v>
      </c>
      <c r="AL59" s="584" t="e">
        <f>スコア入力!AJ59</f>
        <v>#DIV/0!</v>
      </c>
      <c r="AM59" s="584" t="e">
        <f>スコア入力!AL59</f>
        <v>#DIV/0!</v>
      </c>
      <c r="AN59" s="579"/>
      <c r="AO59" s="579"/>
    </row>
    <row r="60" spans="2:41" ht="14.25" thickBot="1">
      <c r="B60" s="331"/>
      <c r="C60" s="2406"/>
      <c r="D60" s="391">
        <v>2</v>
      </c>
      <c r="E60" s="290" t="s">
        <v>668</v>
      </c>
      <c r="F60" s="602"/>
      <c r="G60" s="602"/>
      <c r="H60" s="2964"/>
      <c r="I60" s="2965"/>
      <c r="J60" s="2965"/>
      <c r="K60" s="3009"/>
      <c r="L60" s="586" t="e">
        <f t="shared" si="15"/>
        <v>#DIV/0!</v>
      </c>
      <c r="M60" s="586" t="e">
        <f t="shared" si="16"/>
        <v>#DIV/0!</v>
      </c>
      <c r="N60" s="603" t="e">
        <f>スコア入力!AC60</f>
        <v>#DIV/0!</v>
      </c>
      <c r="O60" s="603" t="e">
        <f>スコア入力!AE60</f>
        <v>#DIV/0!</v>
      </c>
      <c r="P60" s="586" t="e">
        <f t="shared" si="17"/>
        <v>#DIV/0!</v>
      </c>
      <c r="Q60" s="586" t="e">
        <f t="shared" si="18"/>
        <v>#DIV/0!</v>
      </c>
      <c r="R60" s="603" t="e">
        <f>スコア入力!AJ60</f>
        <v>#DIV/0!</v>
      </c>
      <c r="S60" s="603" t="e">
        <f>スコア入力!AL60</f>
        <v>#DIV/0!</v>
      </c>
      <c r="T60" s="604"/>
      <c r="U60" s="604"/>
      <c r="W60" s="237">
        <f t="shared" si="11"/>
        <v>3</v>
      </c>
      <c r="X60" s="237">
        <f t="shared" si="12"/>
        <v>3</v>
      </c>
      <c r="Y60" s="236" t="e">
        <f>スコア入力!AA60</f>
        <v>#DIV/0!</v>
      </c>
      <c r="Z60" s="236" t="e">
        <f>スコア入力!AB60</f>
        <v>#DIV/0!</v>
      </c>
      <c r="AA60" s="237">
        <f t="shared" si="13"/>
        <v>3</v>
      </c>
      <c r="AB60" s="237">
        <f t="shared" si="14"/>
        <v>3</v>
      </c>
      <c r="AC60" s="236" t="e">
        <f>スコア入力!AH60</f>
        <v>#DIV/0!</v>
      </c>
      <c r="AD60" s="236" t="e">
        <f>スコア入力!AI60</f>
        <v>#DIV/0!</v>
      </c>
      <c r="AE60" s="6"/>
      <c r="AF60" s="587">
        <f>スコア入力!N60</f>
        <v>3</v>
      </c>
      <c r="AG60" s="587">
        <f>スコア入力!P60</f>
        <v>3</v>
      </c>
      <c r="AH60" s="603" t="e">
        <f>スコア入力!AC60</f>
        <v>#DIV/0!</v>
      </c>
      <c r="AI60" s="603" t="e">
        <f>スコア入力!AE60</f>
        <v>#DIV/0!</v>
      </c>
      <c r="AJ60" s="587">
        <f>スコア入力!U60</f>
        <v>3</v>
      </c>
      <c r="AK60" s="587">
        <f>スコア入力!W60</f>
        <v>3</v>
      </c>
      <c r="AL60" s="603" t="e">
        <f>スコア入力!AJ60</f>
        <v>#DIV/0!</v>
      </c>
      <c r="AM60" s="603" t="e">
        <f>スコア入力!AL60</f>
        <v>#DIV/0!</v>
      </c>
      <c r="AN60" s="604"/>
      <c r="AO60" s="604"/>
    </row>
    <row r="61" spans="2:41" ht="15.75" thickBot="1">
      <c r="B61" s="353" t="s">
        <v>670</v>
      </c>
      <c r="C61" s="354"/>
      <c r="D61" s="354" t="s">
        <v>671</v>
      </c>
      <c r="E61" s="354"/>
      <c r="F61" s="605"/>
      <c r="G61" s="605"/>
      <c r="H61" s="2975"/>
      <c r="I61" s="2976"/>
      <c r="J61" s="2976"/>
      <c r="K61" s="2977"/>
      <c r="L61" s="606"/>
      <c r="M61" s="606"/>
      <c r="N61" s="571" t="e">
        <f>スコア入力!AC61</f>
        <v>#DIV/0!</v>
      </c>
      <c r="O61" s="571" t="e">
        <f>スコア入力!AE61</f>
        <v>#DIV/0!</v>
      </c>
      <c r="P61" s="606"/>
      <c r="Q61" s="606"/>
      <c r="R61" s="571"/>
      <c r="S61" s="571"/>
      <c r="T61" s="607" t="e">
        <f>ROUNDDOWN(AN61,1)</f>
        <v>#DIV/0!</v>
      </c>
      <c r="U61" s="607" t="e">
        <f>ROUNDDOWN(AO61,1)</f>
        <v>#DIV/0!</v>
      </c>
      <c r="W61" s="568" t="e">
        <f>$AN61</f>
        <v>#DIV/0!</v>
      </c>
      <c r="X61" s="568" t="e">
        <f>$AO61</f>
        <v>#DIV/0!</v>
      </c>
      <c r="Y61" s="236" t="e">
        <f>スコア入力!AA61</f>
        <v>#DIV/0!</v>
      </c>
      <c r="Z61" s="236" t="e">
        <f>スコア入力!AB61</f>
        <v>#DIV/0!</v>
      </c>
      <c r="AA61" s="568">
        <f t="shared" si="13"/>
        <v>0</v>
      </c>
      <c r="AB61" s="568">
        <f t="shared" si="14"/>
        <v>0</v>
      </c>
      <c r="AC61" s="236" t="e">
        <f>スコア入力!AH61</f>
        <v>#DIV/0!</v>
      </c>
      <c r="AD61" s="236" t="e">
        <f>スコア入力!AI61</f>
        <v>#DIV/0!</v>
      </c>
      <c r="AE61" s="6"/>
      <c r="AF61" s="606"/>
      <c r="AG61" s="606"/>
      <c r="AH61" s="571" t="e">
        <f>スコア入力!AC61</f>
        <v>#DIV/0!</v>
      </c>
      <c r="AI61" s="571" t="e">
        <f>スコア入力!AE61</f>
        <v>#DIV/0!</v>
      </c>
      <c r="AJ61" s="606"/>
      <c r="AK61" s="606"/>
      <c r="AL61" s="571" t="e">
        <f>スコア入力!AJ61</f>
        <v>#DIV/0!</v>
      </c>
      <c r="AM61" s="571" t="e">
        <f>スコア入力!AL61</f>
        <v>#DIV/0!</v>
      </c>
      <c r="AN61" s="607" t="e">
        <f>AN62*AH62+AN75*AH75+AN97*AH97</f>
        <v>#DIV/0!</v>
      </c>
      <c r="AO61" s="607" t="e">
        <f>AO62*AI62+AO75*AI75+AO97*AI97</f>
        <v>#DIV/0!</v>
      </c>
    </row>
    <row r="62" spans="2:41" ht="13.5">
      <c r="B62" s="276">
        <v>1</v>
      </c>
      <c r="C62" s="362" t="s">
        <v>672</v>
      </c>
      <c r="D62" s="363"/>
      <c r="E62" s="577"/>
      <c r="F62" s="577"/>
      <c r="G62" s="577"/>
      <c r="H62" s="2982"/>
      <c r="I62" s="2983"/>
      <c r="J62" s="2983"/>
      <c r="K62" s="3008"/>
      <c r="L62" s="608" t="e">
        <f t="shared" ref="L62:L108" si="19">IF(Y62=0,0,ROUNDDOWN(AF62,1))</f>
        <v>#DIV/0!</v>
      </c>
      <c r="M62" s="593" t="e">
        <f t="shared" ref="M62:M108" si="20">IF(Z62=0,0,ROUNDDOWN(AG62,1))</f>
        <v>#DIV/0!</v>
      </c>
      <c r="N62" s="609" t="e">
        <f>スコア入力!AC62</f>
        <v>#DIV/0!</v>
      </c>
      <c r="O62" s="609" t="e">
        <f>スコア入力!AE62</f>
        <v>#DIV/0!</v>
      </c>
      <c r="P62" s="593" t="e">
        <f t="shared" ref="P62:P108" si="21">IF(AC62=0,0,ROUNDDOWN(AJ62,1))</f>
        <v>#DIV/0!</v>
      </c>
      <c r="Q62" s="593" t="e">
        <f t="shared" ref="Q62:Q108" si="22">IF(AD62=0,0,ROUNDDOWN(AK62,1))</f>
        <v>#DIV/0!</v>
      </c>
      <c r="R62" s="609"/>
      <c r="S62" s="609"/>
      <c r="T62" s="610" t="e">
        <f>ROUNDDOWN(AN62,1)</f>
        <v>#DIV/0!</v>
      </c>
      <c r="U62" s="610" t="e">
        <f>ROUNDDOWN(AO62,1)</f>
        <v>#DIV/0!</v>
      </c>
      <c r="W62" s="568" t="e">
        <f t="shared" ref="W62:W108" si="23">AF62</f>
        <v>#DIV/0!</v>
      </c>
      <c r="X62" s="568" t="e">
        <f t="shared" ref="X62:X108" si="24">AG62</f>
        <v>#DIV/0!</v>
      </c>
      <c r="Y62" s="236" t="e">
        <f>スコア入力!AA62</f>
        <v>#DIV/0!</v>
      </c>
      <c r="Z62" s="236" t="e">
        <f>スコア入力!AB62</f>
        <v>#DIV/0!</v>
      </c>
      <c r="AA62" s="568" t="e">
        <f t="shared" si="13"/>
        <v>#DIV/0!</v>
      </c>
      <c r="AB62" s="568" t="e">
        <f t="shared" si="14"/>
        <v>#DIV/0!</v>
      </c>
      <c r="AC62" s="236">
        <f>スコア入力!AH62</f>
        <v>1</v>
      </c>
      <c r="AD62" s="236" t="e">
        <f>スコア入力!AI62</f>
        <v>#DIV/0!</v>
      </c>
      <c r="AE62" s="6"/>
      <c r="AF62" s="593" t="e">
        <f>AF63*AH63+AF67*AH67+AF71*AH71</f>
        <v>#DIV/0!</v>
      </c>
      <c r="AG62" s="593" t="e">
        <f>AG63*AI63+AG67*AI67+AG71*AI71</f>
        <v>#DIV/0!</v>
      </c>
      <c r="AH62" s="609" t="e">
        <f>スコア入力!AC62</f>
        <v>#DIV/0!</v>
      </c>
      <c r="AI62" s="609" t="e">
        <f>スコア入力!AE62</f>
        <v>#DIV/0!</v>
      </c>
      <c r="AJ62" s="593" t="e">
        <f>AJ63*AL63+AJ67*AL67+AJ71*AL71</f>
        <v>#DIV/0!</v>
      </c>
      <c r="AK62" s="593" t="e">
        <f>AK63*AM63+AK67*AM67+AK71*AM71</f>
        <v>#DIV/0!</v>
      </c>
      <c r="AL62" s="609" t="e">
        <f>スコア入力!AJ62</f>
        <v>#DIV/0!</v>
      </c>
      <c r="AM62" s="609" t="e">
        <f>スコア入力!AL62</f>
        <v>#DIV/0!</v>
      </c>
      <c r="AN62" s="610" t="e">
        <f>IF(AJ62=0,AF62,IF(AF62=0,AJ62,AF62*AH$6+AJ62*AL$6))</f>
        <v>#DIV/0!</v>
      </c>
      <c r="AO62" s="610" t="e">
        <f>IF(AK62=0,AG62,IF(AG62=0,AK62,AG62*AI$6+AK62*AM$6))</f>
        <v>#DIV/0!</v>
      </c>
    </row>
    <row r="63" spans="2:41" ht="14.25" thickBot="1">
      <c r="B63" s="331"/>
      <c r="C63" s="308">
        <v>1.1000000000000001</v>
      </c>
      <c r="D63" s="290" t="s">
        <v>673</v>
      </c>
      <c r="E63" s="370"/>
      <c r="F63" s="370"/>
      <c r="G63" s="370"/>
      <c r="H63" s="2966"/>
      <c r="I63" s="2967"/>
      <c r="J63" s="2967"/>
      <c r="K63" s="2967"/>
      <c r="L63" s="599" t="e">
        <f t="shared" si="19"/>
        <v>#DIV/0!</v>
      </c>
      <c r="M63" s="597" t="e">
        <f t="shared" si="20"/>
        <v>#DIV/0!</v>
      </c>
      <c r="N63" s="578" t="e">
        <f>スコア入力!AC63</f>
        <v>#DIV/0!</v>
      </c>
      <c r="O63" s="578" t="e">
        <f>スコア入力!AE63</f>
        <v>#DIV/0!</v>
      </c>
      <c r="P63" s="597" t="e">
        <f t="shared" si="21"/>
        <v>#DIV/0!</v>
      </c>
      <c r="Q63" s="597" t="e">
        <f t="shared" si="22"/>
        <v>#DIV/0!</v>
      </c>
      <c r="R63" s="578" t="e">
        <f>スコア入力!AJ63</f>
        <v>#DIV/0!</v>
      </c>
      <c r="S63" s="578" t="e">
        <f>スコア入力!AL63</f>
        <v>#DIV/0!</v>
      </c>
      <c r="T63" s="579"/>
      <c r="U63" s="579"/>
      <c r="W63" s="568" t="e">
        <f t="shared" si="23"/>
        <v>#DIV/0!</v>
      </c>
      <c r="X63" s="568" t="e">
        <f t="shared" si="24"/>
        <v>#DIV/0!</v>
      </c>
      <c r="Y63" s="236" t="e">
        <f>スコア入力!AA63</f>
        <v>#DIV/0!</v>
      </c>
      <c r="Z63" s="236" t="e">
        <f>スコア入力!AB63</f>
        <v>#DIV/0!</v>
      </c>
      <c r="AA63" s="568" t="e">
        <f t="shared" si="13"/>
        <v>#DIV/0!</v>
      </c>
      <c r="AB63" s="568" t="e">
        <f t="shared" si="14"/>
        <v>#DIV/0!</v>
      </c>
      <c r="AC63" s="236" t="e">
        <f>スコア入力!AH63</f>
        <v>#DIV/0!</v>
      </c>
      <c r="AD63" s="236" t="e">
        <f>スコア入力!AI63</f>
        <v>#DIV/0!</v>
      </c>
      <c r="AE63" s="6"/>
      <c r="AF63" s="597" t="e">
        <f>SUMPRODUCT(AF64:AF66,AH64:AH66)</f>
        <v>#DIV/0!</v>
      </c>
      <c r="AG63" s="597" t="e">
        <f>SUMPRODUCT(AG64:AG66,AI64:AI66)</f>
        <v>#DIV/0!</v>
      </c>
      <c r="AH63" s="578" t="e">
        <f>スコア入力!AC63</f>
        <v>#DIV/0!</v>
      </c>
      <c r="AI63" s="578" t="e">
        <f>スコア入力!AE63</f>
        <v>#DIV/0!</v>
      </c>
      <c r="AJ63" s="597" t="e">
        <f>SUMPRODUCT(AJ64:AJ66,AL64:AL66)</f>
        <v>#DIV/0!</v>
      </c>
      <c r="AK63" s="597" t="e">
        <f>SUMPRODUCT(AK64:AK66,AM64:AM66)</f>
        <v>#DIV/0!</v>
      </c>
      <c r="AL63" s="578" t="e">
        <f>スコア入力!AJ63</f>
        <v>#DIV/0!</v>
      </c>
      <c r="AM63" s="578" t="e">
        <f>スコア入力!AL63</f>
        <v>#DIV/0!</v>
      </c>
      <c r="AN63" s="579"/>
      <c r="AO63" s="579"/>
    </row>
    <row r="64" spans="2:41" ht="13.5">
      <c r="B64" s="331"/>
      <c r="C64" s="296"/>
      <c r="D64" s="297">
        <v>1</v>
      </c>
      <c r="E64" s="317" t="s">
        <v>675</v>
      </c>
      <c r="F64" s="320"/>
      <c r="G64" s="320"/>
      <c r="H64" s="2966"/>
      <c r="I64" s="2967"/>
      <c r="J64" s="2967"/>
      <c r="K64" s="2968"/>
      <c r="L64" s="583" t="e">
        <f t="shared" si="19"/>
        <v>#DIV/0!</v>
      </c>
      <c r="M64" s="583" t="e">
        <f t="shared" si="20"/>
        <v>#DIV/0!</v>
      </c>
      <c r="N64" s="584" t="e">
        <f>スコア入力!AC64</f>
        <v>#DIV/0!</v>
      </c>
      <c r="O64" s="584" t="e">
        <f>スコア入力!AE64</f>
        <v>#DIV/0!</v>
      </c>
      <c r="P64" s="583" t="e">
        <f t="shared" si="21"/>
        <v>#DIV/0!</v>
      </c>
      <c r="Q64" s="583" t="e">
        <f t="shared" si="22"/>
        <v>#DIV/0!</v>
      </c>
      <c r="R64" s="584" t="e">
        <f>スコア入力!AJ64</f>
        <v>#DIV/0!</v>
      </c>
      <c r="S64" s="584" t="e">
        <f>スコア入力!AL64</f>
        <v>#DIV/0!</v>
      </c>
      <c r="T64" s="579"/>
      <c r="U64" s="579"/>
      <c r="W64" s="237">
        <f t="shared" si="23"/>
        <v>3</v>
      </c>
      <c r="X64" s="237">
        <f t="shared" si="24"/>
        <v>3</v>
      </c>
      <c r="Y64" s="236" t="e">
        <f>スコア入力!AA64</f>
        <v>#DIV/0!</v>
      </c>
      <c r="Z64" s="236" t="e">
        <f>スコア入力!AB64</f>
        <v>#DIV/0!</v>
      </c>
      <c r="AA64" s="237">
        <f t="shared" si="13"/>
        <v>3</v>
      </c>
      <c r="AB64" s="237">
        <f t="shared" si="14"/>
        <v>3</v>
      </c>
      <c r="AC64" s="236" t="e">
        <f>スコア入力!AH64</f>
        <v>#DIV/0!</v>
      </c>
      <c r="AD64" s="236" t="e">
        <f>スコア入力!AI64</f>
        <v>#DIV/0!</v>
      </c>
      <c r="AE64" s="6"/>
      <c r="AF64" s="585">
        <f>スコア入力!N64</f>
        <v>3</v>
      </c>
      <c r="AG64" s="585">
        <f>スコア入力!P64</f>
        <v>3</v>
      </c>
      <c r="AH64" s="584" t="e">
        <f>スコア入力!AC64</f>
        <v>#DIV/0!</v>
      </c>
      <c r="AI64" s="584" t="e">
        <f>スコア入力!AE64</f>
        <v>#DIV/0!</v>
      </c>
      <c r="AJ64" s="585">
        <f>スコア入力!U64</f>
        <v>3</v>
      </c>
      <c r="AK64" s="585">
        <f>スコア入力!W64</f>
        <v>3</v>
      </c>
      <c r="AL64" s="584" t="e">
        <f>スコア入力!AJ64</f>
        <v>#DIV/0!</v>
      </c>
      <c r="AM64" s="584" t="e">
        <f>スコア入力!AL64</f>
        <v>#DIV/0!</v>
      </c>
      <c r="AN64" s="579"/>
      <c r="AO64" s="579"/>
    </row>
    <row r="65" spans="2:41" ht="13.5">
      <c r="B65" s="331"/>
      <c r="C65" s="296"/>
      <c r="D65" s="297">
        <v>2</v>
      </c>
      <c r="E65" s="317" t="s">
        <v>676</v>
      </c>
      <c r="F65" s="320"/>
      <c r="G65" s="320"/>
      <c r="H65" s="2966"/>
      <c r="I65" s="2967"/>
      <c r="J65" s="2967"/>
      <c r="K65" s="2968"/>
      <c r="L65" s="589" t="e">
        <f t="shared" si="19"/>
        <v>#DIV/0!</v>
      </c>
      <c r="M65" s="589" t="e">
        <f t="shared" si="20"/>
        <v>#DIV/0!</v>
      </c>
      <c r="N65" s="584" t="e">
        <f>スコア入力!AC65</f>
        <v>#DIV/0!</v>
      </c>
      <c r="O65" s="584" t="e">
        <f>スコア入力!AE65</f>
        <v>#DIV/0!</v>
      </c>
      <c r="P65" s="589" t="e">
        <f t="shared" si="21"/>
        <v>#DIV/0!</v>
      </c>
      <c r="Q65" s="589" t="e">
        <f t="shared" si="22"/>
        <v>#DIV/0!</v>
      </c>
      <c r="R65" s="584" t="e">
        <f>スコア入力!AJ65</f>
        <v>#DIV/0!</v>
      </c>
      <c r="S65" s="584" t="e">
        <f>スコア入力!AL65</f>
        <v>#DIV/0!</v>
      </c>
      <c r="T65" s="579"/>
      <c r="U65" s="579"/>
      <c r="W65" s="237">
        <f t="shared" si="23"/>
        <v>3</v>
      </c>
      <c r="X65" s="237">
        <f t="shared" si="24"/>
        <v>3</v>
      </c>
      <c r="Y65" s="236" t="e">
        <f>スコア入力!AA65</f>
        <v>#DIV/0!</v>
      </c>
      <c r="Z65" s="236" t="e">
        <f>スコア入力!AB65</f>
        <v>#DIV/0!</v>
      </c>
      <c r="AA65" s="237">
        <f t="shared" si="13"/>
        <v>0</v>
      </c>
      <c r="AB65" s="237">
        <f t="shared" si="14"/>
        <v>0</v>
      </c>
      <c r="AC65" s="236" t="e">
        <f>スコア入力!AH65</f>
        <v>#DIV/0!</v>
      </c>
      <c r="AD65" s="236" t="e">
        <f>スコア入力!AI65</f>
        <v>#DIV/0!</v>
      </c>
      <c r="AE65" s="6"/>
      <c r="AF65" s="420">
        <f>スコア入力!N65</f>
        <v>3</v>
      </c>
      <c r="AG65" s="420">
        <f>スコア入力!P65</f>
        <v>3</v>
      </c>
      <c r="AH65" s="584" t="e">
        <f>スコア入力!AC65</f>
        <v>#DIV/0!</v>
      </c>
      <c r="AI65" s="584" t="e">
        <f>スコア入力!AE65</f>
        <v>#DIV/0!</v>
      </c>
      <c r="AJ65" s="420">
        <f>スコア入力!U65</f>
        <v>0</v>
      </c>
      <c r="AK65" s="420">
        <f>スコア入力!W65</f>
        <v>0</v>
      </c>
      <c r="AL65" s="584" t="e">
        <f>スコア入力!AJ65</f>
        <v>#DIV/0!</v>
      </c>
      <c r="AM65" s="584" t="e">
        <f>スコア入力!AL65</f>
        <v>#DIV/0!</v>
      </c>
      <c r="AN65" s="579"/>
      <c r="AO65" s="579"/>
    </row>
    <row r="66" spans="2:41" ht="14.25" thickBot="1">
      <c r="B66" s="331"/>
      <c r="C66" s="303"/>
      <c r="D66" s="297">
        <v>3</v>
      </c>
      <c r="E66" s="317" t="s">
        <v>677</v>
      </c>
      <c r="F66" s="320"/>
      <c r="G66" s="320"/>
      <c r="H66" s="2966"/>
      <c r="I66" s="2967"/>
      <c r="J66" s="2967"/>
      <c r="K66" s="2968"/>
      <c r="L66" s="586" t="e">
        <f t="shared" si="19"/>
        <v>#DIV/0!</v>
      </c>
      <c r="M66" s="586" t="e">
        <f t="shared" si="20"/>
        <v>#DIV/0!</v>
      </c>
      <c r="N66" s="584" t="e">
        <f>スコア入力!AC66</f>
        <v>#DIV/0!</v>
      </c>
      <c r="O66" s="584" t="e">
        <f>スコア入力!AE66</f>
        <v>#DIV/0!</v>
      </c>
      <c r="P66" s="586" t="e">
        <f t="shared" si="21"/>
        <v>#DIV/0!</v>
      </c>
      <c r="Q66" s="586" t="e">
        <f t="shared" si="22"/>
        <v>#DIV/0!</v>
      </c>
      <c r="R66" s="584" t="e">
        <f>スコア入力!AJ66</f>
        <v>#DIV/0!</v>
      </c>
      <c r="S66" s="584" t="e">
        <f>スコア入力!AL66</f>
        <v>#DIV/0!</v>
      </c>
      <c r="T66" s="579"/>
      <c r="U66" s="579"/>
      <c r="W66" s="237">
        <f t="shared" si="23"/>
        <v>3</v>
      </c>
      <c r="X66" s="237">
        <f t="shared" si="24"/>
        <v>3</v>
      </c>
      <c r="Y66" s="236" t="e">
        <f>スコア入力!AA66</f>
        <v>#DIV/0!</v>
      </c>
      <c r="Z66" s="236" t="e">
        <f>スコア入力!AB66</f>
        <v>#DIV/0!</v>
      </c>
      <c r="AA66" s="237">
        <f t="shared" si="13"/>
        <v>0</v>
      </c>
      <c r="AB66" s="237">
        <f t="shared" si="14"/>
        <v>0</v>
      </c>
      <c r="AC66" s="236" t="e">
        <f>スコア入力!AH66</f>
        <v>#DIV/0!</v>
      </c>
      <c r="AD66" s="236" t="e">
        <f>スコア入力!AI66</f>
        <v>#DIV/0!</v>
      </c>
      <c r="AE66" s="6"/>
      <c r="AF66" s="587">
        <f>スコア入力!N66</f>
        <v>3</v>
      </c>
      <c r="AG66" s="587">
        <f>スコア入力!P66</f>
        <v>3</v>
      </c>
      <c r="AH66" s="584" t="e">
        <f>スコア入力!AC66</f>
        <v>#DIV/0!</v>
      </c>
      <c r="AI66" s="584" t="e">
        <f>スコア入力!AE66</f>
        <v>#DIV/0!</v>
      </c>
      <c r="AJ66" s="587">
        <f>スコア入力!U66</f>
        <v>0</v>
      </c>
      <c r="AK66" s="587">
        <f>スコア入力!W66</f>
        <v>0</v>
      </c>
      <c r="AL66" s="584" t="e">
        <f>スコア入力!AJ66</f>
        <v>#DIV/0!</v>
      </c>
      <c r="AM66" s="584" t="e">
        <f>スコア入力!AL66</f>
        <v>#DIV/0!</v>
      </c>
      <c r="AN66" s="579"/>
      <c r="AO66" s="579"/>
    </row>
    <row r="67" spans="2:41" ht="14.25" thickBot="1">
      <c r="B67" s="331"/>
      <c r="C67" s="289">
        <v>1.2</v>
      </c>
      <c r="D67" s="290" t="s">
        <v>678</v>
      </c>
      <c r="E67" s="370"/>
      <c r="F67" s="370"/>
      <c r="G67" s="370"/>
      <c r="H67" s="2966"/>
      <c r="I67" s="2967"/>
      <c r="J67" s="2967"/>
      <c r="K67" s="2967"/>
      <c r="L67" s="588" t="e">
        <f t="shared" si="19"/>
        <v>#DIV/0!</v>
      </c>
      <c r="M67" s="597" t="e">
        <f t="shared" si="20"/>
        <v>#DIV/0!</v>
      </c>
      <c r="N67" s="578" t="e">
        <f>スコア入力!AC67</f>
        <v>#DIV/0!</v>
      </c>
      <c r="O67" s="578" t="e">
        <f>スコア入力!AE67</f>
        <v>#DIV/0!</v>
      </c>
      <c r="P67" s="597" t="e">
        <f t="shared" si="21"/>
        <v>#DIV/0!</v>
      </c>
      <c r="Q67" s="597" t="e">
        <f t="shared" si="22"/>
        <v>#DIV/0!</v>
      </c>
      <c r="R67" s="578" t="e">
        <f>スコア入力!AJ67</f>
        <v>#DIV/0!</v>
      </c>
      <c r="S67" s="578" t="e">
        <f>スコア入力!AL67</f>
        <v>#DIV/0!</v>
      </c>
      <c r="T67" s="579"/>
      <c r="U67" s="579"/>
      <c r="W67" s="568" t="e">
        <f t="shared" si="23"/>
        <v>#DIV/0!</v>
      </c>
      <c r="X67" s="568" t="e">
        <f t="shared" si="24"/>
        <v>#DIV/0!</v>
      </c>
      <c r="Y67" s="236" t="e">
        <f>スコア入力!AA67</f>
        <v>#DIV/0!</v>
      </c>
      <c r="Z67" s="236" t="e">
        <f>スコア入力!AB67</f>
        <v>#DIV/0!</v>
      </c>
      <c r="AA67" s="568" t="e">
        <f t="shared" si="13"/>
        <v>#DIV/0!</v>
      </c>
      <c r="AB67" s="568" t="e">
        <f t="shared" si="14"/>
        <v>#DIV/0!</v>
      </c>
      <c r="AC67" s="236" t="e">
        <f>スコア入力!AH67</f>
        <v>#DIV/0!</v>
      </c>
      <c r="AD67" s="236" t="e">
        <f>スコア入力!AI67</f>
        <v>#DIV/0!</v>
      </c>
      <c r="AE67" s="6"/>
      <c r="AF67" s="597" t="e">
        <f>SUMPRODUCT(AF68:AF70,AH68:AH70)</f>
        <v>#DIV/0!</v>
      </c>
      <c r="AG67" s="597" t="e">
        <f>SUMPRODUCT(AG68:AG70,AI68:AI70)</f>
        <v>#DIV/0!</v>
      </c>
      <c r="AH67" s="578" t="e">
        <f>スコア入力!AC67</f>
        <v>#DIV/0!</v>
      </c>
      <c r="AI67" s="578" t="e">
        <f>スコア入力!AE67</f>
        <v>#DIV/0!</v>
      </c>
      <c r="AJ67" s="597" t="e">
        <f>SUMPRODUCT(AJ68:AJ70,AL68:AL70)</f>
        <v>#DIV/0!</v>
      </c>
      <c r="AK67" s="597" t="e">
        <f>SUMPRODUCT(AK68:AK70,AM68:AM70)</f>
        <v>#DIV/0!</v>
      </c>
      <c r="AL67" s="578" t="e">
        <f>スコア入力!AJ67</f>
        <v>#DIV/0!</v>
      </c>
      <c r="AM67" s="578" t="e">
        <f>スコア入力!AL67</f>
        <v>#DIV/0!</v>
      </c>
      <c r="AN67" s="579"/>
      <c r="AO67" s="579"/>
    </row>
    <row r="68" spans="2:41" ht="13.5">
      <c r="B68" s="331"/>
      <c r="C68" s="296"/>
      <c r="D68" s="297">
        <v>1</v>
      </c>
      <c r="E68" s="317" t="s">
        <v>681</v>
      </c>
      <c r="F68" s="320"/>
      <c r="G68" s="320"/>
      <c r="H68" s="2966"/>
      <c r="I68" s="2967"/>
      <c r="J68" s="2967"/>
      <c r="K68" s="2968"/>
      <c r="L68" s="583" t="e">
        <f t="shared" si="19"/>
        <v>#DIV/0!</v>
      </c>
      <c r="M68" s="583" t="e">
        <f t="shared" si="20"/>
        <v>#DIV/0!</v>
      </c>
      <c r="N68" s="584" t="e">
        <f>スコア入力!AC68</f>
        <v>#DIV/0!</v>
      </c>
      <c r="O68" s="584" t="e">
        <f>スコア入力!AE68</f>
        <v>#DIV/0!</v>
      </c>
      <c r="P68" s="583" t="e">
        <f t="shared" si="21"/>
        <v>#DIV/0!</v>
      </c>
      <c r="Q68" s="583" t="e">
        <f t="shared" si="22"/>
        <v>#DIV/0!</v>
      </c>
      <c r="R68" s="584" t="e">
        <f>スコア入力!AJ68</f>
        <v>#DIV/0!</v>
      </c>
      <c r="S68" s="584" t="e">
        <f>スコア入力!AL68</f>
        <v>#DIV/0!</v>
      </c>
      <c r="T68" s="579"/>
      <c r="U68" s="579"/>
      <c r="W68" s="237">
        <f t="shared" si="23"/>
        <v>3</v>
      </c>
      <c r="X68" s="237">
        <f t="shared" si="24"/>
        <v>3</v>
      </c>
      <c r="Y68" s="236" t="e">
        <f>スコア入力!AA68</f>
        <v>#DIV/0!</v>
      </c>
      <c r="Z68" s="236" t="e">
        <f>スコア入力!AB68</f>
        <v>#DIV/0!</v>
      </c>
      <c r="AA68" s="237">
        <f t="shared" si="13"/>
        <v>3</v>
      </c>
      <c r="AB68" s="237">
        <f t="shared" si="14"/>
        <v>3</v>
      </c>
      <c r="AC68" s="236" t="e">
        <f>スコア入力!AH68</f>
        <v>#DIV/0!</v>
      </c>
      <c r="AD68" s="236" t="e">
        <f>スコア入力!AI68</f>
        <v>#DIV/0!</v>
      </c>
      <c r="AE68" s="6"/>
      <c r="AF68" s="585">
        <f>スコア入力!N68</f>
        <v>3</v>
      </c>
      <c r="AG68" s="585">
        <f>スコア入力!P68</f>
        <v>3</v>
      </c>
      <c r="AH68" s="584" t="e">
        <f>スコア入力!AC68</f>
        <v>#DIV/0!</v>
      </c>
      <c r="AI68" s="584" t="e">
        <f>スコア入力!AE68</f>
        <v>#DIV/0!</v>
      </c>
      <c r="AJ68" s="585">
        <f>スコア入力!U68</f>
        <v>3</v>
      </c>
      <c r="AK68" s="585">
        <f>スコア入力!W68</f>
        <v>3</v>
      </c>
      <c r="AL68" s="584" t="e">
        <f>スコア入力!AJ68</f>
        <v>#DIV/0!</v>
      </c>
      <c r="AM68" s="584" t="e">
        <f>スコア入力!AL68</f>
        <v>#DIV/0!</v>
      </c>
      <c r="AN68" s="579"/>
      <c r="AO68" s="579"/>
    </row>
    <row r="69" spans="2:41" ht="13.5">
      <c r="B69" s="331"/>
      <c r="C69" s="296"/>
      <c r="D69" s="297">
        <v>2</v>
      </c>
      <c r="E69" s="317" t="s">
        <v>682</v>
      </c>
      <c r="F69" s="320"/>
      <c r="G69" s="320"/>
      <c r="H69" s="2966"/>
      <c r="I69" s="2967"/>
      <c r="J69" s="2967"/>
      <c r="K69" s="2968"/>
      <c r="L69" s="589" t="e">
        <f t="shared" si="19"/>
        <v>#DIV/0!</v>
      </c>
      <c r="M69" s="589" t="e">
        <f t="shared" si="20"/>
        <v>#DIV/0!</v>
      </c>
      <c r="N69" s="584" t="e">
        <f>スコア入力!AC69</f>
        <v>#DIV/0!</v>
      </c>
      <c r="O69" s="584" t="e">
        <f>スコア入力!AE69</f>
        <v>#DIV/0!</v>
      </c>
      <c r="P69" s="589" t="e">
        <f t="shared" si="21"/>
        <v>#DIV/0!</v>
      </c>
      <c r="Q69" s="589" t="e">
        <f t="shared" si="22"/>
        <v>#DIV/0!</v>
      </c>
      <c r="R69" s="584" t="e">
        <f>スコア入力!AJ69</f>
        <v>#DIV/0!</v>
      </c>
      <c r="S69" s="584" t="e">
        <f>スコア入力!AL69</f>
        <v>#DIV/0!</v>
      </c>
      <c r="T69" s="579"/>
      <c r="U69" s="579"/>
      <c r="W69" s="237">
        <f t="shared" si="23"/>
        <v>3</v>
      </c>
      <c r="X69" s="237">
        <f t="shared" si="24"/>
        <v>3</v>
      </c>
      <c r="Y69" s="236" t="e">
        <f>スコア入力!AA69</f>
        <v>#DIV/0!</v>
      </c>
      <c r="Z69" s="236" t="e">
        <f>スコア入力!AB69</f>
        <v>#DIV/0!</v>
      </c>
      <c r="AA69" s="237">
        <f t="shared" si="13"/>
        <v>3</v>
      </c>
      <c r="AB69" s="237">
        <f t="shared" si="14"/>
        <v>3</v>
      </c>
      <c r="AC69" s="236" t="e">
        <f>スコア入力!AH69</f>
        <v>#DIV/0!</v>
      </c>
      <c r="AD69" s="236" t="e">
        <f>スコア入力!AI69</f>
        <v>#DIV/0!</v>
      </c>
      <c r="AE69" s="6"/>
      <c r="AF69" s="420">
        <f>スコア入力!N69</f>
        <v>3</v>
      </c>
      <c r="AG69" s="420">
        <f>スコア入力!P69</f>
        <v>3</v>
      </c>
      <c r="AH69" s="584" t="e">
        <f>スコア入力!AC69</f>
        <v>#DIV/0!</v>
      </c>
      <c r="AI69" s="584" t="e">
        <f>スコア入力!AE69</f>
        <v>#DIV/0!</v>
      </c>
      <c r="AJ69" s="420">
        <f>スコア入力!U69</f>
        <v>3</v>
      </c>
      <c r="AK69" s="420">
        <f>スコア入力!W69</f>
        <v>3</v>
      </c>
      <c r="AL69" s="584" t="e">
        <f>スコア入力!AJ69</f>
        <v>#DIV/0!</v>
      </c>
      <c r="AM69" s="584" t="e">
        <f>スコア入力!AL69</f>
        <v>#DIV/0!</v>
      </c>
      <c r="AN69" s="579"/>
      <c r="AO69" s="579"/>
    </row>
    <row r="70" spans="2:41" ht="14.25" thickBot="1">
      <c r="B70" s="331"/>
      <c r="C70" s="303"/>
      <c r="D70" s="297">
        <v>3</v>
      </c>
      <c r="E70" s="317" t="s">
        <v>683</v>
      </c>
      <c r="F70" s="320"/>
      <c r="G70" s="320"/>
      <c r="H70" s="2966"/>
      <c r="I70" s="2967"/>
      <c r="J70" s="2967"/>
      <c r="K70" s="2968"/>
      <c r="L70" s="586" t="e">
        <f t="shared" si="19"/>
        <v>#DIV/0!</v>
      </c>
      <c r="M70" s="586" t="e">
        <f t="shared" si="20"/>
        <v>#DIV/0!</v>
      </c>
      <c r="N70" s="584" t="e">
        <f>スコア入力!AC70</f>
        <v>#DIV/0!</v>
      </c>
      <c r="O70" s="584" t="e">
        <f>スコア入力!AE70</f>
        <v>#DIV/0!</v>
      </c>
      <c r="P70" s="586" t="e">
        <f t="shared" si="21"/>
        <v>#DIV/0!</v>
      </c>
      <c r="Q70" s="586" t="e">
        <f t="shared" si="22"/>
        <v>#DIV/0!</v>
      </c>
      <c r="R70" s="584" t="e">
        <f>スコア入力!AJ70</f>
        <v>#DIV/0!</v>
      </c>
      <c r="S70" s="584" t="e">
        <f>スコア入力!AL70</f>
        <v>#DIV/0!</v>
      </c>
      <c r="T70" s="579"/>
      <c r="U70" s="579"/>
      <c r="W70" s="237">
        <f t="shared" si="23"/>
        <v>3</v>
      </c>
      <c r="X70" s="237">
        <f t="shared" si="24"/>
        <v>3</v>
      </c>
      <c r="Y70" s="236" t="e">
        <f>スコア入力!AA70</f>
        <v>#DIV/0!</v>
      </c>
      <c r="Z70" s="236" t="e">
        <f>スコア入力!AB70</f>
        <v>#DIV/0!</v>
      </c>
      <c r="AA70" s="237">
        <f t="shared" si="13"/>
        <v>3</v>
      </c>
      <c r="AB70" s="237">
        <f t="shared" si="14"/>
        <v>3</v>
      </c>
      <c r="AC70" s="236" t="e">
        <f>スコア入力!AH70</f>
        <v>#DIV/0!</v>
      </c>
      <c r="AD70" s="236" t="e">
        <f>スコア入力!AI70</f>
        <v>#DIV/0!</v>
      </c>
      <c r="AE70" s="6"/>
      <c r="AF70" s="587">
        <f>スコア入力!N70</f>
        <v>3</v>
      </c>
      <c r="AG70" s="587">
        <f>スコア入力!P70</f>
        <v>3</v>
      </c>
      <c r="AH70" s="584" t="e">
        <f>スコア入力!AC70</f>
        <v>#DIV/0!</v>
      </c>
      <c r="AI70" s="584" t="e">
        <f>スコア入力!AE70</f>
        <v>#DIV/0!</v>
      </c>
      <c r="AJ70" s="587">
        <f>スコア入力!U70</f>
        <v>3</v>
      </c>
      <c r="AK70" s="587">
        <f>スコア入力!W70</f>
        <v>3</v>
      </c>
      <c r="AL70" s="584" t="e">
        <f>スコア入力!AJ70</f>
        <v>#DIV/0!</v>
      </c>
      <c r="AM70" s="584" t="e">
        <f>スコア入力!AL70</f>
        <v>#DIV/0!</v>
      </c>
      <c r="AN70" s="579"/>
      <c r="AO70" s="579"/>
    </row>
    <row r="71" spans="2:41" ht="14.25" thickBot="1">
      <c r="B71" s="331"/>
      <c r="C71" s="289">
        <v>1.3</v>
      </c>
      <c r="D71" s="290" t="s">
        <v>684</v>
      </c>
      <c r="E71" s="370"/>
      <c r="F71" s="370"/>
      <c r="G71" s="370"/>
      <c r="H71" s="2966"/>
      <c r="I71" s="2967"/>
      <c r="J71" s="2967"/>
      <c r="K71" s="2967"/>
      <c r="L71" s="588" t="e">
        <f t="shared" si="19"/>
        <v>#DIV/0!</v>
      </c>
      <c r="M71" s="597" t="e">
        <f t="shared" si="20"/>
        <v>#DIV/0!</v>
      </c>
      <c r="N71" s="578" t="e">
        <f>スコア入力!AC71</f>
        <v>#DIV/0!</v>
      </c>
      <c r="O71" s="578" t="e">
        <f>スコア入力!AE71</f>
        <v>#DIV/0!</v>
      </c>
      <c r="P71" s="597" t="e">
        <f t="shared" si="21"/>
        <v>#DIV/0!</v>
      </c>
      <c r="Q71" s="597" t="e">
        <f t="shared" si="22"/>
        <v>#DIV/0!</v>
      </c>
      <c r="R71" s="578" t="e">
        <f>スコア入力!AJ71</f>
        <v>#DIV/0!</v>
      </c>
      <c r="S71" s="578" t="e">
        <f>スコア入力!AL71</f>
        <v>#DIV/0!</v>
      </c>
      <c r="T71" s="579"/>
      <c r="U71" s="579"/>
      <c r="W71" s="568" t="e">
        <f t="shared" si="23"/>
        <v>#DIV/0!</v>
      </c>
      <c r="X71" s="568" t="e">
        <f t="shared" si="24"/>
        <v>#DIV/0!</v>
      </c>
      <c r="Y71" s="236" t="e">
        <f>スコア入力!AA71</f>
        <v>#DIV/0!</v>
      </c>
      <c r="Z71" s="236" t="e">
        <f>スコア入力!AB71</f>
        <v>#DIV/0!</v>
      </c>
      <c r="AA71" s="568" t="e">
        <f t="shared" si="13"/>
        <v>#DIV/0!</v>
      </c>
      <c r="AB71" s="568" t="e">
        <f t="shared" si="14"/>
        <v>#DIV/0!</v>
      </c>
      <c r="AC71" s="236" t="e">
        <f>スコア入力!AH71</f>
        <v>#DIV/0!</v>
      </c>
      <c r="AD71" s="236" t="e">
        <f>スコア入力!AI71</f>
        <v>#DIV/0!</v>
      </c>
      <c r="AE71" s="6"/>
      <c r="AF71" s="597" t="e">
        <f>SUMPRODUCT(AF72:AF74,AH72:AH74)</f>
        <v>#DIV/0!</v>
      </c>
      <c r="AG71" s="597" t="e">
        <f>SUMPRODUCT(AG72:AG74,AI72:AI74)</f>
        <v>#DIV/0!</v>
      </c>
      <c r="AH71" s="578" t="e">
        <f>スコア入力!AC71</f>
        <v>#DIV/0!</v>
      </c>
      <c r="AI71" s="578" t="e">
        <f>スコア入力!AE71</f>
        <v>#DIV/0!</v>
      </c>
      <c r="AJ71" s="597" t="e">
        <f>SUMPRODUCT(AJ72:AJ74,AL72:AL74)</f>
        <v>#DIV/0!</v>
      </c>
      <c r="AK71" s="597" t="e">
        <f>SUMPRODUCT(AK72:AK74,AM72:AM74)</f>
        <v>#DIV/0!</v>
      </c>
      <c r="AL71" s="578" t="e">
        <f>スコア入力!AJ71</f>
        <v>#DIV/0!</v>
      </c>
      <c r="AM71" s="578" t="e">
        <f>スコア入力!AL71</f>
        <v>#DIV/0!</v>
      </c>
      <c r="AN71" s="579"/>
      <c r="AO71" s="579"/>
    </row>
    <row r="72" spans="2:41" ht="13.5">
      <c r="B72" s="331"/>
      <c r="C72" s="296"/>
      <c r="D72" s="297">
        <v>1</v>
      </c>
      <c r="E72" s="2959" t="s">
        <v>1805</v>
      </c>
      <c r="F72" s="2960"/>
      <c r="G72" s="320"/>
      <c r="H72" s="2966"/>
      <c r="I72" s="2967"/>
      <c r="J72" s="2967"/>
      <c r="K72" s="2968"/>
      <c r="L72" s="583" t="e">
        <f t="shared" si="19"/>
        <v>#DIV/0!</v>
      </c>
      <c r="M72" s="583" t="e">
        <f t="shared" si="20"/>
        <v>#DIV/0!</v>
      </c>
      <c r="N72" s="584" t="e">
        <f>スコア入力!AC72</f>
        <v>#DIV/0!</v>
      </c>
      <c r="O72" s="584" t="e">
        <f>スコア入力!AE72</f>
        <v>#DIV/0!</v>
      </c>
      <c r="P72" s="583" t="e">
        <f t="shared" si="21"/>
        <v>#DIV/0!</v>
      </c>
      <c r="Q72" s="583" t="e">
        <f t="shared" si="22"/>
        <v>#DIV/0!</v>
      </c>
      <c r="R72" s="584" t="e">
        <f>スコア入力!AJ72</f>
        <v>#DIV/0!</v>
      </c>
      <c r="S72" s="584" t="e">
        <f>スコア入力!AL72</f>
        <v>#DIV/0!</v>
      </c>
      <c r="T72" s="579"/>
      <c r="U72" s="579"/>
      <c r="W72" s="237">
        <f t="shared" si="23"/>
        <v>3</v>
      </c>
      <c r="X72" s="237">
        <f t="shared" si="24"/>
        <v>3</v>
      </c>
      <c r="Y72" s="236" t="e">
        <f>スコア入力!AA72</f>
        <v>#DIV/0!</v>
      </c>
      <c r="Z72" s="236" t="e">
        <f>スコア入力!AB72</f>
        <v>#DIV/0!</v>
      </c>
      <c r="AA72" s="237">
        <f t="shared" si="13"/>
        <v>0</v>
      </c>
      <c r="AB72" s="237">
        <f t="shared" si="14"/>
        <v>0</v>
      </c>
      <c r="AC72" s="236" t="e">
        <f>スコア入力!AH72</f>
        <v>#DIV/0!</v>
      </c>
      <c r="AD72" s="236" t="e">
        <f>スコア入力!AI72</f>
        <v>#DIV/0!</v>
      </c>
      <c r="AE72" s="6"/>
      <c r="AF72" s="585">
        <f>スコア入力!N72</f>
        <v>3</v>
      </c>
      <c r="AG72" s="585">
        <f>スコア入力!P72</f>
        <v>3</v>
      </c>
      <c r="AH72" s="584" t="e">
        <f>スコア入力!AC72</f>
        <v>#DIV/0!</v>
      </c>
      <c r="AI72" s="584" t="e">
        <f>スコア入力!AE72</f>
        <v>#DIV/0!</v>
      </c>
      <c r="AJ72" s="585">
        <f>スコア入力!U72</f>
        <v>0</v>
      </c>
      <c r="AK72" s="585">
        <f>スコア入力!W72</f>
        <v>0</v>
      </c>
      <c r="AL72" s="584" t="e">
        <f>スコア入力!AJ72</f>
        <v>#DIV/0!</v>
      </c>
      <c r="AM72" s="584" t="e">
        <f>スコア入力!AL72</f>
        <v>#DIV/0!</v>
      </c>
      <c r="AN72" s="579"/>
      <c r="AO72" s="579"/>
    </row>
    <row r="73" spans="2:41" ht="13.5">
      <c r="B73" s="331"/>
      <c r="C73" s="296"/>
      <c r="D73" s="297">
        <v>2</v>
      </c>
      <c r="E73" s="2959" t="s">
        <v>686</v>
      </c>
      <c r="F73" s="2960"/>
      <c r="G73" s="320"/>
      <c r="H73" s="2966"/>
      <c r="I73" s="2967"/>
      <c r="J73" s="2967"/>
      <c r="K73" s="2968"/>
      <c r="L73" s="589" t="e">
        <f t="shared" si="19"/>
        <v>#DIV/0!</v>
      </c>
      <c r="M73" s="589" t="e">
        <f t="shared" si="20"/>
        <v>#DIV/0!</v>
      </c>
      <c r="N73" s="584" t="e">
        <f>スコア入力!AC73</f>
        <v>#DIV/0!</v>
      </c>
      <c r="O73" s="584" t="e">
        <f>スコア入力!AE73</f>
        <v>#DIV/0!</v>
      </c>
      <c r="P73" s="589" t="e">
        <f t="shared" si="21"/>
        <v>#DIV/0!</v>
      </c>
      <c r="Q73" s="589" t="e">
        <f t="shared" si="22"/>
        <v>#DIV/0!</v>
      </c>
      <c r="R73" s="584" t="e">
        <f>スコア入力!AJ73</f>
        <v>#DIV/0!</v>
      </c>
      <c r="S73" s="584" t="e">
        <f>スコア入力!AL73</f>
        <v>#DIV/0!</v>
      </c>
      <c r="T73" s="579"/>
      <c r="U73" s="579"/>
      <c r="W73" s="237">
        <f t="shared" si="23"/>
        <v>3</v>
      </c>
      <c r="X73" s="237">
        <f t="shared" si="24"/>
        <v>3</v>
      </c>
      <c r="Y73" s="236" t="e">
        <f>スコア入力!AA73</f>
        <v>#DIV/0!</v>
      </c>
      <c r="Z73" s="236" t="e">
        <f>スコア入力!AB73</f>
        <v>#DIV/0!</v>
      </c>
      <c r="AA73" s="237">
        <f t="shared" si="13"/>
        <v>0</v>
      </c>
      <c r="AB73" s="237">
        <f t="shared" si="14"/>
        <v>0</v>
      </c>
      <c r="AC73" s="236" t="e">
        <f>スコア入力!AH73</f>
        <v>#DIV/0!</v>
      </c>
      <c r="AD73" s="236" t="e">
        <f>スコア入力!AI73</f>
        <v>#DIV/0!</v>
      </c>
      <c r="AE73" s="6"/>
      <c r="AF73" s="420">
        <f>スコア入力!N73</f>
        <v>3</v>
      </c>
      <c r="AG73" s="420">
        <f>スコア入力!P73</f>
        <v>3</v>
      </c>
      <c r="AH73" s="584" t="e">
        <f>スコア入力!AC73</f>
        <v>#DIV/0!</v>
      </c>
      <c r="AI73" s="584" t="e">
        <f>スコア入力!AE73</f>
        <v>#DIV/0!</v>
      </c>
      <c r="AJ73" s="420">
        <f>スコア入力!U73</f>
        <v>0</v>
      </c>
      <c r="AK73" s="420">
        <f>スコア入力!W73</f>
        <v>0</v>
      </c>
      <c r="AL73" s="584" t="e">
        <f>スコア入力!AJ73</f>
        <v>#DIV/0!</v>
      </c>
      <c r="AM73" s="584" t="e">
        <f>スコア入力!AL73</f>
        <v>#DIV/0!</v>
      </c>
      <c r="AN73" s="579"/>
      <c r="AO73" s="579"/>
    </row>
    <row r="74" spans="2:41" ht="14.25" thickBot="1">
      <c r="B74" s="373"/>
      <c r="C74" s="303"/>
      <c r="D74" s="297">
        <v>3</v>
      </c>
      <c r="E74" s="2961" t="s">
        <v>687</v>
      </c>
      <c r="F74" s="2960"/>
      <c r="G74" s="320"/>
      <c r="H74" s="2966"/>
      <c r="I74" s="2967"/>
      <c r="J74" s="2967"/>
      <c r="K74" s="2968"/>
      <c r="L74" s="586" t="e">
        <f t="shared" si="19"/>
        <v>#DIV/0!</v>
      </c>
      <c r="M74" s="586" t="e">
        <f t="shared" si="20"/>
        <v>#DIV/0!</v>
      </c>
      <c r="N74" s="584" t="e">
        <f>スコア入力!AC74</f>
        <v>#DIV/0!</v>
      </c>
      <c r="O74" s="584" t="e">
        <f>スコア入力!AE74</f>
        <v>#DIV/0!</v>
      </c>
      <c r="P74" s="586" t="e">
        <f t="shared" si="21"/>
        <v>#DIV/0!</v>
      </c>
      <c r="Q74" s="586" t="e">
        <f t="shared" si="22"/>
        <v>#DIV/0!</v>
      </c>
      <c r="R74" s="584" t="e">
        <f>スコア入力!AJ74</f>
        <v>#DIV/0!</v>
      </c>
      <c r="S74" s="584" t="e">
        <f>スコア入力!AL74</f>
        <v>#DIV/0!</v>
      </c>
      <c r="T74" s="579"/>
      <c r="U74" s="579"/>
      <c r="W74" s="237">
        <f t="shared" si="23"/>
        <v>3</v>
      </c>
      <c r="X74" s="237">
        <f t="shared" si="24"/>
        <v>3</v>
      </c>
      <c r="Y74" s="236" t="e">
        <f>スコア入力!AA74</f>
        <v>#DIV/0!</v>
      </c>
      <c r="Z74" s="236" t="e">
        <f>スコア入力!AB74</f>
        <v>#DIV/0!</v>
      </c>
      <c r="AA74" s="237">
        <f t="shared" ref="AA74:AA105" si="25">AJ74</f>
        <v>0</v>
      </c>
      <c r="AB74" s="237">
        <f t="shared" ref="AB74:AB105" si="26">AK74</f>
        <v>0</v>
      </c>
      <c r="AC74" s="236" t="e">
        <f>スコア入力!AH74</f>
        <v>#DIV/0!</v>
      </c>
      <c r="AD74" s="236" t="e">
        <f>スコア入力!AI74</f>
        <v>#DIV/0!</v>
      </c>
      <c r="AE74" s="6"/>
      <c r="AF74" s="587">
        <f>スコア入力!N74</f>
        <v>3</v>
      </c>
      <c r="AG74" s="587">
        <f>スコア入力!P74</f>
        <v>3</v>
      </c>
      <c r="AH74" s="584" t="e">
        <f>スコア入力!AC74</f>
        <v>#DIV/0!</v>
      </c>
      <c r="AI74" s="584" t="e">
        <f>スコア入力!AE74</f>
        <v>#DIV/0!</v>
      </c>
      <c r="AJ74" s="587">
        <f>スコア入力!U74</f>
        <v>0</v>
      </c>
      <c r="AK74" s="587">
        <f>スコア入力!W74</f>
        <v>0</v>
      </c>
      <c r="AL74" s="584" t="e">
        <f>スコア入力!AJ74</f>
        <v>#DIV/0!</v>
      </c>
      <c r="AM74" s="584" t="e">
        <f>スコア入力!AL74</f>
        <v>#DIV/0!</v>
      </c>
      <c r="AN74" s="579"/>
      <c r="AO74" s="579"/>
    </row>
    <row r="75" spans="2:41" ht="13.5">
      <c r="B75" s="276">
        <v>2</v>
      </c>
      <c r="C75" s="319" t="s">
        <v>688</v>
      </c>
      <c r="D75" s="278"/>
      <c r="E75" s="278"/>
      <c r="F75" s="577"/>
      <c r="G75" s="577"/>
      <c r="H75" s="2969"/>
      <c r="I75" s="2970"/>
      <c r="J75" s="2970"/>
      <c r="K75" s="2974"/>
      <c r="L75" s="590" t="e">
        <f t="shared" si="19"/>
        <v>#DIV/0!</v>
      </c>
      <c r="M75" s="593" t="e">
        <f t="shared" si="20"/>
        <v>#DIV/0!</v>
      </c>
      <c r="N75" s="592" t="e">
        <f>スコア入力!AC75</f>
        <v>#DIV/0!</v>
      </c>
      <c r="O75" s="592" t="e">
        <f>スコア入力!AE75</f>
        <v>#DIV/0!</v>
      </c>
      <c r="P75" s="593" t="e">
        <f t="shared" si="21"/>
        <v>#DIV/0!</v>
      </c>
      <c r="Q75" s="593" t="e">
        <f t="shared" si="22"/>
        <v>#DIV/0!</v>
      </c>
      <c r="R75" s="592"/>
      <c r="S75" s="592"/>
      <c r="T75" s="594" t="e">
        <f>ROUNDDOWN(AN75,1)</f>
        <v>#DIV/0!</v>
      </c>
      <c r="U75" s="594" t="e">
        <f>ROUNDDOWN(AO75,1)</f>
        <v>#DIV/0!</v>
      </c>
      <c r="W75" s="568" t="e">
        <f t="shared" si="23"/>
        <v>#DIV/0!</v>
      </c>
      <c r="X75" s="568" t="e">
        <f t="shared" si="24"/>
        <v>#DIV/0!</v>
      </c>
      <c r="Y75" s="236" t="e">
        <f>スコア入力!AA75</f>
        <v>#DIV/0!</v>
      </c>
      <c r="Z75" s="236" t="e">
        <f>スコア入力!AB75</f>
        <v>#DIV/0!</v>
      </c>
      <c r="AA75" s="568" t="e">
        <f t="shared" si="25"/>
        <v>#DIV/0!</v>
      </c>
      <c r="AB75" s="568" t="e">
        <f t="shared" si="26"/>
        <v>#DIV/0!</v>
      </c>
      <c r="AC75" s="236">
        <f>スコア入力!AH75</f>
        <v>1</v>
      </c>
      <c r="AD75" s="236" t="e">
        <f>スコア入力!AI75</f>
        <v>#DIV/0!</v>
      </c>
      <c r="AE75" s="6"/>
      <c r="AF75" s="593" t="e">
        <f>AF76*AH76+AF79*AH79+AF90*AH90+AF86*AH86</f>
        <v>#DIV/0!</v>
      </c>
      <c r="AG75" s="593" t="e">
        <f>AG76*AI76+AG79*AI79+AG90*AI90+AG86*AI86</f>
        <v>#DIV/0!</v>
      </c>
      <c r="AH75" s="592" t="e">
        <f>スコア入力!AC75</f>
        <v>#DIV/0!</v>
      </c>
      <c r="AI75" s="592" t="e">
        <f>スコア入力!AE75</f>
        <v>#DIV/0!</v>
      </c>
      <c r="AJ75" s="593" t="e">
        <f>AJ76*AL76+AJ79*AL79+AJ90*AL90+AJ86*AL86</f>
        <v>#DIV/0!</v>
      </c>
      <c r="AK75" s="593" t="e">
        <f>AK76*AM76+AK79*AM79+AK90*AM90+AK86*AM86</f>
        <v>#DIV/0!</v>
      </c>
      <c r="AL75" s="592" t="e">
        <f>スコア入力!AJ75</f>
        <v>#DIV/0!</v>
      </c>
      <c r="AM75" s="592" t="e">
        <f>スコア入力!AL75</f>
        <v>#DIV/0!</v>
      </c>
      <c r="AN75" s="594" t="e">
        <f>IF(AJ75=0,AF75,IF(AF75=0,AJ75,AF75*AH$6+AJ75*AL$6))</f>
        <v>#DIV/0!</v>
      </c>
      <c r="AO75" s="594" t="e">
        <f>IF(AK75=0,AG75,IF(AG75=0,AK75,AG75*AI$6+AK75*AM$6))</f>
        <v>#DIV/0!</v>
      </c>
    </row>
    <row r="76" spans="2:41" ht="14.25" thickBot="1">
      <c r="B76" s="331"/>
      <c r="C76" s="289">
        <v>2.1</v>
      </c>
      <c r="D76" s="326" t="s">
        <v>691</v>
      </c>
      <c r="E76" s="370"/>
      <c r="F76" s="370"/>
      <c r="G76" s="370"/>
      <c r="H76" s="2966"/>
      <c r="I76" s="2967"/>
      <c r="J76" s="2967"/>
      <c r="K76" s="2967"/>
      <c r="L76" s="599" t="e">
        <f t="shared" si="19"/>
        <v>#DIV/0!</v>
      </c>
      <c r="M76" s="597" t="e">
        <f t="shared" si="20"/>
        <v>#DIV/0!</v>
      </c>
      <c r="N76" s="578" t="e">
        <f>スコア入力!AC76</f>
        <v>#DIV/0!</v>
      </c>
      <c r="O76" s="578" t="e">
        <f>スコア入力!AE76</f>
        <v>#DIV/0!</v>
      </c>
      <c r="P76" s="597" t="e">
        <f t="shared" si="21"/>
        <v>#DIV/0!</v>
      </c>
      <c r="Q76" s="597" t="e">
        <f t="shared" si="22"/>
        <v>#DIV/0!</v>
      </c>
      <c r="R76" s="578" t="e">
        <f>スコア入力!AJ76</f>
        <v>#DIV/0!</v>
      </c>
      <c r="S76" s="578" t="e">
        <f>スコア入力!AL76</f>
        <v>#DIV/0!</v>
      </c>
      <c r="T76" s="579"/>
      <c r="U76" s="579"/>
      <c r="W76" s="568" t="e">
        <f t="shared" si="23"/>
        <v>#DIV/0!</v>
      </c>
      <c r="X76" s="568" t="e">
        <f t="shared" si="24"/>
        <v>#DIV/0!</v>
      </c>
      <c r="Y76" s="236" t="e">
        <f>スコア入力!AA76</f>
        <v>#DIV/0!</v>
      </c>
      <c r="Z76" s="236" t="e">
        <f>スコア入力!AB76</f>
        <v>#DIV/0!</v>
      </c>
      <c r="AA76" s="568" t="e">
        <f t="shared" si="25"/>
        <v>#DIV/0!</v>
      </c>
      <c r="AB76" s="568" t="e">
        <f t="shared" si="26"/>
        <v>#DIV/0!</v>
      </c>
      <c r="AC76" s="236" t="e">
        <f>スコア入力!AH76</f>
        <v>#DIV/0!</v>
      </c>
      <c r="AD76" s="236" t="e">
        <f>スコア入力!AI76</f>
        <v>#DIV/0!</v>
      </c>
      <c r="AE76" s="6"/>
      <c r="AF76" s="597" t="e">
        <f>SUMPRODUCT(AF77:AF78,AH77:AH78)</f>
        <v>#DIV/0!</v>
      </c>
      <c r="AG76" s="597" t="e">
        <f>SUMPRODUCT(AG77:AG78,AI77:AI78)</f>
        <v>#DIV/0!</v>
      </c>
      <c r="AH76" s="578" t="e">
        <f>スコア入力!AC76</f>
        <v>#DIV/0!</v>
      </c>
      <c r="AI76" s="578" t="e">
        <f>スコア入力!AE76</f>
        <v>#DIV/0!</v>
      </c>
      <c r="AJ76" s="597" t="e">
        <f>SUMPRODUCT(AJ77:AJ78,AL77:AL78)</f>
        <v>#DIV/0!</v>
      </c>
      <c r="AK76" s="597" t="e">
        <f>SUMPRODUCT(AK77:AK78,AM77:AM78)</f>
        <v>#DIV/0!</v>
      </c>
      <c r="AL76" s="578" t="e">
        <f>スコア入力!AJ76</f>
        <v>#DIV/0!</v>
      </c>
      <c r="AM76" s="578" t="e">
        <f>スコア入力!AL76</f>
        <v>#DIV/0!</v>
      </c>
      <c r="AN76" s="579"/>
      <c r="AO76" s="579"/>
    </row>
    <row r="77" spans="2:41" ht="13.5">
      <c r="B77" s="331"/>
      <c r="C77" s="330"/>
      <c r="D77" s="297">
        <v>1</v>
      </c>
      <c r="E77" s="317" t="s">
        <v>694</v>
      </c>
      <c r="F77" s="320"/>
      <c r="G77" s="320"/>
      <c r="H77" s="2966"/>
      <c r="I77" s="2967"/>
      <c r="J77" s="2967"/>
      <c r="K77" s="2968"/>
      <c r="L77" s="583" t="e">
        <f t="shared" si="19"/>
        <v>#DIV/0!</v>
      </c>
      <c r="M77" s="583" t="e">
        <f t="shared" si="20"/>
        <v>#DIV/0!</v>
      </c>
      <c r="N77" s="578" t="e">
        <f>スコア入力!AC77</f>
        <v>#DIV/0!</v>
      </c>
      <c r="O77" s="578" t="e">
        <f>スコア入力!AE77</f>
        <v>#DIV/0!</v>
      </c>
      <c r="P77" s="583" t="e">
        <f t="shared" si="21"/>
        <v>#DIV/0!</v>
      </c>
      <c r="Q77" s="583" t="e">
        <f t="shared" si="22"/>
        <v>#DIV/0!</v>
      </c>
      <c r="R77" s="578" t="e">
        <f>スコア入力!AJ77</f>
        <v>#DIV/0!</v>
      </c>
      <c r="S77" s="578" t="e">
        <f>スコア入力!AL77</f>
        <v>#DIV/0!</v>
      </c>
      <c r="T77" s="579"/>
      <c r="U77" s="579"/>
      <c r="W77" s="237">
        <f t="shared" si="23"/>
        <v>3</v>
      </c>
      <c r="X77" s="237">
        <f t="shared" si="24"/>
        <v>3</v>
      </c>
      <c r="Y77" s="236" t="e">
        <f>スコア入力!AA77</f>
        <v>#DIV/0!</v>
      </c>
      <c r="Z77" s="236" t="e">
        <f>スコア入力!AB77</f>
        <v>#DIV/0!</v>
      </c>
      <c r="AA77" s="237">
        <f t="shared" si="25"/>
        <v>0</v>
      </c>
      <c r="AB77" s="237">
        <f t="shared" si="26"/>
        <v>0</v>
      </c>
      <c r="AC77" s="236" t="e">
        <f>スコア入力!AH77</f>
        <v>#DIV/0!</v>
      </c>
      <c r="AD77" s="236" t="e">
        <f>スコア入力!AI77</f>
        <v>#DIV/0!</v>
      </c>
      <c r="AE77" s="6"/>
      <c r="AF77" s="585">
        <f>スコア入力!N77</f>
        <v>3</v>
      </c>
      <c r="AG77" s="585">
        <f>スコア入力!P77</f>
        <v>3</v>
      </c>
      <c r="AH77" s="578" t="e">
        <f>スコア入力!AC77</f>
        <v>#DIV/0!</v>
      </c>
      <c r="AI77" s="578" t="e">
        <f>スコア入力!AE77</f>
        <v>#DIV/0!</v>
      </c>
      <c r="AJ77" s="585">
        <f>スコア入力!U77</f>
        <v>0</v>
      </c>
      <c r="AK77" s="585">
        <f>スコア入力!W77</f>
        <v>0</v>
      </c>
      <c r="AL77" s="578" t="e">
        <f>スコア入力!AJ77</f>
        <v>#DIV/0!</v>
      </c>
      <c r="AM77" s="578" t="e">
        <f>スコア入力!AL77</f>
        <v>#DIV/0!</v>
      </c>
      <c r="AN77" s="579"/>
      <c r="AO77" s="579"/>
    </row>
    <row r="78" spans="2:41" ht="14.25" thickBot="1">
      <c r="B78" s="331"/>
      <c r="C78" s="339"/>
      <c r="D78" s="297">
        <v>2</v>
      </c>
      <c r="E78" s="317" t="s">
        <v>695</v>
      </c>
      <c r="F78" s="320"/>
      <c r="G78" s="320"/>
      <c r="H78" s="2966"/>
      <c r="I78" s="2967"/>
      <c r="J78" s="2967"/>
      <c r="K78" s="2968"/>
      <c r="L78" s="586" t="e">
        <f t="shared" si="19"/>
        <v>#DIV/0!</v>
      </c>
      <c r="M78" s="586" t="e">
        <f t="shared" si="20"/>
        <v>#DIV/0!</v>
      </c>
      <c r="N78" s="578" t="e">
        <f>スコア入力!AC78</f>
        <v>#DIV/0!</v>
      </c>
      <c r="O78" s="578" t="e">
        <f>スコア入力!AE78</f>
        <v>#DIV/0!</v>
      </c>
      <c r="P78" s="586" t="e">
        <f t="shared" si="21"/>
        <v>#DIV/0!</v>
      </c>
      <c r="Q78" s="586" t="e">
        <f t="shared" si="22"/>
        <v>#DIV/0!</v>
      </c>
      <c r="R78" s="578" t="e">
        <f>スコア入力!AJ78</f>
        <v>#DIV/0!</v>
      </c>
      <c r="S78" s="578" t="e">
        <f>スコア入力!AL78</f>
        <v>#DIV/0!</v>
      </c>
      <c r="T78" s="579"/>
      <c r="U78" s="579"/>
      <c r="W78" s="237">
        <f t="shared" si="23"/>
        <v>3</v>
      </c>
      <c r="X78" s="237">
        <f t="shared" si="24"/>
        <v>3</v>
      </c>
      <c r="Y78" s="236" t="e">
        <f>スコア入力!AA78</f>
        <v>#DIV/0!</v>
      </c>
      <c r="Z78" s="236" t="e">
        <f>スコア入力!AB78</f>
        <v>#DIV/0!</v>
      </c>
      <c r="AA78" s="237">
        <f t="shared" si="25"/>
        <v>0</v>
      </c>
      <c r="AB78" s="237">
        <f t="shared" si="26"/>
        <v>0</v>
      </c>
      <c r="AC78" s="236" t="e">
        <f>スコア入力!AH78</f>
        <v>#DIV/0!</v>
      </c>
      <c r="AD78" s="236" t="e">
        <f>スコア入力!AI78</f>
        <v>#DIV/0!</v>
      </c>
      <c r="AE78" s="6"/>
      <c r="AF78" s="587">
        <f>スコア入力!N78</f>
        <v>3</v>
      </c>
      <c r="AG78" s="587">
        <f>スコア入力!P78</f>
        <v>3</v>
      </c>
      <c r="AH78" s="578" t="e">
        <f>スコア入力!AC78</f>
        <v>#DIV/0!</v>
      </c>
      <c r="AI78" s="578" t="e">
        <f>スコア入力!AE78</f>
        <v>#DIV/0!</v>
      </c>
      <c r="AJ78" s="587">
        <f>スコア入力!U78</f>
        <v>0</v>
      </c>
      <c r="AK78" s="587">
        <f>スコア入力!W78</f>
        <v>0</v>
      </c>
      <c r="AL78" s="578" t="e">
        <f>スコア入力!AJ78</f>
        <v>#DIV/0!</v>
      </c>
      <c r="AM78" s="578" t="e">
        <f>スコア入力!AL78</f>
        <v>#DIV/0!</v>
      </c>
      <c r="AN78" s="579"/>
      <c r="AO78" s="579"/>
    </row>
    <row r="79" spans="2:41" ht="14.25" thickBot="1">
      <c r="B79" s="331"/>
      <c r="C79" s="308">
        <v>2.2000000000000002</v>
      </c>
      <c r="D79" s="326" t="s">
        <v>697</v>
      </c>
      <c r="E79" s="370"/>
      <c r="F79" s="370"/>
      <c r="G79" s="370"/>
      <c r="H79" s="2966"/>
      <c r="I79" s="2967"/>
      <c r="J79" s="2967"/>
      <c r="K79" s="2967"/>
      <c r="L79" s="588" t="e">
        <f t="shared" si="19"/>
        <v>#DIV/0!</v>
      </c>
      <c r="M79" s="597" t="e">
        <f t="shared" si="20"/>
        <v>#DIV/0!</v>
      </c>
      <c r="N79" s="578" t="e">
        <f>スコア入力!AC79</f>
        <v>#DIV/0!</v>
      </c>
      <c r="O79" s="578" t="e">
        <f>スコア入力!AE79</f>
        <v>#DIV/0!</v>
      </c>
      <c r="P79" s="597" t="e">
        <f t="shared" si="21"/>
        <v>#DIV/0!</v>
      </c>
      <c r="Q79" s="597" t="e">
        <f t="shared" si="22"/>
        <v>#DIV/0!</v>
      </c>
      <c r="R79" s="578" t="e">
        <f>スコア入力!AJ79</f>
        <v>#DIV/0!</v>
      </c>
      <c r="S79" s="578" t="e">
        <f>スコア入力!AL79</f>
        <v>#DIV/0!</v>
      </c>
      <c r="T79" s="579"/>
      <c r="U79" s="579"/>
      <c r="W79" s="568" t="e">
        <f t="shared" si="23"/>
        <v>#DIV/0!</v>
      </c>
      <c r="X79" s="568" t="e">
        <f t="shared" si="24"/>
        <v>#DIV/0!</v>
      </c>
      <c r="Y79" s="236" t="e">
        <f>スコア入力!AA79</f>
        <v>#DIV/0!</v>
      </c>
      <c r="Z79" s="236" t="e">
        <f>スコア入力!AB79</f>
        <v>#DIV/0!</v>
      </c>
      <c r="AA79" s="568" t="e">
        <f t="shared" si="25"/>
        <v>#DIV/0!</v>
      </c>
      <c r="AB79" s="568" t="e">
        <f t="shared" si="26"/>
        <v>#DIV/0!</v>
      </c>
      <c r="AC79" s="236" t="e">
        <f>スコア入力!AH79</f>
        <v>#DIV/0!</v>
      </c>
      <c r="AD79" s="236" t="e">
        <f>スコア入力!AI79</f>
        <v>#DIV/0!</v>
      </c>
      <c r="AE79" s="6"/>
      <c r="AF79" s="597" t="e">
        <f>SUMPRODUCT(AF80:AF85,AH80:AH85)</f>
        <v>#DIV/0!</v>
      </c>
      <c r="AG79" s="597" t="e">
        <f>SUMPRODUCT(AG80:AG85,AI80:AI85)</f>
        <v>#DIV/0!</v>
      </c>
      <c r="AH79" s="578" t="e">
        <f>スコア入力!AC79</f>
        <v>#DIV/0!</v>
      </c>
      <c r="AI79" s="578" t="e">
        <f>スコア入力!AE79</f>
        <v>#DIV/0!</v>
      </c>
      <c r="AJ79" s="597" t="e">
        <f>SUMPRODUCT(AJ80:AJ85,AL80:AL85)</f>
        <v>#DIV/0!</v>
      </c>
      <c r="AK79" s="597" t="e">
        <f>SUMPRODUCT(AK80:AK85,AM80:AM85)</f>
        <v>#DIV/0!</v>
      </c>
      <c r="AL79" s="578" t="e">
        <f>スコア入力!AJ79</f>
        <v>#DIV/0!</v>
      </c>
      <c r="AM79" s="578" t="e">
        <f>スコア入力!AL79</f>
        <v>#DIV/0!</v>
      </c>
      <c r="AN79" s="579"/>
      <c r="AO79" s="579"/>
    </row>
    <row r="80" spans="2:41" ht="13.5">
      <c r="B80" s="331"/>
      <c r="C80" s="330"/>
      <c r="D80" s="297">
        <v>1</v>
      </c>
      <c r="E80" s="317" t="s">
        <v>699</v>
      </c>
      <c r="F80" s="320"/>
      <c r="G80" s="320"/>
      <c r="H80" s="2966"/>
      <c r="I80" s="2967"/>
      <c r="J80" s="2967"/>
      <c r="K80" s="2968"/>
      <c r="L80" s="583" t="e">
        <f t="shared" si="19"/>
        <v>#DIV/0!</v>
      </c>
      <c r="M80" s="583" t="e">
        <f t="shared" si="20"/>
        <v>#DIV/0!</v>
      </c>
      <c r="N80" s="578" t="e">
        <f>スコア入力!AC80</f>
        <v>#DIV/0!</v>
      </c>
      <c r="O80" s="578" t="e">
        <f>スコア入力!AE80</f>
        <v>#DIV/0!</v>
      </c>
      <c r="P80" s="583" t="e">
        <f t="shared" si="21"/>
        <v>#DIV/0!</v>
      </c>
      <c r="Q80" s="583" t="e">
        <f t="shared" si="22"/>
        <v>#DIV/0!</v>
      </c>
      <c r="R80" s="578" t="e">
        <f>スコア入力!AJ80</f>
        <v>#DIV/0!</v>
      </c>
      <c r="S80" s="578" t="e">
        <f>スコア入力!AL80</f>
        <v>#DIV/0!</v>
      </c>
      <c r="T80" s="579"/>
      <c r="U80" s="579"/>
      <c r="W80" s="237">
        <f t="shared" si="23"/>
        <v>3</v>
      </c>
      <c r="X80" s="237">
        <f t="shared" si="24"/>
        <v>3</v>
      </c>
      <c r="Y80" s="236" t="e">
        <f>スコア入力!AA80</f>
        <v>#DIV/0!</v>
      </c>
      <c r="Z80" s="236" t="e">
        <f>スコア入力!AB80</f>
        <v>#DIV/0!</v>
      </c>
      <c r="AA80" s="237">
        <f t="shared" si="25"/>
        <v>0</v>
      </c>
      <c r="AB80" s="237">
        <f t="shared" si="26"/>
        <v>0</v>
      </c>
      <c r="AC80" s="236" t="e">
        <f>スコア入力!AH80</f>
        <v>#DIV/0!</v>
      </c>
      <c r="AD80" s="236" t="e">
        <f>スコア入力!AI80</f>
        <v>#DIV/0!</v>
      </c>
      <c r="AE80" s="6"/>
      <c r="AF80" s="585">
        <f>スコア入力!N80</f>
        <v>3</v>
      </c>
      <c r="AG80" s="585">
        <f>スコア入力!P80</f>
        <v>3</v>
      </c>
      <c r="AH80" s="578" t="e">
        <f>スコア入力!AC80</f>
        <v>#DIV/0!</v>
      </c>
      <c r="AI80" s="578" t="e">
        <f>スコア入力!AE80</f>
        <v>#DIV/0!</v>
      </c>
      <c r="AJ80" s="585">
        <f>スコア入力!U80</f>
        <v>0</v>
      </c>
      <c r="AK80" s="585">
        <f>スコア入力!W80</f>
        <v>0</v>
      </c>
      <c r="AL80" s="578" t="e">
        <f>スコア入力!AJ80</f>
        <v>#DIV/0!</v>
      </c>
      <c r="AM80" s="578" t="e">
        <f>スコア入力!AL80</f>
        <v>#DIV/0!</v>
      </c>
      <c r="AN80" s="579"/>
      <c r="AO80" s="579"/>
    </row>
    <row r="81" spans="2:41" ht="13.5">
      <c r="B81" s="331"/>
      <c r="C81" s="330"/>
      <c r="D81" s="297">
        <v>2</v>
      </c>
      <c r="E81" s="317" t="s">
        <v>702</v>
      </c>
      <c r="F81" s="320"/>
      <c r="G81" s="320"/>
      <c r="H81" s="2966"/>
      <c r="I81" s="2967"/>
      <c r="J81" s="2967"/>
      <c r="K81" s="2968"/>
      <c r="L81" s="589" t="e">
        <f t="shared" si="19"/>
        <v>#DIV/0!</v>
      </c>
      <c r="M81" s="589" t="e">
        <f t="shared" si="20"/>
        <v>#DIV/0!</v>
      </c>
      <c r="N81" s="578" t="e">
        <f>スコア入力!AC81</f>
        <v>#DIV/0!</v>
      </c>
      <c r="O81" s="578" t="e">
        <f>スコア入力!AE81</f>
        <v>#DIV/0!</v>
      </c>
      <c r="P81" s="589" t="e">
        <f t="shared" si="21"/>
        <v>#DIV/0!</v>
      </c>
      <c r="Q81" s="589" t="e">
        <f t="shared" si="22"/>
        <v>#DIV/0!</v>
      </c>
      <c r="R81" s="578" t="e">
        <f>スコア入力!AJ81</f>
        <v>#DIV/0!</v>
      </c>
      <c r="S81" s="578" t="e">
        <f>スコア入力!AL81</f>
        <v>#DIV/0!</v>
      </c>
      <c r="T81" s="579"/>
      <c r="U81" s="579"/>
      <c r="W81" s="237">
        <f t="shared" si="23"/>
        <v>3</v>
      </c>
      <c r="X81" s="237">
        <f t="shared" si="24"/>
        <v>3</v>
      </c>
      <c r="Y81" s="236" t="e">
        <f>スコア入力!AA81</f>
        <v>#DIV/0!</v>
      </c>
      <c r="Z81" s="236" t="e">
        <f>スコア入力!AB81</f>
        <v>#DIV/0!</v>
      </c>
      <c r="AA81" s="237">
        <f t="shared" si="25"/>
        <v>0</v>
      </c>
      <c r="AB81" s="237">
        <f t="shared" si="26"/>
        <v>0</v>
      </c>
      <c r="AC81" s="236" t="e">
        <f>スコア入力!AH81</f>
        <v>#DIV/0!</v>
      </c>
      <c r="AD81" s="236" t="e">
        <f>スコア入力!AI81</f>
        <v>#DIV/0!</v>
      </c>
      <c r="AE81" s="6"/>
      <c r="AF81" s="420">
        <f>スコア入力!N81</f>
        <v>3</v>
      </c>
      <c r="AG81" s="420">
        <f>スコア入力!P81</f>
        <v>3</v>
      </c>
      <c r="AH81" s="578" t="e">
        <f>スコア入力!AC81</f>
        <v>#DIV/0!</v>
      </c>
      <c r="AI81" s="578" t="e">
        <f>スコア入力!AE81</f>
        <v>#DIV/0!</v>
      </c>
      <c r="AJ81" s="420">
        <f>スコア入力!U81</f>
        <v>0</v>
      </c>
      <c r="AK81" s="420">
        <f>スコア入力!W81</f>
        <v>0</v>
      </c>
      <c r="AL81" s="578" t="e">
        <f>スコア入力!AJ81</f>
        <v>#DIV/0!</v>
      </c>
      <c r="AM81" s="578" t="e">
        <f>スコア入力!AL81</f>
        <v>#DIV/0!</v>
      </c>
      <c r="AN81" s="579"/>
      <c r="AO81" s="579"/>
    </row>
    <row r="82" spans="2:41" ht="13.5">
      <c r="B82" s="331"/>
      <c r="C82" s="330"/>
      <c r="D82" s="297">
        <v>3</v>
      </c>
      <c r="E82" s="317" t="s">
        <v>703</v>
      </c>
      <c r="F82" s="320"/>
      <c r="G82" s="320"/>
      <c r="H82" s="2966"/>
      <c r="I82" s="2967"/>
      <c r="J82" s="2967"/>
      <c r="K82" s="2968"/>
      <c r="L82" s="589" t="e">
        <f t="shared" si="19"/>
        <v>#DIV/0!</v>
      </c>
      <c r="M82" s="589" t="e">
        <f t="shared" si="20"/>
        <v>#DIV/0!</v>
      </c>
      <c r="N82" s="578" t="e">
        <f>スコア入力!AC82</f>
        <v>#DIV/0!</v>
      </c>
      <c r="O82" s="578" t="e">
        <f>スコア入力!AE82</f>
        <v>#DIV/0!</v>
      </c>
      <c r="P82" s="589" t="e">
        <f t="shared" si="21"/>
        <v>#DIV/0!</v>
      </c>
      <c r="Q82" s="589" t="e">
        <f t="shared" si="22"/>
        <v>#DIV/0!</v>
      </c>
      <c r="R82" s="578" t="e">
        <f>スコア入力!AJ82</f>
        <v>#DIV/0!</v>
      </c>
      <c r="S82" s="578" t="e">
        <f>スコア入力!AL82</f>
        <v>#DIV/0!</v>
      </c>
      <c r="T82" s="579"/>
      <c r="U82" s="579"/>
      <c r="W82" s="237">
        <f t="shared" si="23"/>
        <v>0</v>
      </c>
      <c r="X82" s="237">
        <f t="shared" si="24"/>
        <v>3</v>
      </c>
      <c r="Y82" s="236" t="e">
        <f>スコア入力!AA82</f>
        <v>#DIV/0!</v>
      </c>
      <c r="Z82" s="236" t="e">
        <f>スコア入力!AB82</f>
        <v>#DIV/0!</v>
      </c>
      <c r="AA82" s="237">
        <f t="shared" si="25"/>
        <v>0</v>
      </c>
      <c r="AB82" s="237">
        <f t="shared" si="26"/>
        <v>0</v>
      </c>
      <c r="AC82" s="236" t="e">
        <f>スコア入力!AH82</f>
        <v>#DIV/0!</v>
      </c>
      <c r="AD82" s="236" t="e">
        <f>スコア入力!AI82</f>
        <v>#DIV/0!</v>
      </c>
      <c r="AE82" s="6"/>
      <c r="AF82" s="420">
        <f>スコア入力!N82</f>
        <v>0</v>
      </c>
      <c r="AG82" s="420">
        <f>スコア入力!P82</f>
        <v>3</v>
      </c>
      <c r="AH82" s="578" t="e">
        <f>スコア入力!AC82</f>
        <v>#DIV/0!</v>
      </c>
      <c r="AI82" s="578" t="e">
        <f>スコア入力!AE82</f>
        <v>#DIV/0!</v>
      </c>
      <c r="AJ82" s="420">
        <f>スコア入力!U82</f>
        <v>0</v>
      </c>
      <c r="AK82" s="420">
        <f>スコア入力!W82</f>
        <v>0</v>
      </c>
      <c r="AL82" s="578" t="e">
        <f>スコア入力!AJ82</f>
        <v>#DIV/0!</v>
      </c>
      <c r="AM82" s="578" t="e">
        <f>スコア入力!AL82</f>
        <v>#DIV/0!</v>
      </c>
      <c r="AN82" s="579"/>
      <c r="AO82" s="579"/>
    </row>
    <row r="83" spans="2:41" ht="13.5">
      <c r="B83" s="331"/>
      <c r="C83" s="330"/>
      <c r="D83" s="297">
        <v>4</v>
      </c>
      <c r="E83" s="317" t="s">
        <v>704</v>
      </c>
      <c r="F83" s="320"/>
      <c r="G83" s="320"/>
      <c r="H83" s="2966"/>
      <c r="I83" s="2967"/>
      <c r="J83" s="2967"/>
      <c r="K83" s="2968"/>
      <c r="L83" s="589" t="e">
        <f t="shared" si="19"/>
        <v>#DIV/0!</v>
      </c>
      <c r="M83" s="589" t="e">
        <f t="shared" si="20"/>
        <v>#DIV/0!</v>
      </c>
      <c r="N83" s="578" t="e">
        <f>スコア入力!AC83</f>
        <v>#DIV/0!</v>
      </c>
      <c r="O83" s="578" t="e">
        <f>スコア入力!AE83</f>
        <v>#DIV/0!</v>
      </c>
      <c r="P83" s="589" t="e">
        <f t="shared" si="21"/>
        <v>#DIV/0!</v>
      </c>
      <c r="Q83" s="589" t="e">
        <f t="shared" si="22"/>
        <v>#DIV/0!</v>
      </c>
      <c r="R83" s="578" t="e">
        <f>スコア入力!AJ83</f>
        <v>#DIV/0!</v>
      </c>
      <c r="S83" s="578" t="e">
        <f>スコア入力!AL83</f>
        <v>#DIV/0!</v>
      </c>
      <c r="T83" s="579"/>
      <c r="U83" s="579"/>
      <c r="W83" s="237">
        <f t="shared" si="23"/>
        <v>3</v>
      </c>
      <c r="X83" s="237">
        <f t="shared" si="24"/>
        <v>3</v>
      </c>
      <c r="Y83" s="236" t="e">
        <f>スコア入力!AA83</f>
        <v>#DIV/0!</v>
      </c>
      <c r="Z83" s="236" t="e">
        <f>スコア入力!AB83</f>
        <v>#DIV/0!</v>
      </c>
      <c r="AA83" s="237">
        <f t="shared" si="25"/>
        <v>0</v>
      </c>
      <c r="AB83" s="237">
        <f t="shared" si="26"/>
        <v>0</v>
      </c>
      <c r="AC83" s="236" t="e">
        <f>スコア入力!AH83</f>
        <v>#DIV/0!</v>
      </c>
      <c r="AD83" s="236" t="e">
        <f>スコア入力!AI83</f>
        <v>#DIV/0!</v>
      </c>
      <c r="AE83" s="6"/>
      <c r="AF83" s="420">
        <f>スコア入力!N83</f>
        <v>3</v>
      </c>
      <c r="AG83" s="420">
        <f>スコア入力!P83</f>
        <v>3</v>
      </c>
      <c r="AH83" s="578" t="e">
        <f>スコア入力!AC83</f>
        <v>#DIV/0!</v>
      </c>
      <c r="AI83" s="578" t="e">
        <f>スコア入力!AE83</f>
        <v>#DIV/0!</v>
      </c>
      <c r="AJ83" s="420">
        <f>スコア入力!U83</f>
        <v>0</v>
      </c>
      <c r="AK83" s="420">
        <f>スコア入力!W83</f>
        <v>0</v>
      </c>
      <c r="AL83" s="578" t="e">
        <f>スコア入力!AJ83</f>
        <v>#DIV/0!</v>
      </c>
      <c r="AM83" s="578" t="e">
        <f>スコア入力!AL83</f>
        <v>#DIV/0!</v>
      </c>
      <c r="AN83" s="579"/>
      <c r="AO83" s="579"/>
    </row>
    <row r="84" spans="2:41" ht="13.5">
      <c r="B84" s="331"/>
      <c r="C84" s="330"/>
      <c r="D84" s="297">
        <v>5</v>
      </c>
      <c r="E84" s="317" t="s">
        <v>705</v>
      </c>
      <c r="F84" s="320"/>
      <c r="G84" s="320"/>
      <c r="H84" s="2966"/>
      <c r="I84" s="2967"/>
      <c r="J84" s="2967"/>
      <c r="K84" s="2968"/>
      <c r="L84" s="589" t="e">
        <f t="shared" si="19"/>
        <v>#DIV/0!</v>
      </c>
      <c r="M84" s="589" t="e">
        <f t="shared" si="20"/>
        <v>#DIV/0!</v>
      </c>
      <c r="N84" s="578" t="e">
        <f>スコア入力!AC84</f>
        <v>#DIV/0!</v>
      </c>
      <c r="O84" s="578" t="e">
        <f>スコア入力!AE84</f>
        <v>#DIV/0!</v>
      </c>
      <c r="P84" s="589" t="e">
        <f t="shared" si="21"/>
        <v>#DIV/0!</v>
      </c>
      <c r="Q84" s="589" t="e">
        <f t="shared" si="22"/>
        <v>#DIV/0!</v>
      </c>
      <c r="R84" s="578" t="e">
        <f>スコア入力!AJ84</f>
        <v>#DIV/0!</v>
      </c>
      <c r="S84" s="578" t="e">
        <f>スコア入力!AL84</f>
        <v>#DIV/0!</v>
      </c>
      <c r="T84" s="579"/>
      <c r="U84" s="579"/>
      <c r="W84" s="237">
        <f t="shared" si="23"/>
        <v>3</v>
      </c>
      <c r="X84" s="237">
        <f t="shared" si="24"/>
        <v>3</v>
      </c>
      <c r="Y84" s="236" t="e">
        <f>スコア入力!AA84</f>
        <v>#DIV/0!</v>
      </c>
      <c r="Z84" s="236" t="e">
        <f>スコア入力!AB84</f>
        <v>#DIV/0!</v>
      </c>
      <c r="AA84" s="237">
        <f t="shared" si="25"/>
        <v>0</v>
      </c>
      <c r="AB84" s="237">
        <f t="shared" si="26"/>
        <v>0</v>
      </c>
      <c r="AC84" s="236" t="e">
        <f>スコア入力!AH84</f>
        <v>#DIV/0!</v>
      </c>
      <c r="AD84" s="236" t="e">
        <f>スコア入力!AI84</f>
        <v>#DIV/0!</v>
      </c>
      <c r="AE84" s="6"/>
      <c r="AF84" s="420">
        <f>スコア入力!N84</f>
        <v>3</v>
      </c>
      <c r="AG84" s="420">
        <f>スコア入力!P84</f>
        <v>3</v>
      </c>
      <c r="AH84" s="578" t="e">
        <f>スコア入力!AC84</f>
        <v>#DIV/0!</v>
      </c>
      <c r="AI84" s="578" t="e">
        <f>スコア入力!AE84</f>
        <v>#DIV/0!</v>
      </c>
      <c r="AJ84" s="420">
        <f>スコア入力!U84</f>
        <v>0</v>
      </c>
      <c r="AK84" s="420">
        <f>スコア入力!W84</f>
        <v>0</v>
      </c>
      <c r="AL84" s="578" t="e">
        <f>スコア入力!AJ84</f>
        <v>#DIV/0!</v>
      </c>
      <c r="AM84" s="578" t="e">
        <f>スコア入力!AL84</f>
        <v>#DIV/0!</v>
      </c>
      <c r="AN84" s="579"/>
      <c r="AO84" s="579"/>
    </row>
    <row r="85" spans="2:41" ht="14.25" thickBot="1">
      <c r="B85" s="331"/>
      <c r="C85" s="339"/>
      <c r="D85" s="297">
        <v>6</v>
      </c>
      <c r="E85" s="317" t="s">
        <v>706</v>
      </c>
      <c r="F85" s="320"/>
      <c r="G85" s="320"/>
      <c r="H85" s="2966"/>
      <c r="I85" s="2967"/>
      <c r="J85" s="2967"/>
      <c r="K85" s="2968"/>
      <c r="L85" s="586" t="e">
        <f t="shared" si="19"/>
        <v>#DIV/0!</v>
      </c>
      <c r="M85" s="586" t="e">
        <f t="shared" si="20"/>
        <v>#DIV/0!</v>
      </c>
      <c r="N85" s="2441" t="e">
        <f>スコア入力!AC85</f>
        <v>#DIV/0!</v>
      </c>
      <c r="O85" s="578" t="e">
        <f>スコア入力!AE85</f>
        <v>#DIV/0!</v>
      </c>
      <c r="P85" s="586" t="e">
        <f t="shared" si="21"/>
        <v>#DIV/0!</v>
      </c>
      <c r="Q85" s="586" t="e">
        <f t="shared" si="22"/>
        <v>#DIV/0!</v>
      </c>
      <c r="R85" s="578" t="e">
        <f>スコア入力!AJ85</f>
        <v>#DIV/0!</v>
      </c>
      <c r="S85" s="578" t="e">
        <f>スコア入力!AL85</f>
        <v>#DIV/0!</v>
      </c>
      <c r="T85" s="579"/>
      <c r="U85" s="579"/>
      <c r="W85" s="237">
        <f t="shared" si="23"/>
        <v>3</v>
      </c>
      <c r="X85" s="237">
        <f t="shared" si="24"/>
        <v>3</v>
      </c>
      <c r="Y85" s="236" t="e">
        <f>スコア入力!AA85</f>
        <v>#DIV/0!</v>
      </c>
      <c r="Z85" s="236" t="e">
        <f>スコア入力!AB85</f>
        <v>#DIV/0!</v>
      </c>
      <c r="AA85" s="237">
        <f t="shared" si="25"/>
        <v>0</v>
      </c>
      <c r="AB85" s="237">
        <f t="shared" si="26"/>
        <v>0</v>
      </c>
      <c r="AC85" s="236" t="e">
        <f>スコア入力!AH85</f>
        <v>#DIV/0!</v>
      </c>
      <c r="AD85" s="236" t="e">
        <f>スコア入力!AI85</f>
        <v>#DIV/0!</v>
      </c>
      <c r="AE85" s="6"/>
      <c r="AF85" s="587">
        <f>スコア入力!N85</f>
        <v>3</v>
      </c>
      <c r="AG85" s="587">
        <f>スコア入力!P85</f>
        <v>3</v>
      </c>
      <c r="AH85" s="578" t="e">
        <f>スコア入力!AC85</f>
        <v>#DIV/0!</v>
      </c>
      <c r="AI85" s="578" t="e">
        <f>スコア入力!AE85</f>
        <v>#DIV/0!</v>
      </c>
      <c r="AJ85" s="587">
        <f>スコア入力!U85</f>
        <v>0</v>
      </c>
      <c r="AK85" s="587">
        <f>スコア入力!W85</f>
        <v>0</v>
      </c>
      <c r="AL85" s="578" t="e">
        <f>スコア入力!AJ85</f>
        <v>#DIV/0!</v>
      </c>
      <c r="AM85" s="578" t="e">
        <f>スコア入力!AL85</f>
        <v>#DIV/0!</v>
      </c>
      <c r="AN85" s="579"/>
      <c r="AO85" s="579"/>
    </row>
    <row r="86" spans="2:41" ht="14.25" thickBot="1">
      <c r="B86" s="331"/>
      <c r="C86" s="289">
        <v>2.2999999999999998</v>
      </c>
      <c r="D86" s="290" t="s">
        <v>707</v>
      </c>
      <c r="E86" s="611"/>
      <c r="F86" s="612"/>
      <c r="G86" s="612"/>
      <c r="H86" s="2966"/>
      <c r="I86" s="2967"/>
      <c r="J86" s="2967"/>
      <c r="K86" s="2968"/>
      <c r="L86" s="588" t="e">
        <f t="shared" si="19"/>
        <v>#DIV/0!</v>
      </c>
      <c r="M86" s="613" t="e">
        <f t="shared" si="20"/>
        <v>#DIV/0!</v>
      </c>
      <c r="N86" s="578" t="e">
        <f>スコア入力!AC86</f>
        <v>#DIV/0!</v>
      </c>
      <c r="O86" s="578" t="e">
        <f>スコア入力!AE86</f>
        <v>#DIV/0!</v>
      </c>
      <c r="P86" s="2439" t="e">
        <f t="shared" si="21"/>
        <v>#DIV/0!</v>
      </c>
      <c r="Q86" s="2440" t="e">
        <f t="shared" si="22"/>
        <v>#DIV/0!</v>
      </c>
      <c r="R86" s="578" t="e">
        <f>スコア入力!AJ86</f>
        <v>#DIV/0!</v>
      </c>
      <c r="S86" s="578" t="e">
        <f>スコア入力!AL86</f>
        <v>#DIV/0!</v>
      </c>
      <c r="T86" s="579"/>
      <c r="U86" s="579"/>
      <c r="W86" s="568" t="e">
        <f t="shared" si="23"/>
        <v>#DIV/0!</v>
      </c>
      <c r="X86" s="568" t="e">
        <f t="shared" si="24"/>
        <v>#DIV/0!</v>
      </c>
      <c r="Y86" s="236" t="e">
        <f>スコア入力!AA86</f>
        <v>#DIV/0!</v>
      </c>
      <c r="Z86" s="236" t="e">
        <f>スコア入力!AB86</f>
        <v>#DIV/0!</v>
      </c>
      <c r="AA86" s="568" t="e">
        <f t="shared" si="25"/>
        <v>#DIV/0!</v>
      </c>
      <c r="AB86" s="568" t="e">
        <f t="shared" si="26"/>
        <v>#DIV/0!</v>
      </c>
      <c r="AC86" s="236" t="e">
        <f>スコア入力!AH86</f>
        <v>#DIV/0!</v>
      </c>
      <c r="AD86" s="236" t="e">
        <f>スコア入力!AI86</f>
        <v>#DIV/0!</v>
      </c>
      <c r="AE86" s="6"/>
      <c r="AF86" s="597" t="e">
        <f>SUMPRODUCT(AF87:AF89,AH87:AH89)</f>
        <v>#DIV/0!</v>
      </c>
      <c r="AG86" s="597" t="e">
        <f>SUMPRODUCT(AG87:AG89,AI87:AI89)</f>
        <v>#DIV/0!</v>
      </c>
      <c r="AH86" s="578" t="e">
        <f>スコア入力!AC86</f>
        <v>#DIV/0!</v>
      </c>
      <c r="AI86" s="578" t="e">
        <f>スコア入力!AE86</f>
        <v>#DIV/0!</v>
      </c>
      <c r="AJ86" s="597" t="e">
        <f>SUMPRODUCT(AJ87:AJ89,AL87:AL89)</f>
        <v>#DIV/0!</v>
      </c>
      <c r="AK86" s="597" t="e">
        <f>SUMPRODUCT(AK87:AK89,AM87:AM89)</f>
        <v>#DIV/0!</v>
      </c>
      <c r="AL86" s="578" t="e">
        <f>スコア入力!AJ86</f>
        <v>#DIV/0!</v>
      </c>
      <c r="AM86" s="578" t="e">
        <f>スコア入力!AL86</f>
        <v>#DIV/0!</v>
      </c>
      <c r="AN86" s="579"/>
      <c r="AO86" s="579"/>
    </row>
    <row r="87" spans="2:41" ht="13.5">
      <c r="B87" s="331"/>
      <c r="C87" s="614"/>
      <c r="D87" s="615">
        <v>1</v>
      </c>
      <c r="E87" s="616" t="s">
        <v>708</v>
      </c>
      <c r="F87" s="612"/>
      <c r="G87" s="612"/>
      <c r="H87" s="2966"/>
      <c r="I87" s="2967"/>
      <c r="J87" s="2967"/>
      <c r="K87" s="2968"/>
      <c r="L87" s="583" t="e">
        <f t="shared" si="19"/>
        <v>#DIV/0!</v>
      </c>
      <c r="M87" s="583" t="e">
        <f t="shared" si="20"/>
        <v>#DIV/0!</v>
      </c>
      <c r="N87" s="578" t="e">
        <f>スコア入力!AC87</f>
        <v>#DIV/0!</v>
      </c>
      <c r="O87" s="578" t="e">
        <f>スコア入力!AE87</f>
        <v>#DIV/0!</v>
      </c>
      <c r="P87" s="583" t="e">
        <f t="shared" si="21"/>
        <v>#DIV/0!</v>
      </c>
      <c r="Q87" s="583" t="e">
        <f t="shared" si="22"/>
        <v>#DIV/0!</v>
      </c>
      <c r="R87" s="578" t="e">
        <f>スコア入力!AJ87</f>
        <v>#DIV/0!</v>
      </c>
      <c r="S87" s="578" t="e">
        <f>スコア入力!AL87</f>
        <v>#DIV/0!</v>
      </c>
      <c r="T87" s="579"/>
      <c r="U87" s="579"/>
      <c r="W87" s="237">
        <f t="shared" si="23"/>
        <v>3</v>
      </c>
      <c r="X87" s="237">
        <f t="shared" si="24"/>
        <v>3</v>
      </c>
      <c r="Y87" s="236" t="e">
        <f>スコア入力!AA87</f>
        <v>#DIV/0!</v>
      </c>
      <c r="Z87" s="236" t="e">
        <f>スコア入力!AB87</f>
        <v>#DIV/0!</v>
      </c>
      <c r="AA87" s="237">
        <f t="shared" si="25"/>
        <v>0</v>
      </c>
      <c r="AB87" s="237">
        <f t="shared" si="26"/>
        <v>0</v>
      </c>
      <c r="AC87" s="236" t="e">
        <f>スコア入力!AH87</f>
        <v>#DIV/0!</v>
      </c>
      <c r="AD87" s="236" t="e">
        <f>スコア入力!AI87</f>
        <v>#DIV/0!</v>
      </c>
      <c r="AE87" s="6"/>
      <c r="AF87" s="585">
        <f>スコア入力!N87</f>
        <v>3</v>
      </c>
      <c r="AG87" s="585">
        <f>スコア入力!P87</f>
        <v>3</v>
      </c>
      <c r="AH87" s="578" t="e">
        <f>スコア入力!AC87</f>
        <v>#DIV/0!</v>
      </c>
      <c r="AI87" s="578" t="e">
        <f>スコア入力!AE87</f>
        <v>#DIV/0!</v>
      </c>
      <c r="AJ87" s="585">
        <f>スコア入力!U87</f>
        <v>0</v>
      </c>
      <c r="AK87" s="585">
        <f>スコア入力!W87</f>
        <v>0</v>
      </c>
      <c r="AL87" s="578" t="e">
        <f>スコア入力!AJ87</f>
        <v>#DIV/0!</v>
      </c>
      <c r="AM87" s="578" t="e">
        <f>スコア入力!AL87</f>
        <v>#DIV/0!</v>
      </c>
      <c r="AN87" s="579"/>
      <c r="AO87" s="579"/>
    </row>
    <row r="88" spans="2:41" ht="13.5">
      <c r="B88" s="331"/>
      <c r="C88" s="614"/>
      <c r="D88" s="615">
        <v>2</v>
      </c>
      <c r="E88" s="616" t="s">
        <v>709</v>
      </c>
      <c r="F88" s="612"/>
      <c r="G88" s="612"/>
      <c r="H88" s="2966"/>
      <c r="I88" s="2967"/>
      <c r="J88" s="2967"/>
      <c r="K88" s="2968"/>
      <c r="L88" s="589" t="e">
        <f t="shared" si="19"/>
        <v>#DIV/0!</v>
      </c>
      <c r="M88" s="589" t="e">
        <f t="shared" si="20"/>
        <v>#DIV/0!</v>
      </c>
      <c r="N88" s="578" t="e">
        <f>スコア入力!AC88</f>
        <v>#DIV/0!</v>
      </c>
      <c r="O88" s="578" t="e">
        <f>スコア入力!AE88</f>
        <v>#DIV/0!</v>
      </c>
      <c r="P88" s="589" t="e">
        <f t="shared" si="21"/>
        <v>#DIV/0!</v>
      </c>
      <c r="Q88" s="589" t="e">
        <f t="shared" si="22"/>
        <v>#DIV/0!</v>
      </c>
      <c r="R88" s="578" t="e">
        <f>スコア入力!AJ88</f>
        <v>#DIV/0!</v>
      </c>
      <c r="S88" s="578" t="e">
        <f>スコア入力!AL88</f>
        <v>#DIV/0!</v>
      </c>
      <c r="T88" s="579"/>
      <c r="U88" s="579"/>
      <c r="W88" s="237">
        <f t="shared" si="23"/>
        <v>3</v>
      </c>
      <c r="X88" s="237">
        <f t="shared" si="24"/>
        <v>3</v>
      </c>
      <c r="Y88" s="236" t="e">
        <f>スコア入力!AA88</f>
        <v>#DIV/0!</v>
      </c>
      <c r="Z88" s="236" t="e">
        <f>スコア入力!AB88</f>
        <v>#DIV/0!</v>
      </c>
      <c r="AA88" s="237">
        <f t="shared" si="25"/>
        <v>0</v>
      </c>
      <c r="AB88" s="237">
        <f t="shared" si="26"/>
        <v>0</v>
      </c>
      <c r="AC88" s="236" t="e">
        <f>スコア入力!AH88</f>
        <v>#DIV/0!</v>
      </c>
      <c r="AD88" s="236" t="e">
        <f>スコア入力!AI88</f>
        <v>#DIV/0!</v>
      </c>
      <c r="AE88" s="6"/>
      <c r="AF88" s="420">
        <f>スコア入力!N88</f>
        <v>3</v>
      </c>
      <c r="AG88" s="420">
        <f>スコア入力!P88</f>
        <v>3</v>
      </c>
      <c r="AH88" s="578" t="e">
        <f>スコア入力!AC88</f>
        <v>#DIV/0!</v>
      </c>
      <c r="AI88" s="578" t="e">
        <f>スコア入力!AE88</f>
        <v>#DIV/0!</v>
      </c>
      <c r="AJ88" s="420">
        <f>スコア入力!U88</f>
        <v>0</v>
      </c>
      <c r="AK88" s="420">
        <f>スコア入力!W88</f>
        <v>0</v>
      </c>
      <c r="AL88" s="578" t="e">
        <f>スコア入力!AJ88</f>
        <v>#DIV/0!</v>
      </c>
      <c r="AM88" s="578" t="e">
        <f>スコア入力!AL88</f>
        <v>#DIV/0!</v>
      </c>
      <c r="AN88" s="579"/>
      <c r="AO88" s="579"/>
    </row>
    <row r="89" spans="2:41" ht="14.25" thickBot="1">
      <c r="B89" s="331"/>
      <c r="C89" s="614"/>
      <c r="D89" s="615">
        <v>3</v>
      </c>
      <c r="E89" s="616" t="s">
        <v>710</v>
      </c>
      <c r="F89" s="612"/>
      <c r="G89" s="612"/>
      <c r="H89" s="2966"/>
      <c r="I89" s="2967"/>
      <c r="J89" s="2967"/>
      <c r="K89" s="2968"/>
      <c r="L89" s="586" t="e">
        <f t="shared" si="19"/>
        <v>#DIV/0!</v>
      </c>
      <c r="M89" s="586" t="e">
        <f t="shared" si="20"/>
        <v>#DIV/0!</v>
      </c>
      <c r="N89" s="578" t="e">
        <f>スコア入力!AC89</f>
        <v>#DIV/0!</v>
      </c>
      <c r="O89" s="578" t="e">
        <f>スコア入力!AE89</f>
        <v>#DIV/0!</v>
      </c>
      <c r="P89" s="586" t="e">
        <f t="shared" si="21"/>
        <v>#DIV/0!</v>
      </c>
      <c r="Q89" s="586" t="e">
        <f t="shared" si="22"/>
        <v>#DIV/0!</v>
      </c>
      <c r="R89" s="578" t="e">
        <f>スコア入力!AJ89</f>
        <v>#DIV/0!</v>
      </c>
      <c r="S89" s="578" t="e">
        <f>スコア入力!AL89</f>
        <v>#DIV/0!</v>
      </c>
      <c r="T89" s="579"/>
      <c r="U89" s="579"/>
      <c r="W89" s="237">
        <f t="shared" si="23"/>
        <v>3</v>
      </c>
      <c r="X89" s="237">
        <f t="shared" si="24"/>
        <v>3</v>
      </c>
      <c r="Y89" s="236" t="e">
        <f>スコア入力!AA89</f>
        <v>#DIV/0!</v>
      </c>
      <c r="Z89" s="236" t="e">
        <f>スコア入力!AB89</f>
        <v>#DIV/0!</v>
      </c>
      <c r="AA89" s="237">
        <f t="shared" si="25"/>
        <v>0</v>
      </c>
      <c r="AB89" s="237">
        <f t="shared" si="26"/>
        <v>0</v>
      </c>
      <c r="AC89" s="236" t="e">
        <f>スコア入力!AH89</f>
        <v>#DIV/0!</v>
      </c>
      <c r="AD89" s="236" t="e">
        <f>スコア入力!AI89</f>
        <v>#DIV/0!</v>
      </c>
      <c r="AE89" s="6"/>
      <c r="AF89" s="587">
        <f>スコア入力!N89</f>
        <v>3</v>
      </c>
      <c r="AG89" s="587">
        <f>スコア入力!P89</f>
        <v>3</v>
      </c>
      <c r="AH89" s="578" t="e">
        <f>スコア入力!AC89</f>
        <v>#DIV/0!</v>
      </c>
      <c r="AI89" s="578" t="e">
        <f>スコア入力!AE89</f>
        <v>#DIV/0!</v>
      </c>
      <c r="AJ89" s="587">
        <f>スコア入力!U89</f>
        <v>0</v>
      </c>
      <c r="AK89" s="587">
        <f>スコア入力!W89</f>
        <v>0</v>
      </c>
      <c r="AL89" s="578" t="e">
        <f>スコア入力!AJ89</f>
        <v>#DIV/0!</v>
      </c>
      <c r="AM89" s="578" t="e">
        <f>スコア入力!AL89</f>
        <v>#DIV/0!</v>
      </c>
      <c r="AN89" s="579"/>
      <c r="AO89" s="579"/>
    </row>
    <row r="90" spans="2:41" ht="14.25" thickBot="1">
      <c r="B90" s="331"/>
      <c r="C90" s="289">
        <v>2.4</v>
      </c>
      <c r="D90" s="617" t="s">
        <v>711</v>
      </c>
      <c r="E90" s="317"/>
      <c r="F90" s="370"/>
      <c r="G90" s="370"/>
      <c r="H90" s="2966"/>
      <c r="I90" s="2967"/>
      <c r="J90" s="2967"/>
      <c r="K90" s="2968"/>
      <c r="L90" s="588" t="e">
        <f t="shared" si="19"/>
        <v>#DIV/0!</v>
      </c>
      <c r="M90" s="597" t="e">
        <f t="shared" si="20"/>
        <v>#DIV/0!</v>
      </c>
      <c r="N90" s="578" t="e">
        <f>スコア入力!AC90</f>
        <v>#DIV/0!</v>
      </c>
      <c r="O90" s="578" t="e">
        <f>スコア入力!AE90</f>
        <v>#DIV/0!</v>
      </c>
      <c r="P90" s="618" t="e">
        <f t="shared" si="21"/>
        <v>#DIV/0!</v>
      </c>
      <c r="Q90" s="597" t="e">
        <f t="shared" si="22"/>
        <v>#DIV/0!</v>
      </c>
      <c r="R90" s="578" t="e">
        <f>スコア入力!AJ90</f>
        <v>#DIV/0!</v>
      </c>
      <c r="S90" s="578" t="e">
        <f>スコア入力!AL90</f>
        <v>#DIV/0!</v>
      </c>
      <c r="T90" s="579"/>
      <c r="U90" s="579"/>
      <c r="W90" s="568" t="e">
        <f t="shared" si="23"/>
        <v>#DIV/0!</v>
      </c>
      <c r="X90" s="568" t="e">
        <f t="shared" si="24"/>
        <v>#DIV/0!</v>
      </c>
      <c r="Y90" s="236" t="e">
        <f>スコア入力!AA90</f>
        <v>#DIV/0!</v>
      </c>
      <c r="Z90" s="236" t="e">
        <f>スコア入力!AB90</f>
        <v>#DIV/0!</v>
      </c>
      <c r="AA90" s="568" t="e">
        <f t="shared" si="25"/>
        <v>#DIV/0!</v>
      </c>
      <c r="AB90" s="568" t="e">
        <f t="shared" si="26"/>
        <v>#DIV/0!</v>
      </c>
      <c r="AC90" s="236" t="e">
        <f>スコア入力!AH90</f>
        <v>#DIV/0!</v>
      </c>
      <c r="AD90" s="236" t="e">
        <f>スコア入力!AI90</f>
        <v>#DIV/0!</v>
      </c>
      <c r="AE90" s="6"/>
      <c r="AF90" s="597" t="e">
        <f>SUMPRODUCT(AF91:AF95,AH91:AH95)</f>
        <v>#DIV/0!</v>
      </c>
      <c r="AG90" s="597" t="e">
        <f>SUMPRODUCT(AG91:AG95,AI91:AI95)</f>
        <v>#DIV/0!</v>
      </c>
      <c r="AH90" s="578" t="e">
        <f>スコア入力!AC90</f>
        <v>#DIV/0!</v>
      </c>
      <c r="AI90" s="578" t="e">
        <f>スコア入力!AE90</f>
        <v>#DIV/0!</v>
      </c>
      <c r="AJ90" s="597" t="e">
        <f>SUMPRODUCT(AJ91:AJ95,AL91:AL95)</f>
        <v>#DIV/0!</v>
      </c>
      <c r="AK90" s="597" t="e">
        <f>SUMPRODUCT(AK91:AK95,AM91:AM95)</f>
        <v>#DIV/0!</v>
      </c>
      <c r="AL90" s="578" t="e">
        <f>スコア入力!AJ90</f>
        <v>#DIV/0!</v>
      </c>
      <c r="AM90" s="578" t="e">
        <f>スコア入力!AL90</f>
        <v>#DIV/0!</v>
      </c>
      <c r="AN90" s="579"/>
      <c r="AO90" s="579"/>
    </row>
    <row r="91" spans="2:41" ht="13.5">
      <c r="B91" s="331"/>
      <c r="C91" s="330"/>
      <c r="D91" s="297">
        <v>1</v>
      </c>
      <c r="E91" s="317" t="s">
        <v>712</v>
      </c>
      <c r="F91" s="320"/>
      <c r="G91" s="320"/>
      <c r="H91" s="2966"/>
      <c r="I91" s="2967"/>
      <c r="J91" s="2967"/>
      <c r="K91" s="2968"/>
      <c r="L91" s="583" t="e">
        <f t="shared" si="19"/>
        <v>#DIV/0!</v>
      </c>
      <c r="M91" s="583" t="e">
        <f t="shared" si="20"/>
        <v>#DIV/0!</v>
      </c>
      <c r="N91" s="578" t="e">
        <f>スコア入力!AC91</f>
        <v>#DIV/0!</v>
      </c>
      <c r="O91" s="578" t="e">
        <f>スコア入力!AE91</f>
        <v>#DIV/0!</v>
      </c>
      <c r="P91" s="583" t="e">
        <f t="shared" si="21"/>
        <v>#DIV/0!</v>
      </c>
      <c r="Q91" s="583" t="e">
        <f t="shared" si="22"/>
        <v>#DIV/0!</v>
      </c>
      <c r="R91" s="578" t="e">
        <f>スコア入力!AJ91</f>
        <v>#DIV/0!</v>
      </c>
      <c r="S91" s="578" t="e">
        <f>スコア入力!AL91</f>
        <v>#DIV/0!</v>
      </c>
      <c r="T91" s="579"/>
      <c r="U91" s="579"/>
      <c r="W91" s="237">
        <f t="shared" si="23"/>
        <v>3</v>
      </c>
      <c r="X91" s="237">
        <f t="shared" si="24"/>
        <v>3</v>
      </c>
      <c r="Y91" s="236" t="e">
        <f>スコア入力!AA91</f>
        <v>#DIV/0!</v>
      </c>
      <c r="Z91" s="236" t="e">
        <f>スコア入力!AB91</f>
        <v>#DIV/0!</v>
      </c>
      <c r="AA91" s="237">
        <f t="shared" si="25"/>
        <v>0</v>
      </c>
      <c r="AB91" s="237">
        <f t="shared" si="26"/>
        <v>0</v>
      </c>
      <c r="AC91" s="236" t="e">
        <f>スコア入力!AH91</f>
        <v>#DIV/0!</v>
      </c>
      <c r="AD91" s="236" t="e">
        <f>スコア入力!AI91</f>
        <v>#DIV/0!</v>
      </c>
      <c r="AE91" s="6"/>
      <c r="AF91" s="585">
        <f>スコア入力!N91</f>
        <v>3</v>
      </c>
      <c r="AG91" s="585">
        <f>スコア入力!P91</f>
        <v>3</v>
      </c>
      <c r="AH91" s="578" t="e">
        <f>スコア入力!AC91</f>
        <v>#DIV/0!</v>
      </c>
      <c r="AI91" s="578" t="e">
        <f>スコア入力!AE91</f>
        <v>#DIV/0!</v>
      </c>
      <c r="AJ91" s="585">
        <f>スコア入力!U91</f>
        <v>0</v>
      </c>
      <c r="AK91" s="585">
        <f>スコア入力!W91</f>
        <v>0</v>
      </c>
      <c r="AL91" s="578" t="e">
        <f>スコア入力!AJ91</f>
        <v>#DIV/0!</v>
      </c>
      <c r="AM91" s="578" t="e">
        <f>スコア入力!AL91</f>
        <v>#DIV/0!</v>
      </c>
      <c r="AN91" s="579"/>
      <c r="AO91" s="579"/>
    </row>
    <row r="92" spans="2:41" ht="13.5">
      <c r="B92" s="288"/>
      <c r="C92" s="330"/>
      <c r="D92" s="297">
        <v>2</v>
      </c>
      <c r="E92" s="317" t="s">
        <v>713</v>
      </c>
      <c r="F92" s="320"/>
      <c r="G92" s="320"/>
      <c r="H92" s="2966"/>
      <c r="I92" s="2967"/>
      <c r="J92" s="2967"/>
      <c r="K92" s="2968"/>
      <c r="L92" s="589" t="e">
        <f t="shared" si="19"/>
        <v>#DIV/0!</v>
      </c>
      <c r="M92" s="589" t="e">
        <f t="shared" si="20"/>
        <v>#DIV/0!</v>
      </c>
      <c r="N92" s="578" t="e">
        <f>スコア入力!AC92</f>
        <v>#DIV/0!</v>
      </c>
      <c r="O92" s="578" t="e">
        <f>スコア入力!AE92</f>
        <v>#DIV/0!</v>
      </c>
      <c r="P92" s="589" t="e">
        <f t="shared" si="21"/>
        <v>#DIV/0!</v>
      </c>
      <c r="Q92" s="589" t="e">
        <f t="shared" si="22"/>
        <v>#DIV/0!</v>
      </c>
      <c r="R92" s="578" t="e">
        <f>スコア入力!AJ92</f>
        <v>#DIV/0!</v>
      </c>
      <c r="S92" s="578" t="e">
        <f>スコア入力!AL92</f>
        <v>#DIV/0!</v>
      </c>
      <c r="T92" s="579"/>
      <c r="U92" s="579"/>
      <c r="W92" s="237">
        <f t="shared" si="23"/>
        <v>3</v>
      </c>
      <c r="X92" s="237">
        <f t="shared" si="24"/>
        <v>3</v>
      </c>
      <c r="Y92" s="236" t="e">
        <f>スコア入力!AA92</f>
        <v>#DIV/0!</v>
      </c>
      <c r="Z92" s="236" t="e">
        <f>スコア入力!AB92</f>
        <v>#DIV/0!</v>
      </c>
      <c r="AA92" s="237">
        <f t="shared" si="25"/>
        <v>0</v>
      </c>
      <c r="AB92" s="237">
        <f t="shared" si="26"/>
        <v>0</v>
      </c>
      <c r="AC92" s="236" t="e">
        <f>スコア入力!AH92</f>
        <v>#DIV/0!</v>
      </c>
      <c r="AD92" s="236" t="e">
        <f>スコア入力!AI92</f>
        <v>#DIV/0!</v>
      </c>
      <c r="AE92" s="6"/>
      <c r="AF92" s="420">
        <f>スコア入力!N92</f>
        <v>3</v>
      </c>
      <c r="AG92" s="420">
        <f>スコア入力!P92</f>
        <v>3</v>
      </c>
      <c r="AH92" s="578" t="e">
        <f>スコア入力!AC92</f>
        <v>#DIV/0!</v>
      </c>
      <c r="AI92" s="578" t="e">
        <f>スコア入力!AE92</f>
        <v>#DIV/0!</v>
      </c>
      <c r="AJ92" s="420">
        <f>スコア入力!U92</f>
        <v>0</v>
      </c>
      <c r="AK92" s="420">
        <f>スコア入力!W92</f>
        <v>0</v>
      </c>
      <c r="AL92" s="578" t="e">
        <f>スコア入力!AJ92</f>
        <v>#DIV/0!</v>
      </c>
      <c r="AM92" s="578" t="e">
        <f>スコア入力!AL92</f>
        <v>#DIV/0!</v>
      </c>
      <c r="AN92" s="579"/>
      <c r="AO92" s="579"/>
    </row>
    <row r="93" spans="2:41" ht="13.5">
      <c r="B93" s="288"/>
      <c r="C93" s="330"/>
      <c r="D93" s="297">
        <v>3</v>
      </c>
      <c r="E93" s="317" t="s">
        <v>714</v>
      </c>
      <c r="F93" s="320"/>
      <c r="G93" s="320"/>
      <c r="H93" s="2966"/>
      <c r="I93" s="2967"/>
      <c r="J93" s="2967"/>
      <c r="K93" s="2968"/>
      <c r="L93" s="589" t="e">
        <f t="shared" si="19"/>
        <v>#DIV/0!</v>
      </c>
      <c r="M93" s="589" t="e">
        <f t="shared" si="20"/>
        <v>#DIV/0!</v>
      </c>
      <c r="N93" s="578" t="e">
        <f>スコア入力!AC93</f>
        <v>#DIV/0!</v>
      </c>
      <c r="O93" s="578" t="e">
        <f>スコア入力!AE93</f>
        <v>#DIV/0!</v>
      </c>
      <c r="P93" s="589" t="e">
        <f t="shared" si="21"/>
        <v>#DIV/0!</v>
      </c>
      <c r="Q93" s="589" t="e">
        <f t="shared" si="22"/>
        <v>#DIV/0!</v>
      </c>
      <c r="R93" s="578" t="e">
        <f>スコア入力!AJ93</f>
        <v>#DIV/0!</v>
      </c>
      <c r="S93" s="578" t="e">
        <f>スコア入力!AL93</f>
        <v>#DIV/0!</v>
      </c>
      <c r="T93" s="579"/>
      <c r="U93" s="579"/>
      <c r="W93" s="237">
        <f t="shared" si="23"/>
        <v>3</v>
      </c>
      <c r="X93" s="237">
        <f t="shared" si="24"/>
        <v>3</v>
      </c>
      <c r="Y93" s="236" t="e">
        <f>スコア入力!AA93</f>
        <v>#DIV/0!</v>
      </c>
      <c r="Z93" s="236" t="e">
        <f>スコア入力!AB93</f>
        <v>#DIV/0!</v>
      </c>
      <c r="AA93" s="237">
        <f t="shared" si="25"/>
        <v>0</v>
      </c>
      <c r="AB93" s="237">
        <f t="shared" si="26"/>
        <v>0</v>
      </c>
      <c r="AC93" s="236" t="e">
        <f>スコア入力!AH93</f>
        <v>#DIV/0!</v>
      </c>
      <c r="AD93" s="236" t="e">
        <f>スコア入力!AI93</f>
        <v>#DIV/0!</v>
      </c>
      <c r="AE93" s="6"/>
      <c r="AF93" s="420">
        <f>スコア入力!N93</f>
        <v>3</v>
      </c>
      <c r="AG93" s="420">
        <f>スコア入力!P93</f>
        <v>3</v>
      </c>
      <c r="AH93" s="578" t="e">
        <f>スコア入力!AC93</f>
        <v>#DIV/0!</v>
      </c>
      <c r="AI93" s="578" t="e">
        <f>スコア入力!AE93</f>
        <v>#DIV/0!</v>
      </c>
      <c r="AJ93" s="420">
        <f>スコア入力!U93</f>
        <v>0</v>
      </c>
      <c r="AK93" s="420">
        <f>スコア入力!W93</f>
        <v>0</v>
      </c>
      <c r="AL93" s="578" t="e">
        <f>スコア入力!AJ93</f>
        <v>#DIV/0!</v>
      </c>
      <c r="AM93" s="578" t="e">
        <f>スコア入力!AL93</f>
        <v>#DIV/0!</v>
      </c>
      <c r="AN93" s="579"/>
      <c r="AO93" s="579"/>
    </row>
    <row r="94" spans="2:41" ht="13.5">
      <c r="B94" s="288"/>
      <c r="C94" s="330"/>
      <c r="D94" s="297">
        <v>4</v>
      </c>
      <c r="E94" s="317" t="s">
        <v>715</v>
      </c>
      <c r="F94" s="320"/>
      <c r="G94" s="320"/>
      <c r="H94" s="2966"/>
      <c r="I94" s="2967"/>
      <c r="J94" s="2967"/>
      <c r="K94" s="2968"/>
      <c r="L94" s="589" t="e">
        <f t="shared" si="19"/>
        <v>#DIV/0!</v>
      </c>
      <c r="M94" s="589" t="e">
        <f t="shared" si="20"/>
        <v>#DIV/0!</v>
      </c>
      <c r="N94" s="578" t="e">
        <f>スコア入力!AC94</f>
        <v>#DIV/0!</v>
      </c>
      <c r="O94" s="578" t="e">
        <f>スコア入力!AE94</f>
        <v>#DIV/0!</v>
      </c>
      <c r="P94" s="589" t="e">
        <f t="shared" si="21"/>
        <v>#DIV/0!</v>
      </c>
      <c r="Q94" s="589" t="e">
        <f t="shared" si="22"/>
        <v>#DIV/0!</v>
      </c>
      <c r="R94" s="578" t="e">
        <f>スコア入力!AJ94</f>
        <v>#DIV/0!</v>
      </c>
      <c r="S94" s="578" t="e">
        <f>スコア入力!AL94</f>
        <v>#DIV/0!</v>
      </c>
      <c r="T94" s="579"/>
      <c r="U94" s="579"/>
      <c r="W94" s="237">
        <f t="shared" si="23"/>
        <v>3</v>
      </c>
      <c r="X94" s="237">
        <f t="shared" si="24"/>
        <v>3</v>
      </c>
      <c r="Y94" s="236" t="e">
        <f>スコア入力!AA94</f>
        <v>#DIV/0!</v>
      </c>
      <c r="Z94" s="236" t="e">
        <f>スコア入力!AB94</f>
        <v>#DIV/0!</v>
      </c>
      <c r="AA94" s="237">
        <f t="shared" si="25"/>
        <v>0</v>
      </c>
      <c r="AB94" s="237">
        <f t="shared" si="26"/>
        <v>0</v>
      </c>
      <c r="AC94" s="236" t="e">
        <f>スコア入力!AH94</f>
        <v>#DIV/0!</v>
      </c>
      <c r="AD94" s="236" t="e">
        <f>スコア入力!AI94</f>
        <v>#DIV/0!</v>
      </c>
      <c r="AE94" s="6"/>
      <c r="AF94" s="420">
        <f>スコア入力!N94</f>
        <v>3</v>
      </c>
      <c r="AG94" s="420">
        <f>スコア入力!P94</f>
        <v>3</v>
      </c>
      <c r="AH94" s="578" t="e">
        <f>スコア入力!AC94</f>
        <v>#DIV/0!</v>
      </c>
      <c r="AI94" s="578" t="e">
        <f>スコア入力!AE94</f>
        <v>#DIV/0!</v>
      </c>
      <c r="AJ94" s="420">
        <f>スコア入力!U94</f>
        <v>0</v>
      </c>
      <c r="AK94" s="420">
        <f>スコア入力!W94</f>
        <v>0</v>
      </c>
      <c r="AL94" s="578" t="e">
        <f>スコア入力!AJ94</f>
        <v>#DIV/0!</v>
      </c>
      <c r="AM94" s="578" t="e">
        <f>スコア入力!AL94</f>
        <v>#DIV/0!</v>
      </c>
      <c r="AN94" s="579"/>
      <c r="AO94" s="579"/>
    </row>
    <row r="95" spans="2:41" ht="14.25" thickBot="1">
      <c r="B95" s="381"/>
      <c r="C95" s="339"/>
      <c r="D95" s="297">
        <v>5</v>
      </c>
      <c r="E95" s="317" t="s">
        <v>716</v>
      </c>
      <c r="F95" s="320"/>
      <c r="G95" s="320"/>
      <c r="H95" s="2966"/>
      <c r="I95" s="2967"/>
      <c r="J95" s="2967"/>
      <c r="K95" s="2968"/>
      <c r="L95" s="586" t="e">
        <f t="shared" si="19"/>
        <v>#DIV/0!</v>
      </c>
      <c r="M95" s="586" t="e">
        <f t="shared" si="20"/>
        <v>#DIV/0!</v>
      </c>
      <c r="N95" s="609" t="e">
        <f>スコア入力!AC95</f>
        <v>#DIV/0!</v>
      </c>
      <c r="O95" s="609" t="e">
        <f>スコア入力!AE95</f>
        <v>#DIV/0!</v>
      </c>
      <c r="P95" s="586" t="e">
        <f t="shared" si="21"/>
        <v>#DIV/0!</v>
      </c>
      <c r="Q95" s="586" t="e">
        <f t="shared" si="22"/>
        <v>#DIV/0!</v>
      </c>
      <c r="R95" s="609" t="e">
        <f>スコア入力!AJ95</f>
        <v>#DIV/0!</v>
      </c>
      <c r="S95" s="609" t="e">
        <f>スコア入力!AL95</f>
        <v>#DIV/0!</v>
      </c>
      <c r="T95" s="610"/>
      <c r="U95" s="610"/>
      <c r="W95" s="237">
        <f t="shared" si="23"/>
        <v>3</v>
      </c>
      <c r="X95" s="237">
        <f t="shared" si="24"/>
        <v>3</v>
      </c>
      <c r="Y95" s="236" t="e">
        <f>スコア入力!AA95</f>
        <v>#DIV/0!</v>
      </c>
      <c r="Z95" s="236" t="e">
        <f>スコア入力!AB95</f>
        <v>#DIV/0!</v>
      </c>
      <c r="AA95" s="237">
        <f t="shared" si="25"/>
        <v>0</v>
      </c>
      <c r="AB95" s="237">
        <f t="shared" si="26"/>
        <v>0</v>
      </c>
      <c r="AC95" s="236" t="e">
        <f>スコア入力!AH95</f>
        <v>#DIV/0!</v>
      </c>
      <c r="AD95" s="236" t="e">
        <f>スコア入力!AI95</f>
        <v>#DIV/0!</v>
      </c>
      <c r="AE95" s="6"/>
      <c r="AF95" s="587">
        <f>スコア入力!N95</f>
        <v>3</v>
      </c>
      <c r="AG95" s="587">
        <f>スコア入力!P95</f>
        <v>3</v>
      </c>
      <c r="AH95" s="609" t="e">
        <f>スコア入力!AC95</f>
        <v>#DIV/0!</v>
      </c>
      <c r="AI95" s="609" t="e">
        <f>スコア入力!AE95</f>
        <v>#DIV/0!</v>
      </c>
      <c r="AJ95" s="587">
        <f>スコア入力!U95</f>
        <v>0</v>
      </c>
      <c r="AK95" s="587">
        <f>スコア入力!W95</f>
        <v>0</v>
      </c>
      <c r="AL95" s="609" t="e">
        <f>スコア入力!AJ95</f>
        <v>#DIV/0!</v>
      </c>
      <c r="AM95" s="609" t="e">
        <f>スコア入力!AL95</f>
        <v>#DIV/0!</v>
      </c>
      <c r="AN95" s="610"/>
      <c r="AO95" s="610"/>
    </row>
    <row r="96" spans="2:41" ht="13.5" hidden="1">
      <c r="B96" s="1789"/>
      <c r="C96" s="1790"/>
      <c r="D96" s="1791"/>
      <c r="E96" s="1792"/>
      <c r="F96" s="619"/>
      <c r="G96" s="619"/>
      <c r="H96" s="2971"/>
      <c r="I96" s="2972"/>
      <c r="J96" s="2972"/>
      <c r="K96" s="2973"/>
      <c r="L96" s="620" t="e">
        <f t="shared" si="19"/>
        <v>#DIV/0!</v>
      </c>
      <c r="M96" s="620">
        <f t="shared" si="20"/>
        <v>0</v>
      </c>
      <c r="N96" s="621">
        <f>スコア入力!AC96</f>
        <v>0</v>
      </c>
      <c r="O96" s="621">
        <f>スコア入力!AE96</f>
        <v>0</v>
      </c>
      <c r="P96" s="622">
        <f t="shared" si="21"/>
        <v>0</v>
      </c>
      <c r="Q96" s="622">
        <f t="shared" si="22"/>
        <v>0</v>
      </c>
      <c r="R96" s="621">
        <f>スコア入力!AJ96</f>
        <v>0</v>
      </c>
      <c r="S96" s="621">
        <f>スコア入力!AL96</f>
        <v>0</v>
      </c>
      <c r="T96" s="623"/>
      <c r="U96" s="623"/>
      <c r="W96" s="624">
        <f t="shared" si="23"/>
        <v>0</v>
      </c>
      <c r="X96" s="624">
        <f t="shared" si="24"/>
        <v>0</v>
      </c>
      <c r="Y96" s="236" t="e">
        <f>スコア入力!AA96</f>
        <v>#DIV/0!</v>
      </c>
      <c r="Z96" s="236">
        <f>スコア入力!AB96</f>
        <v>0</v>
      </c>
      <c r="AA96" s="624">
        <f t="shared" si="25"/>
        <v>0</v>
      </c>
      <c r="AB96" s="624">
        <f t="shared" si="26"/>
        <v>0</v>
      </c>
      <c r="AC96" s="236">
        <f>スコア入力!AH96</f>
        <v>0</v>
      </c>
      <c r="AD96" s="236">
        <f>スコア入力!AI96</f>
        <v>0</v>
      </c>
      <c r="AE96" s="6"/>
      <c r="AF96" s="625"/>
      <c r="AG96" s="625"/>
      <c r="AH96" s="621">
        <f>スコア入力!AC96</f>
        <v>0</v>
      </c>
      <c r="AI96" s="621">
        <f>スコア入力!AE96</f>
        <v>0</v>
      </c>
      <c r="AJ96" s="625"/>
      <c r="AK96" s="625"/>
      <c r="AL96" s="621">
        <f>スコア入力!AJ96</f>
        <v>0</v>
      </c>
      <c r="AM96" s="621">
        <f>スコア入力!AL96</f>
        <v>0</v>
      </c>
      <c r="AN96" s="623"/>
      <c r="AO96" s="623"/>
    </row>
    <row r="97" spans="1:41" ht="13.5">
      <c r="B97" s="388">
        <v>3</v>
      </c>
      <c r="C97" s="389" t="s">
        <v>717</v>
      </c>
      <c r="D97" s="389"/>
      <c r="E97" s="389"/>
      <c r="F97" s="370"/>
      <c r="G97" s="370"/>
      <c r="H97" s="2969"/>
      <c r="I97" s="2970"/>
      <c r="J97" s="2970"/>
      <c r="K97" s="2974"/>
      <c r="L97" s="626" t="e">
        <f t="shared" si="19"/>
        <v>#DIV/0!</v>
      </c>
      <c r="M97" s="591" t="e">
        <f t="shared" si="20"/>
        <v>#DIV/0!</v>
      </c>
      <c r="N97" s="592" t="e">
        <f>スコア入力!AC97</f>
        <v>#DIV/0!</v>
      </c>
      <c r="O97" s="592" t="e">
        <f>スコア入力!AE97</f>
        <v>#DIV/0!</v>
      </c>
      <c r="P97" s="591" t="e">
        <f t="shared" si="21"/>
        <v>#DIV/0!</v>
      </c>
      <c r="Q97" s="591" t="e">
        <f t="shared" si="22"/>
        <v>#DIV/0!</v>
      </c>
      <c r="R97" s="592"/>
      <c r="S97" s="592"/>
      <c r="T97" s="594" t="e">
        <f>ROUNDDOWN(AN97,1)</f>
        <v>#DIV/0!</v>
      </c>
      <c r="U97" s="594" t="e">
        <f>ROUNDDOWN(AO97,1)</f>
        <v>#DIV/0!</v>
      </c>
      <c r="W97" s="568" t="e">
        <f t="shared" si="23"/>
        <v>#DIV/0!</v>
      </c>
      <c r="X97" s="568" t="e">
        <f t="shared" si="24"/>
        <v>#DIV/0!</v>
      </c>
      <c r="Y97" s="236" t="e">
        <f>スコア入力!AA97</f>
        <v>#DIV/0!</v>
      </c>
      <c r="Z97" s="236" t="e">
        <f>スコア入力!AB97</f>
        <v>#DIV/0!</v>
      </c>
      <c r="AA97" s="568" t="e">
        <f t="shared" si="25"/>
        <v>#DIV/0!</v>
      </c>
      <c r="AB97" s="568" t="e">
        <f t="shared" si="26"/>
        <v>#DIV/0!</v>
      </c>
      <c r="AC97" s="236">
        <f>スコア入力!AH97</f>
        <v>1</v>
      </c>
      <c r="AD97" s="236" t="e">
        <f>スコア入力!AI97</f>
        <v>#DIV/0!</v>
      </c>
      <c r="AE97" s="6"/>
      <c r="AF97" s="591" t="e">
        <f>AF98*AH98+AF101*AH101+AF102*AH102</f>
        <v>#DIV/0!</v>
      </c>
      <c r="AG97" s="591" t="e">
        <f>AG98*AI98+AG101*AI101+AG102*AI102</f>
        <v>#DIV/0!</v>
      </c>
      <c r="AH97" s="592" t="e">
        <f>スコア入力!AC97</f>
        <v>#DIV/0!</v>
      </c>
      <c r="AI97" s="592" t="e">
        <f>スコア入力!AE97</f>
        <v>#DIV/0!</v>
      </c>
      <c r="AJ97" s="591" t="e">
        <f>AJ98*AL98+AJ101*AL101+AJ102*AL102</f>
        <v>#DIV/0!</v>
      </c>
      <c r="AK97" s="591" t="e">
        <f>AK98*AM98+AK101*AM101+AK102*AM102</f>
        <v>#DIV/0!</v>
      </c>
      <c r="AL97" s="592" t="e">
        <f>スコア入力!AJ97</f>
        <v>#DIV/0!</v>
      </c>
      <c r="AM97" s="592" t="e">
        <f>スコア入力!AL97</f>
        <v>#DIV/0!</v>
      </c>
      <c r="AN97" s="594" t="e">
        <f>IF(AJ97=0,AF97,IF(AF97=0,AJ97,AF97*AH$6+AJ97*AL$6))</f>
        <v>#DIV/0!</v>
      </c>
      <c r="AO97" s="594" t="e">
        <f>IF(AK97=0,AG97,IF(AG97=0,AK97,AG97*AI$6+AK97*AM$6))</f>
        <v>#DIV/0!</v>
      </c>
    </row>
    <row r="98" spans="1:41" ht="14.25" thickBot="1">
      <c r="B98" s="331"/>
      <c r="C98" s="289">
        <v>3.1</v>
      </c>
      <c r="D98" s="326" t="s">
        <v>720</v>
      </c>
      <c r="E98" s="290"/>
      <c r="F98" s="370"/>
      <c r="G98" s="370"/>
      <c r="H98" s="2966"/>
      <c r="I98" s="2967"/>
      <c r="J98" s="2967"/>
      <c r="K98" s="2967"/>
      <c r="L98" s="618" t="e">
        <f t="shared" si="19"/>
        <v>#DIV/0!</v>
      </c>
      <c r="M98" s="597" t="e">
        <f t="shared" si="20"/>
        <v>#DIV/0!</v>
      </c>
      <c r="N98" s="578" t="e">
        <f>スコア入力!AC98</f>
        <v>#DIV/0!</v>
      </c>
      <c r="O98" s="578" t="e">
        <f>スコア入力!AE98</f>
        <v>#DIV/0!</v>
      </c>
      <c r="P98" s="597" t="e">
        <f t="shared" si="21"/>
        <v>#DIV/0!</v>
      </c>
      <c r="Q98" s="597" t="e">
        <f t="shared" si="22"/>
        <v>#DIV/0!</v>
      </c>
      <c r="R98" s="578" t="e">
        <f>スコア入力!AJ98</f>
        <v>#DIV/0!</v>
      </c>
      <c r="S98" s="578" t="e">
        <f>スコア入力!AL98</f>
        <v>#DIV/0!</v>
      </c>
      <c r="T98" s="579"/>
      <c r="U98" s="579"/>
      <c r="W98" s="568" t="e">
        <f t="shared" si="23"/>
        <v>#DIV/0!</v>
      </c>
      <c r="X98" s="568" t="e">
        <f t="shared" si="24"/>
        <v>#DIV/0!</v>
      </c>
      <c r="Y98" s="236" t="e">
        <f>スコア入力!AA98</f>
        <v>#DIV/0!</v>
      </c>
      <c r="Z98" s="236" t="e">
        <f>スコア入力!AB98</f>
        <v>#DIV/0!</v>
      </c>
      <c r="AA98" s="568" t="e">
        <f t="shared" si="25"/>
        <v>#DIV/0!</v>
      </c>
      <c r="AB98" s="568" t="e">
        <f t="shared" si="26"/>
        <v>#DIV/0!</v>
      </c>
      <c r="AC98" s="236" t="e">
        <f>スコア入力!AH98</f>
        <v>#DIV/0!</v>
      </c>
      <c r="AD98" s="236" t="e">
        <f>スコア入力!AI98</f>
        <v>#DIV/0!</v>
      </c>
      <c r="AE98" s="6"/>
      <c r="AF98" s="597" t="e">
        <f>SUMPRODUCT(AF99:AF100,AH99:AH100)</f>
        <v>#DIV/0!</v>
      </c>
      <c r="AG98" s="597" t="e">
        <f>SUMPRODUCT(AG99:AG100,AI99:AI100)</f>
        <v>#DIV/0!</v>
      </c>
      <c r="AH98" s="578" t="e">
        <f>スコア入力!AC98</f>
        <v>#DIV/0!</v>
      </c>
      <c r="AI98" s="578" t="e">
        <f>スコア入力!AE98</f>
        <v>#DIV/0!</v>
      </c>
      <c r="AJ98" s="597" t="e">
        <f>SUMPRODUCT(AJ99:AJ100,AL99:AL100)</f>
        <v>#DIV/0!</v>
      </c>
      <c r="AK98" s="597" t="e">
        <f>SUMPRODUCT(AK99:AK100,AM99:AM100)</f>
        <v>#DIV/0!</v>
      </c>
      <c r="AL98" s="578" t="e">
        <f>スコア入力!AJ98</f>
        <v>#DIV/0!</v>
      </c>
      <c r="AM98" s="578" t="e">
        <f>スコア入力!AL98</f>
        <v>#DIV/0!</v>
      </c>
      <c r="AN98" s="579"/>
      <c r="AO98" s="579"/>
    </row>
    <row r="99" spans="1:41" ht="13.5">
      <c r="B99" s="331"/>
      <c r="C99" s="330"/>
      <c r="D99" s="297">
        <v>1</v>
      </c>
      <c r="E99" s="317" t="s">
        <v>721</v>
      </c>
      <c r="F99" s="320"/>
      <c r="G99" s="320"/>
      <c r="H99" s="2966"/>
      <c r="I99" s="2967"/>
      <c r="J99" s="2967"/>
      <c r="K99" s="2968"/>
      <c r="L99" s="583" t="e">
        <f t="shared" si="19"/>
        <v>#DIV/0!</v>
      </c>
      <c r="M99" s="583" t="e">
        <f t="shared" si="20"/>
        <v>#DIV/0!</v>
      </c>
      <c r="N99" s="584" t="e">
        <f>スコア入力!AC99</f>
        <v>#DIV/0!</v>
      </c>
      <c r="O99" s="584" t="e">
        <f>スコア入力!AE99</f>
        <v>#DIV/0!</v>
      </c>
      <c r="P99" s="583" t="e">
        <f t="shared" si="21"/>
        <v>#DIV/0!</v>
      </c>
      <c r="Q99" s="583" t="e">
        <f t="shared" si="22"/>
        <v>#DIV/0!</v>
      </c>
      <c r="R99" s="584" t="e">
        <f>スコア入力!AJ99</f>
        <v>#DIV/0!</v>
      </c>
      <c r="S99" s="584" t="e">
        <f>スコア入力!AL99</f>
        <v>#DIV/0!</v>
      </c>
      <c r="T99" s="579"/>
      <c r="U99" s="579"/>
      <c r="W99" s="237">
        <f t="shared" si="23"/>
        <v>3</v>
      </c>
      <c r="X99" s="237">
        <f t="shared" si="24"/>
        <v>3</v>
      </c>
      <c r="Y99" s="236" t="e">
        <f>スコア入力!AA99</f>
        <v>#DIV/0!</v>
      </c>
      <c r="Z99" s="236" t="e">
        <f>スコア入力!AB99</f>
        <v>#DIV/0!</v>
      </c>
      <c r="AA99" s="237">
        <f t="shared" si="25"/>
        <v>3</v>
      </c>
      <c r="AB99" s="237">
        <f t="shared" si="26"/>
        <v>3</v>
      </c>
      <c r="AC99" s="236" t="e">
        <f>スコア入力!AH99</f>
        <v>#DIV/0!</v>
      </c>
      <c r="AD99" s="236" t="e">
        <f>スコア入力!AI99</f>
        <v>#DIV/0!</v>
      </c>
      <c r="AE99" s="6"/>
      <c r="AF99" s="585">
        <f>スコア入力!N99</f>
        <v>3</v>
      </c>
      <c r="AG99" s="585">
        <f>スコア入力!P99</f>
        <v>3</v>
      </c>
      <c r="AH99" s="584" t="e">
        <f>スコア入力!AC99</f>
        <v>#DIV/0!</v>
      </c>
      <c r="AI99" s="584" t="e">
        <f>スコア入力!AE99</f>
        <v>#DIV/0!</v>
      </c>
      <c r="AJ99" s="585">
        <f>スコア入力!U99</f>
        <v>3</v>
      </c>
      <c r="AK99" s="585">
        <f>スコア入力!W99</f>
        <v>3</v>
      </c>
      <c r="AL99" s="584" t="e">
        <f>スコア入力!AJ99</f>
        <v>#DIV/0!</v>
      </c>
      <c r="AM99" s="584" t="e">
        <f>スコア入力!AL99</f>
        <v>#DIV/0!</v>
      </c>
      <c r="AN99" s="579"/>
      <c r="AO99" s="579"/>
    </row>
    <row r="100" spans="1:41" ht="13.5">
      <c r="B100" s="331"/>
      <c r="C100" s="330"/>
      <c r="D100" s="391">
        <v>2</v>
      </c>
      <c r="E100" s="290" t="s">
        <v>723</v>
      </c>
      <c r="F100" s="370"/>
      <c r="G100" s="370"/>
      <c r="H100" s="2966"/>
      <c r="I100" s="2967"/>
      <c r="J100" s="2967"/>
      <c r="K100" s="2968"/>
      <c r="L100" s="589" t="e">
        <f t="shared" si="19"/>
        <v>#DIV/0!</v>
      </c>
      <c r="M100" s="589" t="e">
        <f t="shared" si="20"/>
        <v>#DIV/0!</v>
      </c>
      <c r="N100" s="584" t="e">
        <f>スコア入力!AC100</f>
        <v>#DIV/0!</v>
      </c>
      <c r="O100" s="584" t="e">
        <f>スコア入力!AE100</f>
        <v>#DIV/0!</v>
      </c>
      <c r="P100" s="589" t="e">
        <f t="shared" si="21"/>
        <v>#DIV/0!</v>
      </c>
      <c r="Q100" s="589" t="e">
        <f t="shared" si="22"/>
        <v>#DIV/0!</v>
      </c>
      <c r="R100" s="584" t="e">
        <f>スコア入力!AJ100</f>
        <v>#DIV/0!</v>
      </c>
      <c r="S100" s="584" t="e">
        <f>スコア入力!AL100</f>
        <v>#DIV/0!</v>
      </c>
      <c r="T100" s="579"/>
      <c r="U100" s="579"/>
      <c r="W100" s="237">
        <f t="shared" si="23"/>
        <v>3</v>
      </c>
      <c r="X100" s="237">
        <f t="shared" si="24"/>
        <v>3</v>
      </c>
      <c r="Y100" s="236" t="e">
        <f>スコア入力!AA100</f>
        <v>#DIV/0!</v>
      </c>
      <c r="Z100" s="236" t="e">
        <f>スコア入力!AB100</f>
        <v>#DIV/0!</v>
      </c>
      <c r="AA100" s="237">
        <f t="shared" si="25"/>
        <v>3</v>
      </c>
      <c r="AB100" s="237">
        <f t="shared" si="26"/>
        <v>3</v>
      </c>
      <c r="AC100" s="236" t="e">
        <f>スコア入力!AH100</f>
        <v>#DIV/0!</v>
      </c>
      <c r="AD100" s="236" t="e">
        <f>スコア入力!AI100</f>
        <v>#DIV/0!</v>
      </c>
      <c r="AE100" s="6"/>
      <c r="AF100" s="420">
        <f>スコア入力!N100</f>
        <v>3</v>
      </c>
      <c r="AG100" s="420">
        <f>スコア入力!P100</f>
        <v>3</v>
      </c>
      <c r="AH100" s="584" t="e">
        <f>スコア入力!AC100</f>
        <v>#DIV/0!</v>
      </c>
      <c r="AI100" s="584" t="e">
        <f>スコア入力!AE100</f>
        <v>#DIV/0!</v>
      </c>
      <c r="AJ100" s="420">
        <f>スコア入力!U100</f>
        <v>3</v>
      </c>
      <c r="AK100" s="420">
        <f>スコア入力!W100</f>
        <v>3</v>
      </c>
      <c r="AL100" s="584" t="e">
        <f>スコア入力!AJ100</f>
        <v>#DIV/0!</v>
      </c>
      <c r="AM100" s="584" t="e">
        <f>スコア入力!AL100</f>
        <v>#DIV/0!</v>
      </c>
      <c r="AN100" s="579"/>
      <c r="AO100" s="579"/>
    </row>
    <row r="101" spans="1:41" ht="14.25" thickBot="1">
      <c r="B101" s="331"/>
      <c r="C101" s="316">
        <v>3.2</v>
      </c>
      <c r="D101" s="392" t="s">
        <v>724</v>
      </c>
      <c r="E101" s="317"/>
      <c r="F101" s="320"/>
      <c r="G101" s="320"/>
      <c r="H101" s="2966"/>
      <c r="I101" s="2967"/>
      <c r="J101" s="2967"/>
      <c r="K101" s="2968"/>
      <c r="L101" s="458" t="e">
        <f t="shared" si="19"/>
        <v>#DIV/0!</v>
      </c>
      <c r="M101" s="458" t="e">
        <f t="shared" si="20"/>
        <v>#DIV/0!</v>
      </c>
      <c r="N101" s="584" t="e">
        <f>スコア入力!AC101</f>
        <v>#DIV/0!</v>
      </c>
      <c r="O101" s="584" t="e">
        <f>スコア入力!AE101</f>
        <v>#DIV/0!</v>
      </c>
      <c r="P101" s="458" t="e">
        <f t="shared" si="21"/>
        <v>#DIV/0!</v>
      </c>
      <c r="Q101" s="458" t="e">
        <f t="shared" si="22"/>
        <v>#DIV/0!</v>
      </c>
      <c r="R101" s="584" t="e">
        <f>スコア入力!AJ101</f>
        <v>#DIV/0!</v>
      </c>
      <c r="S101" s="584" t="e">
        <f>スコア入力!AL101</f>
        <v>#DIV/0!</v>
      </c>
      <c r="T101" s="579"/>
      <c r="U101" s="579"/>
      <c r="W101" s="237">
        <f t="shared" si="23"/>
        <v>3</v>
      </c>
      <c r="X101" s="237">
        <f t="shared" si="24"/>
        <v>3</v>
      </c>
      <c r="Y101" s="236" t="e">
        <f>スコア入力!AA101</f>
        <v>#DIV/0!</v>
      </c>
      <c r="Z101" s="236" t="e">
        <f>スコア入力!AB101</f>
        <v>#DIV/0!</v>
      </c>
      <c r="AA101" s="237">
        <f t="shared" si="25"/>
        <v>3</v>
      </c>
      <c r="AB101" s="237">
        <f t="shared" si="26"/>
        <v>3</v>
      </c>
      <c r="AC101" s="236" t="e">
        <f>スコア入力!AH101</f>
        <v>#DIV/0!</v>
      </c>
      <c r="AD101" s="236" t="e">
        <f>スコア入力!AI101</f>
        <v>#DIV/0!</v>
      </c>
      <c r="AE101" s="6"/>
      <c r="AF101" s="600">
        <f>スコア入力!N101</f>
        <v>3</v>
      </c>
      <c r="AG101" s="600">
        <f>スコア入力!P101</f>
        <v>3</v>
      </c>
      <c r="AH101" s="584" t="e">
        <f>スコア入力!AC101</f>
        <v>#DIV/0!</v>
      </c>
      <c r="AI101" s="584" t="e">
        <f>スコア入力!AE101</f>
        <v>#DIV/0!</v>
      </c>
      <c r="AJ101" s="600">
        <f>スコア入力!U101</f>
        <v>3</v>
      </c>
      <c r="AK101" s="600">
        <f>スコア入力!W101</f>
        <v>3</v>
      </c>
      <c r="AL101" s="584" t="e">
        <f>スコア入力!AJ101</f>
        <v>#DIV/0!</v>
      </c>
      <c r="AM101" s="584" t="e">
        <f>スコア入力!AL101</f>
        <v>#DIV/0!</v>
      </c>
      <c r="AN101" s="579"/>
      <c r="AO101" s="579"/>
    </row>
    <row r="102" spans="1:41" ht="14.25" thickBot="1">
      <c r="B102" s="331"/>
      <c r="C102" s="308">
        <v>3.3</v>
      </c>
      <c r="D102" s="326" t="s">
        <v>725</v>
      </c>
      <c r="E102" s="290"/>
      <c r="F102" s="370"/>
      <c r="G102" s="370"/>
      <c r="H102" s="2966"/>
      <c r="I102" s="2967"/>
      <c r="J102" s="2967"/>
      <c r="K102" s="2967"/>
      <c r="L102" s="588" t="e">
        <f t="shared" si="19"/>
        <v>#DIV/0!</v>
      </c>
      <c r="M102" s="597" t="e">
        <f t="shared" si="20"/>
        <v>#DIV/0!</v>
      </c>
      <c r="N102" s="578" t="e">
        <f>スコア入力!AC102</f>
        <v>#DIV/0!</v>
      </c>
      <c r="O102" s="578" t="e">
        <f>スコア入力!AE102</f>
        <v>#DIV/0!</v>
      </c>
      <c r="P102" s="597" t="e">
        <f t="shared" si="21"/>
        <v>#DIV/0!</v>
      </c>
      <c r="Q102" s="597" t="e">
        <f t="shared" si="22"/>
        <v>#DIV/0!</v>
      </c>
      <c r="R102" s="578" t="e">
        <f>スコア入力!AJ102</f>
        <v>#DIV/0!</v>
      </c>
      <c r="S102" s="578" t="e">
        <f>スコア入力!AL102</f>
        <v>#DIV/0!</v>
      </c>
      <c r="T102" s="579"/>
      <c r="U102" s="579"/>
      <c r="W102" s="568" t="e">
        <f t="shared" si="23"/>
        <v>#DIV/0!</v>
      </c>
      <c r="X102" s="568" t="e">
        <f t="shared" si="24"/>
        <v>#DIV/0!</v>
      </c>
      <c r="Y102" s="236" t="e">
        <f>スコア入力!AA102</f>
        <v>#DIV/0!</v>
      </c>
      <c r="Z102" s="236" t="e">
        <f>スコア入力!AB102</f>
        <v>#DIV/0!</v>
      </c>
      <c r="AA102" s="568" t="e">
        <f t="shared" si="25"/>
        <v>#DIV/0!</v>
      </c>
      <c r="AB102" s="568" t="e">
        <f t="shared" si="26"/>
        <v>#DIV/0!</v>
      </c>
      <c r="AC102" s="236" t="e">
        <f>スコア入力!AH102</f>
        <v>#DIV/0!</v>
      </c>
      <c r="AD102" s="236" t="e">
        <f>スコア入力!AI102</f>
        <v>#DIV/0!</v>
      </c>
      <c r="AE102" s="6"/>
      <c r="AF102" s="597" t="e">
        <f>SUMPRODUCT(AF103:AF108,AH103:AH108)</f>
        <v>#DIV/0!</v>
      </c>
      <c r="AG102" s="597" t="e">
        <f>SUMPRODUCT(AG103:AG108,AI103:AI108)</f>
        <v>#DIV/0!</v>
      </c>
      <c r="AH102" s="578" t="e">
        <f>スコア入力!AC102</f>
        <v>#DIV/0!</v>
      </c>
      <c r="AI102" s="578" t="e">
        <f>スコア入力!AE102</f>
        <v>#DIV/0!</v>
      </c>
      <c r="AJ102" s="597" t="e">
        <f>SUMPRODUCT(AJ103:AJ108,AL103:AL108)</f>
        <v>#DIV/0!</v>
      </c>
      <c r="AK102" s="597" t="e">
        <f>SUMPRODUCT(AK103:AK108,AM103:AM108)</f>
        <v>#DIV/0!</v>
      </c>
      <c r="AL102" s="578" t="e">
        <f>スコア入力!AJ102</f>
        <v>#DIV/0!</v>
      </c>
      <c r="AM102" s="578" t="e">
        <f>スコア入力!AL102</f>
        <v>#DIV/0!</v>
      </c>
      <c r="AN102" s="579"/>
      <c r="AO102" s="579"/>
    </row>
    <row r="103" spans="1:41" ht="13.5">
      <c r="B103" s="331"/>
      <c r="C103" s="330"/>
      <c r="D103" s="297">
        <v>1</v>
      </c>
      <c r="E103" s="317" t="s">
        <v>728</v>
      </c>
      <c r="F103" s="320"/>
      <c r="G103" s="320"/>
      <c r="H103" s="2966"/>
      <c r="I103" s="2967"/>
      <c r="J103" s="2967"/>
      <c r="K103" s="2968"/>
      <c r="L103" s="583" t="e">
        <f t="shared" si="19"/>
        <v>#DIV/0!</v>
      </c>
      <c r="M103" s="583" t="e">
        <f t="shared" si="20"/>
        <v>#DIV/0!</v>
      </c>
      <c r="N103" s="578" t="e">
        <f>スコア入力!AC103</f>
        <v>#DIV/0!</v>
      </c>
      <c r="O103" s="578" t="e">
        <f>スコア入力!AE103</f>
        <v>#DIV/0!</v>
      </c>
      <c r="P103" s="583" t="e">
        <f t="shared" si="21"/>
        <v>#DIV/0!</v>
      </c>
      <c r="Q103" s="583" t="e">
        <f t="shared" si="22"/>
        <v>#DIV/0!</v>
      </c>
      <c r="R103" s="578" t="e">
        <f>スコア入力!AJ103</f>
        <v>#DIV/0!</v>
      </c>
      <c r="S103" s="578" t="e">
        <f>スコア入力!AL103</f>
        <v>#DIV/0!</v>
      </c>
      <c r="T103" s="579"/>
      <c r="U103" s="579"/>
      <c r="W103" s="237">
        <f t="shared" si="23"/>
        <v>3</v>
      </c>
      <c r="X103" s="237">
        <f t="shared" si="24"/>
        <v>3</v>
      </c>
      <c r="Y103" s="236" t="e">
        <f>スコア入力!AA103</f>
        <v>#DIV/0!</v>
      </c>
      <c r="Z103" s="236" t="e">
        <f>スコア入力!AB103</f>
        <v>#DIV/0!</v>
      </c>
      <c r="AA103" s="237">
        <f t="shared" si="25"/>
        <v>0</v>
      </c>
      <c r="AB103" s="237">
        <f t="shared" si="26"/>
        <v>0</v>
      </c>
      <c r="AC103" s="236" t="e">
        <f>スコア入力!AH103</f>
        <v>#DIV/0!</v>
      </c>
      <c r="AD103" s="236" t="e">
        <f>スコア入力!AI103</f>
        <v>#DIV/0!</v>
      </c>
      <c r="AE103" s="6"/>
      <c r="AF103" s="585">
        <f>スコア入力!N103</f>
        <v>3</v>
      </c>
      <c r="AG103" s="585">
        <f>スコア入力!P103</f>
        <v>3</v>
      </c>
      <c r="AH103" s="578" t="e">
        <f>スコア入力!AC103</f>
        <v>#DIV/0!</v>
      </c>
      <c r="AI103" s="578" t="e">
        <f>スコア入力!AE103</f>
        <v>#DIV/0!</v>
      </c>
      <c r="AJ103" s="585">
        <f>スコア入力!U103</f>
        <v>0</v>
      </c>
      <c r="AK103" s="585">
        <f>スコア入力!W103</f>
        <v>0</v>
      </c>
      <c r="AL103" s="578" t="e">
        <f>スコア入力!AJ103</f>
        <v>#DIV/0!</v>
      </c>
      <c r="AM103" s="578" t="e">
        <f>スコア入力!AL103</f>
        <v>#DIV/0!</v>
      </c>
      <c r="AN103" s="579"/>
      <c r="AO103" s="579"/>
    </row>
    <row r="104" spans="1:41" ht="13.5">
      <c r="B104" s="331"/>
      <c r="C104" s="330"/>
      <c r="D104" s="391">
        <v>2</v>
      </c>
      <c r="E104" s="290" t="s">
        <v>729</v>
      </c>
      <c r="F104" s="370"/>
      <c r="G104" s="370"/>
      <c r="H104" s="2966"/>
      <c r="I104" s="2967"/>
      <c r="J104" s="2967"/>
      <c r="K104" s="2968"/>
      <c r="L104" s="589" t="e">
        <f t="shared" si="19"/>
        <v>#DIV/0!</v>
      </c>
      <c r="M104" s="589" t="e">
        <f t="shared" si="20"/>
        <v>#DIV/0!</v>
      </c>
      <c r="N104" s="578" t="e">
        <f>スコア入力!AC104</f>
        <v>#DIV/0!</v>
      </c>
      <c r="O104" s="578" t="e">
        <f>スコア入力!AE104</f>
        <v>#DIV/0!</v>
      </c>
      <c r="P104" s="589" t="e">
        <f t="shared" si="21"/>
        <v>#DIV/0!</v>
      </c>
      <c r="Q104" s="589" t="e">
        <f t="shared" si="22"/>
        <v>#DIV/0!</v>
      </c>
      <c r="R104" s="578" t="e">
        <f>スコア入力!AJ104</f>
        <v>#DIV/0!</v>
      </c>
      <c r="S104" s="578" t="e">
        <f>スコア入力!AL104</f>
        <v>#DIV/0!</v>
      </c>
      <c r="T104" s="579"/>
      <c r="U104" s="579"/>
      <c r="W104" s="237">
        <f t="shared" si="23"/>
        <v>3</v>
      </c>
      <c r="X104" s="237">
        <f t="shared" si="24"/>
        <v>3</v>
      </c>
      <c r="Y104" s="236" t="e">
        <f>スコア入力!AA104</f>
        <v>#DIV/0!</v>
      </c>
      <c r="Z104" s="236" t="e">
        <f>スコア入力!AB104</f>
        <v>#DIV/0!</v>
      </c>
      <c r="AA104" s="237">
        <f t="shared" si="25"/>
        <v>0</v>
      </c>
      <c r="AB104" s="237">
        <f t="shared" si="26"/>
        <v>0</v>
      </c>
      <c r="AC104" s="236" t="e">
        <f>スコア入力!AH104</f>
        <v>#DIV/0!</v>
      </c>
      <c r="AD104" s="236" t="e">
        <f>スコア入力!AI104</f>
        <v>#DIV/0!</v>
      </c>
      <c r="AE104" s="6"/>
      <c r="AF104" s="420">
        <f>スコア入力!N104</f>
        <v>3</v>
      </c>
      <c r="AG104" s="420">
        <f>スコア入力!P104</f>
        <v>3</v>
      </c>
      <c r="AH104" s="578" t="e">
        <f>スコア入力!AC104</f>
        <v>#DIV/0!</v>
      </c>
      <c r="AI104" s="578" t="e">
        <f>スコア入力!AE104</f>
        <v>#DIV/0!</v>
      </c>
      <c r="AJ104" s="420">
        <f>スコア入力!U104</f>
        <v>0</v>
      </c>
      <c r="AK104" s="420">
        <f>スコア入力!W104</f>
        <v>0</v>
      </c>
      <c r="AL104" s="578" t="e">
        <f>スコア入力!AJ104</f>
        <v>#DIV/0!</v>
      </c>
      <c r="AM104" s="578" t="e">
        <f>スコア入力!AL104</f>
        <v>#DIV/0!</v>
      </c>
      <c r="AN104" s="579"/>
      <c r="AO104" s="579"/>
    </row>
    <row r="105" spans="1:41" ht="13.5">
      <c r="B105" s="331"/>
      <c r="C105" s="330"/>
      <c r="D105" s="297">
        <v>3</v>
      </c>
      <c r="E105" s="317" t="s">
        <v>730</v>
      </c>
      <c r="F105" s="320"/>
      <c r="G105" s="320"/>
      <c r="H105" s="2966"/>
      <c r="I105" s="2967"/>
      <c r="J105" s="2967"/>
      <c r="K105" s="2968"/>
      <c r="L105" s="589" t="e">
        <f t="shared" si="19"/>
        <v>#DIV/0!</v>
      </c>
      <c r="M105" s="589" t="e">
        <f t="shared" si="20"/>
        <v>#DIV/0!</v>
      </c>
      <c r="N105" s="578" t="e">
        <f>スコア入力!AC105</f>
        <v>#DIV/0!</v>
      </c>
      <c r="O105" s="578" t="e">
        <f>スコア入力!AE105</f>
        <v>#DIV/0!</v>
      </c>
      <c r="P105" s="589" t="e">
        <f t="shared" si="21"/>
        <v>#DIV/0!</v>
      </c>
      <c r="Q105" s="589" t="e">
        <f t="shared" si="22"/>
        <v>#DIV/0!</v>
      </c>
      <c r="R105" s="578" t="e">
        <f>スコア入力!AJ105</f>
        <v>#DIV/0!</v>
      </c>
      <c r="S105" s="578" t="e">
        <f>スコア入力!AL105</f>
        <v>#DIV/0!</v>
      </c>
      <c r="T105" s="579"/>
      <c r="U105" s="579"/>
      <c r="W105" s="237">
        <f t="shared" si="23"/>
        <v>3</v>
      </c>
      <c r="X105" s="237">
        <f t="shared" si="24"/>
        <v>3</v>
      </c>
      <c r="Y105" s="236" t="e">
        <f>スコア入力!AA105</f>
        <v>#DIV/0!</v>
      </c>
      <c r="Z105" s="236" t="e">
        <f>スコア入力!AB105</f>
        <v>#DIV/0!</v>
      </c>
      <c r="AA105" s="237">
        <f t="shared" si="25"/>
        <v>0</v>
      </c>
      <c r="AB105" s="237">
        <f t="shared" si="26"/>
        <v>0</v>
      </c>
      <c r="AC105" s="236" t="e">
        <f>スコア入力!AH105</f>
        <v>#DIV/0!</v>
      </c>
      <c r="AD105" s="236" t="e">
        <f>スコア入力!AI105</f>
        <v>#DIV/0!</v>
      </c>
      <c r="AE105" s="6"/>
      <c r="AF105" s="420">
        <f>スコア入力!N105</f>
        <v>3</v>
      </c>
      <c r="AG105" s="420">
        <f>スコア入力!P105</f>
        <v>3</v>
      </c>
      <c r="AH105" s="578" t="e">
        <f>スコア入力!AC105</f>
        <v>#DIV/0!</v>
      </c>
      <c r="AI105" s="578" t="e">
        <f>スコア入力!AE105</f>
        <v>#DIV/0!</v>
      </c>
      <c r="AJ105" s="420">
        <f>スコア入力!U105</f>
        <v>0</v>
      </c>
      <c r="AK105" s="420">
        <f>スコア入力!W105</f>
        <v>0</v>
      </c>
      <c r="AL105" s="578" t="e">
        <f>スコア入力!AJ105</f>
        <v>#DIV/0!</v>
      </c>
      <c r="AM105" s="578" t="e">
        <f>スコア入力!AL105</f>
        <v>#DIV/0!</v>
      </c>
      <c r="AN105" s="579"/>
      <c r="AO105" s="579"/>
    </row>
    <row r="106" spans="1:41" ht="13.5">
      <c r="B106" s="331"/>
      <c r="C106" s="330"/>
      <c r="D106" s="391">
        <v>4</v>
      </c>
      <c r="E106" s="290" t="s">
        <v>731</v>
      </c>
      <c r="F106" s="370"/>
      <c r="G106" s="370"/>
      <c r="H106" s="2966"/>
      <c r="I106" s="2967"/>
      <c r="J106" s="2967"/>
      <c r="K106" s="2968"/>
      <c r="L106" s="589" t="e">
        <f t="shared" si="19"/>
        <v>#DIV/0!</v>
      </c>
      <c r="M106" s="589" t="e">
        <f t="shared" si="20"/>
        <v>#DIV/0!</v>
      </c>
      <c r="N106" s="578" t="e">
        <f>スコア入力!AC106</f>
        <v>#DIV/0!</v>
      </c>
      <c r="O106" s="578" t="e">
        <f>スコア入力!AE106</f>
        <v>#DIV/0!</v>
      </c>
      <c r="P106" s="589" t="e">
        <f t="shared" si="21"/>
        <v>#DIV/0!</v>
      </c>
      <c r="Q106" s="589" t="e">
        <f t="shared" si="22"/>
        <v>#DIV/0!</v>
      </c>
      <c r="R106" s="578" t="e">
        <f>スコア入力!AJ106</f>
        <v>#DIV/0!</v>
      </c>
      <c r="S106" s="578" t="e">
        <f>スコア入力!AL106</f>
        <v>#DIV/0!</v>
      </c>
      <c r="T106" s="579"/>
      <c r="U106" s="579"/>
      <c r="W106" s="237">
        <f t="shared" si="23"/>
        <v>3</v>
      </c>
      <c r="X106" s="237">
        <f t="shared" si="24"/>
        <v>3</v>
      </c>
      <c r="Y106" s="236" t="e">
        <f>スコア入力!AA106</f>
        <v>#DIV/0!</v>
      </c>
      <c r="Z106" s="236" t="e">
        <f>スコア入力!AB106</f>
        <v>#DIV/0!</v>
      </c>
      <c r="AA106" s="237">
        <f t="shared" ref="AA106:AA114" si="27">AJ106</f>
        <v>0</v>
      </c>
      <c r="AB106" s="237">
        <f t="shared" ref="AB106:AB114" si="28">AK106</f>
        <v>0</v>
      </c>
      <c r="AC106" s="236" t="e">
        <f>スコア入力!AH106</f>
        <v>#DIV/0!</v>
      </c>
      <c r="AD106" s="236" t="e">
        <f>スコア入力!AI106</f>
        <v>#DIV/0!</v>
      </c>
      <c r="AE106" s="6"/>
      <c r="AF106" s="420">
        <f>スコア入力!N106</f>
        <v>3</v>
      </c>
      <c r="AG106" s="420">
        <f>スコア入力!P106</f>
        <v>3</v>
      </c>
      <c r="AH106" s="578" t="e">
        <f>スコア入力!AC106</f>
        <v>#DIV/0!</v>
      </c>
      <c r="AI106" s="578" t="e">
        <f>スコア入力!AE106</f>
        <v>#DIV/0!</v>
      </c>
      <c r="AJ106" s="420">
        <f>スコア入力!U106</f>
        <v>0</v>
      </c>
      <c r="AK106" s="420">
        <f>スコア入力!W106</f>
        <v>0</v>
      </c>
      <c r="AL106" s="578" t="e">
        <f>スコア入力!AJ106</f>
        <v>#DIV/0!</v>
      </c>
      <c r="AM106" s="578" t="e">
        <f>スコア入力!AL106</f>
        <v>#DIV/0!</v>
      </c>
      <c r="AN106" s="579"/>
      <c r="AO106" s="579"/>
    </row>
    <row r="107" spans="1:41" ht="13.5">
      <c r="B107" s="331"/>
      <c r="C107" s="330"/>
      <c r="D107" s="297">
        <v>5</v>
      </c>
      <c r="E107" s="317" t="s">
        <v>732</v>
      </c>
      <c r="F107" s="320"/>
      <c r="G107" s="320"/>
      <c r="H107" s="2966"/>
      <c r="I107" s="2967"/>
      <c r="J107" s="2967"/>
      <c r="K107" s="2968"/>
      <c r="L107" s="589" t="e">
        <f t="shared" si="19"/>
        <v>#DIV/0!</v>
      </c>
      <c r="M107" s="589" t="e">
        <f t="shared" si="20"/>
        <v>#DIV/0!</v>
      </c>
      <c r="N107" s="578" t="e">
        <f>スコア入力!AC107</f>
        <v>#DIV/0!</v>
      </c>
      <c r="O107" s="578" t="e">
        <f>スコア入力!AE107</f>
        <v>#DIV/0!</v>
      </c>
      <c r="P107" s="589" t="e">
        <f t="shared" si="21"/>
        <v>#DIV/0!</v>
      </c>
      <c r="Q107" s="589" t="e">
        <f t="shared" si="22"/>
        <v>#DIV/0!</v>
      </c>
      <c r="R107" s="578" t="e">
        <f>スコア入力!AJ107</f>
        <v>#DIV/0!</v>
      </c>
      <c r="S107" s="578" t="e">
        <f>スコア入力!AL107</f>
        <v>#DIV/0!</v>
      </c>
      <c r="T107" s="579"/>
      <c r="U107" s="579"/>
      <c r="W107" s="237">
        <f t="shared" si="23"/>
        <v>3</v>
      </c>
      <c r="X107" s="237">
        <f t="shared" si="24"/>
        <v>3</v>
      </c>
      <c r="Y107" s="236" t="e">
        <f>スコア入力!AA107</f>
        <v>#DIV/0!</v>
      </c>
      <c r="Z107" s="236" t="e">
        <f>スコア入力!AB107</f>
        <v>#DIV/0!</v>
      </c>
      <c r="AA107" s="237">
        <f t="shared" si="27"/>
        <v>0</v>
      </c>
      <c r="AB107" s="237">
        <f t="shared" si="28"/>
        <v>0</v>
      </c>
      <c r="AC107" s="236" t="e">
        <f>スコア入力!AH107</f>
        <v>#DIV/0!</v>
      </c>
      <c r="AD107" s="236" t="e">
        <f>スコア入力!AI107</f>
        <v>#DIV/0!</v>
      </c>
      <c r="AE107" s="6"/>
      <c r="AF107" s="420">
        <f>スコア入力!N107</f>
        <v>3</v>
      </c>
      <c r="AG107" s="420">
        <f>スコア入力!P107</f>
        <v>3</v>
      </c>
      <c r="AH107" s="578" t="e">
        <f>スコア入力!AC107</f>
        <v>#DIV/0!</v>
      </c>
      <c r="AI107" s="578" t="e">
        <f>スコア入力!AE107</f>
        <v>#DIV/0!</v>
      </c>
      <c r="AJ107" s="420">
        <f>スコア入力!U107</f>
        <v>0</v>
      </c>
      <c r="AK107" s="420">
        <f>スコア入力!W107</f>
        <v>0</v>
      </c>
      <c r="AL107" s="578" t="e">
        <f>スコア入力!AJ107</f>
        <v>#DIV/0!</v>
      </c>
      <c r="AM107" s="578" t="e">
        <f>スコア入力!AL107</f>
        <v>#DIV/0!</v>
      </c>
      <c r="AN107" s="579"/>
      <c r="AO107" s="579"/>
    </row>
    <row r="108" spans="1:41" ht="14.25" thickBot="1">
      <c r="B108" s="347"/>
      <c r="C108" s="395"/>
      <c r="D108" s="349">
        <v>6</v>
      </c>
      <c r="E108" s="350" t="s">
        <v>733</v>
      </c>
      <c r="F108" s="602"/>
      <c r="G108" s="602"/>
      <c r="H108" s="2966"/>
      <c r="I108" s="2967"/>
      <c r="J108" s="2967"/>
      <c r="K108" s="2968"/>
      <c r="L108" s="586" t="e">
        <f t="shared" si="19"/>
        <v>#DIV/0!</v>
      </c>
      <c r="M108" s="586" t="e">
        <f t="shared" si="20"/>
        <v>#DIV/0!</v>
      </c>
      <c r="N108" s="627" t="e">
        <f>スコア入力!AC108</f>
        <v>#DIV/0!</v>
      </c>
      <c r="O108" s="627" t="e">
        <f>スコア入力!AE108</f>
        <v>#DIV/0!</v>
      </c>
      <c r="P108" s="586" t="e">
        <f t="shared" si="21"/>
        <v>#DIV/0!</v>
      </c>
      <c r="Q108" s="586" t="e">
        <f t="shared" si="22"/>
        <v>#DIV/0!</v>
      </c>
      <c r="R108" s="627" t="e">
        <f>スコア入力!AJ108</f>
        <v>#DIV/0!</v>
      </c>
      <c r="S108" s="627" t="e">
        <f>スコア入力!AL108</f>
        <v>#DIV/0!</v>
      </c>
      <c r="T108" s="604"/>
      <c r="U108" s="604"/>
      <c r="W108" s="237">
        <f t="shared" si="23"/>
        <v>3</v>
      </c>
      <c r="X108" s="237">
        <f t="shared" si="24"/>
        <v>3</v>
      </c>
      <c r="Y108" s="236" t="e">
        <f>スコア入力!AA108</f>
        <v>#DIV/0!</v>
      </c>
      <c r="Z108" s="236" t="e">
        <f>スコア入力!AB108</f>
        <v>#DIV/0!</v>
      </c>
      <c r="AA108" s="237">
        <f t="shared" si="27"/>
        <v>0</v>
      </c>
      <c r="AB108" s="237">
        <f t="shared" si="28"/>
        <v>0</v>
      </c>
      <c r="AC108" s="236" t="e">
        <f>スコア入力!AH108</f>
        <v>#DIV/0!</v>
      </c>
      <c r="AD108" s="236" t="e">
        <f>スコア入力!AI108</f>
        <v>#DIV/0!</v>
      </c>
      <c r="AE108" s="6"/>
      <c r="AF108" s="587">
        <f>スコア入力!N108</f>
        <v>3</v>
      </c>
      <c r="AG108" s="587">
        <f>スコア入力!P108</f>
        <v>3</v>
      </c>
      <c r="AH108" s="627" t="e">
        <f>スコア入力!AC108</f>
        <v>#DIV/0!</v>
      </c>
      <c r="AI108" s="627" t="e">
        <f>スコア入力!AE108</f>
        <v>#DIV/0!</v>
      </c>
      <c r="AJ108" s="587">
        <f>スコア入力!U108</f>
        <v>0</v>
      </c>
      <c r="AK108" s="587">
        <f>スコア入力!W108</f>
        <v>0</v>
      </c>
      <c r="AL108" s="627" t="e">
        <f>スコア入力!AJ108</f>
        <v>#DIV/0!</v>
      </c>
      <c r="AM108" s="627" t="e">
        <f>スコア入力!AL108</f>
        <v>#DIV/0!</v>
      </c>
      <c r="AN108" s="604"/>
      <c r="AO108" s="604"/>
    </row>
    <row r="109" spans="1:41" ht="15.75" thickBot="1">
      <c r="A109" s="399"/>
      <c r="B109" s="353" t="s">
        <v>734</v>
      </c>
      <c r="C109" s="400"/>
      <c r="D109" s="400" t="s">
        <v>735</v>
      </c>
      <c r="E109" s="400"/>
      <c r="F109" s="628"/>
      <c r="G109" s="628"/>
      <c r="H109" s="2975"/>
      <c r="I109" s="2976"/>
      <c r="J109" s="2976"/>
      <c r="K109" s="2977"/>
      <c r="L109" s="629"/>
      <c r="M109" s="629"/>
      <c r="N109" s="571" t="e">
        <f>スコア入力!AC109</f>
        <v>#DIV/0!</v>
      </c>
      <c r="O109" s="571" t="e">
        <f>スコア入力!AE109</f>
        <v>#DIV/0!</v>
      </c>
      <c r="P109" s="629"/>
      <c r="Q109" s="629"/>
      <c r="R109" s="571"/>
      <c r="S109" s="571"/>
      <c r="T109" s="607" t="e">
        <f t="shared" ref="T109:U112" si="29">ROUNDDOWN(AN109,1)</f>
        <v>#DIV/0!</v>
      </c>
      <c r="U109" s="607" t="e">
        <f t="shared" si="29"/>
        <v>#DIV/0!</v>
      </c>
      <c r="W109" s="568" t="e">
        <f>$AO109</f>
        <v>#DIV/0!</v>
      </c>
      <c r="X109" s="568" t="e">
        <f>$AO109</f>
        <v>#DIV/0!</v>
      </c>
      <c r="Y109" s="236" t="e">
        <f>スコア入力!AA109</f>
        <v>#DIV/0!</v>
      </c>
      <c r="Z109" s="236" t="e">
        <f>スコア入力!AB109</f>
        <v>#DIV/0!</v>
      </c>
      <c r="AA109" s="568">
        <f t="shared" si="27"/>
        <v>0</v>
      </c>
      <c r="AB109" s="568">
        <f t="shared" si="28"/>
        <v>0</v>
      </c>
      <c r="AC109" s="236" t="e">
        <f>スコア入力!AH109</f>
        <v>#DIV/0!</v>
      </c>
      <c r="AD109" s="236" t="e">
        <f>スコア入力!AI109</f>
        <v>#DIV/0!</v>
      </c>
      <c r="AE109" s="6"/>
      <c r="AF109" s="629"/>
      <c r="AG109" s="629"/>
      <c r="AH109" s="571" t="e">
        <f>スコア入力!AC109</f>
        <v>#DIV/0!</v>
      </c>
      <c r="AI109" s="571" t="e">
        <f>スコア入力!AE109</f>
        <v>#DIV/0!</v>
      </c>
      <c r="AJ109" s="629"/>
      <c r="AK109" s="629"/>
      <c r="AL109" s="571" t="e">
        <f>スコア入力!AJ109</f>
        <v>#DIV/0!</v>
      </c>
      <c r="AM109" s="571" t="e">
        <f>スコア入力!AL109</f>
        <v>#DIV/0!</v>
      </c>
      <c r="AN109" s="607" t="e">
        <f>AN110*AH110+AN111*AH111+AN112*AH112</f>
        <v>#DIV/0!</v>
      </c>
      <c r="AO109" s="607" t="e">
        <f>AO110*AI110+AO111*AI111+AO112*AI112</f>
        <v>#DIV/0!</v>
      </c>
    </row>
    <row r="110" spans="1:41" ht="13.5">
      <c r="A110" s="399"/>
      <c r="B110" s="276">
        <v>1</v>
      </c>
      <c r="C110" s="363" t="s">
        <v>736</v>
      </c>
      <c r="D110" s="76"/>
      <c r="E110" s="76"/>
      <c r="F110" s="577"/>
      <c r="G110" s="577"/>
      <c r="H110" s="2969"/>
      <c r="I110" s="2970"/>
      <c r="J110" s="2970"/>
      <c r="K110" s="2989"/>
      <c r="L110" s="456" t="e">
        <f t="shared" ref="L110:M115" si="30">IF(Y110=0,0,ROUNDDOWN(AF110,1))</f>
        <v>#DIV/0!</v>
      </c>
      <c r="M110" s="456" t="e">
        <f t="shared" si="30"/>
        <v>#DIV/0!</v>
      </c>
      <c r="N110" s="578" t="e">
        <f>スコア入力!AC110</f>
        <v>#DIV/0!</v>
      </c>
      <c r="O110" s="578" t="e">
        <f>スコア入力!AE110</f>
        <v>#DIV/0!</v>
      </c>
      <c r="P110" s="456" t="e">
        <f t="shared" ref="P110:Q115" si="31">IF(AC110=0,0,ROUNDDOWN(AJ110,1))</f>
        <v>#DIV/0!</v>
      </c>
      <c r="Q110" s="456" t="e">
        <f t="shared" si="31"/>
        <v>#DIV/0!</v>
      </c>
      <c r="R110" s="578" t="e">
        <f>スコア入力!AJ110</f>
        <v>#DIV/0!</v>
      </c>
      <c r="S110" s="578" t="e">
        <f>スコア入力!AL110</f>
        <v>#DIV/0!</v>
      </c>
      <c r="T110" s="579">
        <f t="shared" si="29"/>
        <v>3</v>
      </c>
      <c r="U110" s="579">
        <f t="shared" si="29"/>
        <v>3</v>
      </c>
      <c r="W110" s="237">
        <f t="shared" ref="W110:X114" si="32">AF110</f>
        <v>3</v>
      </c>
      <c r="X110" s="237">
        <f t="shared" si="32"/>
        <v>3</v>
      </c>
      <c r="Y110" s="236" t="e">
        <f>スコア入力!AA110</f>
        <v>#DIV/0!</v>
      </c>
      <c r="Z110" s="236" t="e">
        <f>スコア入力!AB110</f>
        <v>#DIV/0!</v>
      </c>
      <c r="AA110" s="237">
        <f t="shared" si="27"/>
        <v>0</v>
      </c>
      <c r="AB110" s="237">
        <f t="shared" si="28"/>
        <v>0</v>
      </c>
      <c r="AC110" s="236" t="e">
        <f>スコア入力!AH110</f>
        <v>#DIV/0!</v>
      </c>
      <c r="AD110" s="236" t="e">
        <f>スコア入力!AI110</f>
        <v>#DIV/0!</v>
      </c>
      <c r="AE110" s="6"/>
      <c r="AF110" s="630">
        <f>スコア入力!N110</f>
        <v>3</v>
      </c>
      <c r="AG110" s="630">
        <f>スコア入力!P110</f>
        <v>3</v>
      </c>
      <c r="AH110" s="578" t="e">
        <f>スコア入力!AC110</f>
        <v>#DIV/0!</v>
      </c>
      <c r="AI110" s="578" t="e">
        <f>スコア入力!AE110</f>
        <v>#DIV/0!</v>
      </c>
      <c r="AJ110" s="630">
        <f>スコア入力!U110</f>
        <v>0</v>
      </c>
      <c r="AK110" s="630">
        <f>スコア入力!W110</f>
        <v>0</v>
      </c>
      <c r="AL110" s="578" t="e">
        <f>スコア入力!AJ110</f>
        <v>#DIV/0!</v>
      </c>
      <c r="AM110" s="578" t="e">
        <f>スコア入力!AL110</f>
        <v>#DIV/0!</v>
      </c>
      <c r="AN110" s="579">
        <f t="shared" ref="AN110:AO112" si="33">IF(AJ110=0,AF110,IF(AF110=0,AJ110,AF110*AH$6+AJ110*AL$6))</f>
        <v>3</v>
      </c>
      <c r="AO110" s="579">
        <f t="shared" si="33"/>
        <v>3</v>
      </c>
    </row>
    <row r="111" spans="1:41" ht="14.25" thickBot="1">
      <c r="A111" s="399"/>
      <c r="B111" s="405">
        <v>2</v>
      </c>
      <c r="C111" s="406" t="s">
        <v>737</v>
      </c>
      <c r="D111" s="317"/>
      <c r="E111" s="317"/>
      <c r="F111" s="320"/>
      <c r="G111" s="320"/>
      <c r="H111" s="2969"/>
      <c r="I111" s="2970"/>
      <c r="J111" s="2970"/>
      <c r="K111" s="2989"/>
      <c r="L111" s="486" t="e">
        <f t="shared" si="30"/>
        <v>#DIV/0!</v>
      </c>
      <c r="M111" s="486" t="e">
        <f t="shared" si="30"/>
        <v>#DIV/0!</v>
      </c>
      <c r="N111" s="592" t="e">
        <f>スコア入力!AC111</f>
        <v>#DIV/0!</v>
      </c>
      <c r="O111" s="592" t="e">
        <f>スコア入力!AE111</f>
        <v>#DIV/0!</v>
      </c>
      <c r="P111" s="486" t="e">
        <f t="shared" si="31"/>
        <v>#DIV/0!</v>
      </c>
      <c r="Q111" s="486" t="e">
        <f t="shared" si="31"/>
        <v>#DIV/0!</v>
      </c>
      <c r="R111" s="592" t="e">
        <f>スコア入力!AJ111</f>
        <v>#DIV/0!</v>
      </c>
      <c r="S111" s="592" t="e">
        <f>スコア入力!AL111</f>
        <v>#DIV/0!</v>
      </c>
      <c r="T111" s="594">
        <f t="shared" si="29"/>
        <v>3</v>
      </c>
      <c r="U111" s="594">
        <f t="shared" si="29"/>
        <v>3</v>
      </c>
      <c r="W111" s="237">
        <f t="shared" si="32"/>
        <v>3</v>
      </c>
      <c r="X111" s="237">
        <f t="shared" si="32"/>
        <v>3</v>
      </c>
      <c r="Y111" s="236" t="e">
        <f>スコア入力!AA111</f>
        <v>#DIV/0!</v>
      </c>
      <c r="Z111" s="236" t="e">
        <f>スコア入力!AB111</f>
        <v>#DIV/0!</v>
      </c>
      <c r="AA111" s="237">
        <f t="shared" si="27"/>
        <v>0</v>
      </c>
      <c r="AB111" s="237">
        <f t="shared" si="28"/>
        <v>0</v>
      </c>
      <c r="AC111" s="236" t="e">
        <f>スコア入力!AH111</f>
        <v>#DIV/0!</v>
      </c>
      <c r="AD111" s="236" t="e">
        <f>スコア入力!AI111</f>
        <v>#DIV/0!</v>
      </c>
      <c r="AE111" s="6"/>
      <c r="AF111" s="631">
        <f>スコア入力!N111</f>
        <v>3</v>
      </c>
      <c r="AG111" s="631">
        <f>スコア入力!P111</f>
        <v>3</v>
      </c>
      <c r="AH111" s="592" t="e">
        <f>スコア入力!AC111</f>
        <v>#DIV/0!</v>
      </c>
      <c r="AI111" s="592" t="e">
        <f>スコア入力!AE111</f>
        <v>#DIV/0!</v>
      </c>
      <c r="AJ111" s="631">
        <f>スコア入力!U111</f>
        <v>0</v>
      </c>
      <c r="AK111" s="631">
        <f>スコア入力!W111</f>
        <v>0</v>
      </c>
      <c r="AL111" s="592" t="e">
        <f>スコア入力!AJ111</f>
        <v>#DIV/0!</v>
      </c>
      <c r="AM111" s="592" t="e">
        <f>スコア入力!AL111</f>
        <v>#DIV/0!</v>
      </c>
      <c r="AN111" s="594">
        <f t="shared" si="33"/>
        <v>3</v>
      </c>
      <c r="AO111" s="594">
        <f t="shared" si="33"/>
        <v>3</v>
      </c>
    </row>
    <row r="112" spans="1:41" ht="14.25" thickBot="1">
      <c r="A112" s="399"/>
      <c r="B112" s="388">
        <v>3</v>
      </c>
      <c r="C112" s="407" t="s">
        <v>738</v>
      </c>
      <c r="D112" s="291"/>
      <c r="E112" s="291"/>
      <c r="F112" s="601"/>
      <c r="G112" s="601"/>
      <c r="H112" s="2969"/>
      <c r="I112" s="2970"/>
      <c r="J112" s="2970"/>
      <c r="K112" s="2974"/>
      <c r="L112" s="588" t="e">
        <f t="shared" si="30"/>
        <v>#DIV/0!</v>
      </c>
      <c r="M112" s="597" t="e">
        <f t="shared" si="30"/>
        <v>#DIV/0!</v>
      </c>
      <c r="N112" s="592" t="e">
        <f>スコア入力!AC112</f>
        <v>#DIV/0!</v>
      </c>
      <c r="O112" s="592" t="e">
        <f>スコア入力!AE112</f>
        <v>#DIV/0!</v>
      </c>
      <c r="P112" s="597" t="e">
        <f t="shared" si="31"/>
        <v>#DIV/0!</v>
      </c>
      <c r="Q112" s="597" t="e">
        <f t="shared" si="31"/>
        <v>#DIV/0!</v>
      </c>
      <c r="R112" s="592" t="e">
        <f>スコア入力!AJ112</f>
        <v>#DIV/0!</v>
      </c>
      <c r="S112" s="592" t="e">
        <f>スコア入力!AL112</f>
        <v>#DIV/0!</v>
      </c>
      <c r="T112" s="594" t="e">
        <f t="shared" si="29"/>
        <v>#DIV/0!</v>
      </c>
      <c r="U112" s="594" t="e">
        <f t="shared" si="29"/>
        <v>#DIV/0!</v>
      </c>
      <c r="W112" s="568" t="e">
        <f t="shared" si="32"/>
        <v>#DIV/0!</v>
      </c>
      <c r="X112" s="568" t="e">
        <f t="shared" si="32"/>
        <v>#DIV/0!</v>
      </c>
      <c r="Y112" s="236" t="e">
        <f>スコア入力!AA112</f>
        <v>#DIV/0!</v>
      </c>
      <c r="Z112" s="236" t="e">
        <f>スコア入力!AB112</f>
        <v>#DIV/0!</v>
      </c>
      <c r="AA112" s="568" t="e">
        <f t="shared" si="27"/>
        <v>#DIV/0!</v>
      </c>
      <c r="AB112" s="568" t="e">
        <f t="shared" si="28"/>
        <v>#DIV/0!</v>
      </c>
      <c r="AC112" s="236" t="e">
        <f>スコア入力!AH112</f>
        <v>#DIV/0!</v>
      </c>
      <c r="AD112" s="236" t="e">
        <f>スコア入力!AI112</f>
        <v>#DIV/0!</v>
      </c>
      <c r="AE112" s="6"/>
      <c r="AF112" s="597" t="e">
        <f>AF113*AH113+AF114*AH114</f>
        <v>#DIV/0!</v>
      </c>
      <c r="AG112" s="597" t="e">
        <f>AG113*AI113+AG114*AI114</f>
        <v>#DIV/0!</v>
      </c>
      <c r="AH112" s="592" t="e">
        <f>スコア入力!AC112</f>
        <v>#DIV/0!</v>
      </c>
      <c r="AI112" s="592" t="e">
        <f>スコア入力!AE112</f>
        <v>#DIV/0!</v>
      </c>
      <c r="AJ112" s="597" t="e">
        <f>AJ113*AL113+AJ114*AL114</f>
        <v>#DIV/0!</v>
      </c>
      <c r="AK112" s="597" t="e">
        <f>AK113*AM113+AK114*AM114</f>
        <v>#DIV/0!</v>
      </c>
      <c r="AL112" s="592" t="e">
        <f>スコア入力!AJ112</f>
        <v>#DIV/0!</v>
      </c>
      <c r="AM112" s="592" t="e">
        <f>スコア入力!AL112</f>
        <v>#DIV/0!</v>
      </c>
      <c r="AN112" s="594" t="e">
        <f t="shared" si="33"/>
        <v>#DIV/0!</v>
      </c>
      <c r="AO112" s="594" t="e">
        <f t="shared" si="33"/>
        <v>#DIV/0!</v>
      </c>
    </row>
    <row r="113" spans="1:41" ht="13.5">
      <c r="A113" s="399"/>
      <c r="B113" s="276"/>
      <c r="C113" s="408">
        <v>3.1</v>
      </c>
      <c r="D113" s="409" t="s">
        <v>1826</v>
      </c>
      <c r="E113" s="410"/>
      <c r="F113" s="601"/>
      <c r="G113" s="601"/>
      <c r="H113" s="2966"/>
      <c r="I113" s="2967"/>
      <c r="J113" s="2967"/>
      <c r="K113" s="2968"/>
      <c r="L113" s="456" t="e">
        <f t="shared" si="30"/>
        <v>#DIV/0!</v>
      </c>
      <c r="M113" s="456" t="e">
        <f t="shared" si="30"/>
        <v>#DIV/0!</v>
      </c>
      <c r="N113" s="578" t="e">
        <f>スコア入力!AC113</f>
        <v>#DIV/0!</v>
      </c>
      <c r="O113" s="578" t="e">
        <f>スコア入力!AE113</f>
        <v>#DIV/0!</v>
      </c>
      <c r="P113" s="456" t="e">
        <f t="shared" si="31"/>
        <v>#DIV/0!</v>
      </c>
      <c r="Q113" s="456" t="e">
        <f t="shared" si="31"/>
        <v>#DIV/0!</v>
      </c>
      <c r="R113" s="578" t="e">
        <f>スコア入力!AJ113</f>
        <v>#DIV/0!</v>
      </c>
      <c r="S113" s="578" t="e">
        <f>スコア入力!AL113</f>
        <v>#DIV/0!</v>
      </c>
      <c r="T113" s="579"/>
      <c r="U113" s="579"/>
      <c r="W113" s="237">
        <f t="shared" si="32"/>
        <v>3</v>
      </c>
      <c r="X113" s="237">
        <f t="shared" si="32"/>
        <v>3</v>
      </c>
      <c r="Y113" s="236" t="e">
        <f>スコア入力!AA113</f>
        <v>#DIV/0!</v>
      </c>
      <c r="Z113" s="236" t="e">
        <f>スコア入力!AB113</f>
        <v>#DIV/0!</v>
      </c>
      <c r="AA113" s="237">
        <f t="shared" si="27"/>
        <v>0</v>
      </c>
      <c r="AB113" s="237">
        <f t="shared" si="28"/>
        <v>0</v>
      </c>
      <c r="AC113" s="236" t="e">
        <f>スコア入力!AH113</f>
        <v>#DIV/0!</v>
      </c>
      <c r="AD113" s="236" t="e">
        <f>スコア入力!AI113</f>
        <v>#DIV/0!</v>
      </c>
      <c r="AE113" s="6"/>
      <c r="AF113" s="630">
        <f>スコア入力!N113</f>
        <v>3</v>
      </c>
      <c r="AG113" s="630">
        <f>スコア入力!P113</f>
        <v>3</v>
      </c>
      <c r="AH113" s="578" t="e">
        <f>スコア入力!AC113</f>
        <v>#DIV/0!</v>
      </c>
      <c r="AI113" s="578" t="e">
        <f>スコア入力!AE113</f>
        <v>#DIV/0!</v>
      </c>
      <c r="AJ113" s="630">
        <f>スコア入力!U113</f>
        <v>0</v>
      </c>
      <c r="AK113" s="630">
        <f>スコア入力!W113</f>
        <v>0</v>
      </c>
      <c r="AL113" s="578" t="e">
        <f>スコア入力!AJ113</f>
        <v>#DIV/0!</v>
      </c>
      <c r="AM113" s="578" t="e">
        <f>スコア入力!AL113</f>
        <v>#DIV/0!</v>
      </c>
      <c r="AN113" s="579"/>
      <c r="AO113" s="579"/>
    </row>
    <row r="114" spans="1:41" ht="14.25" thickBot="1">
      <c r="A114" s="399"/>
      <c r="B114" s="632"/>
      <c r="C114" s="411">
        <v>3.2</v>
      </c>
      <c r="D114" s="392" t="s">
        <v>741</v>
      </c>
      <c r="E114" s="412"/>
      <c r="F114" s="320"/>
      <c r="G114" s="320"/>
      <c r="H114" s="2966"/>
      <c r="I114" s="2967"/>
      <c r="J114" s="2967"/>
      <c r="K114" s="2968"/>
      <c r="L114" s="458" t="e">
        <f t="shared" si="30"/>
        <v>#DIV/0!</v>
      </c>
      <c r="M114" s="458" t="e">
        <f t="shared" si="30"/>
        <v>#DIV/0!</v>
      </c>
      <c r="N114" s="633" t="e">
        <f>スコア入力!AC114</f>
        <v>#DIV/0!</v>
      </c>
      <c r="O114" s="634" t="e">
        <f>スコア入力!AE114</f>
        <v>#DIV/0!</v>
      </c>
      <c r="P114" s="458" t="e">
        <f t="shared" si="31"/>
        <v>#DIV/0!</v>
      </c>
      <c r="Q114" s="458" t="e">
        <f t="shared" si="31"/>
        <v>#DIV/0!</v>
      </c>
      <c r="R114" s="633" t="e">
        <f>スコア入力!AJ114</f>
        <v>#DIV/0!</v>
      </c>
      <c r="S114" s="609" t="e">
        <f>スコア入力!AL114</f>
        <v>#DIV/0!</v>
      </c>
      <c r="T114" s="610"/>
      <c r="U114" s="610"/>
      <c r="W114" s="237">
        <f t="shared" si="32"/>
        <v>3</v>
      </c>
      <c r="X114" s="237">
        <f t="shared" si="32"/>
        <v>3</v>
      </c>
      <c r="Y114" s="236" t="e">
        <f>スコア入力!AA114</f>
        <v>#DIV/0!</v>
      </c>
      <c r="Z114" s="236" t="e">
        <f>スコア入力!AB114</f>
        <v>#DIV/0!</v>
      </c>
      <c r="AA114" s="237">
        <f t="shared" si="27"/>
        <v>0</v>
      </c>
      <c r="AB114" s="237">
        <f t="shared" si="28"/>
        <v>0</v>
      </c>
      <c r="AC114" s="236" t="e">
        <f>スコア入力!AH114</f>
        <v>#DIV/0!</v>
      </c>
      <c r="AD114" s="236" t="e">
        <f>スコア入力!AI114</f>
        <v>#DIV/0!</v>
      </c>
      <c r="AE114" s="6"/>
      <c r="AF114" s="600">
        <f>スコア入力!N114</f>
        <v>3</v>
      </c>
      <c r="AG114" s="600">
        <f>スコア入力!P114</f>
        <v>3</v>
      </c>
      <c r="AH114" s="578" t="e">
        <f>スコア入力!AC114</f>
        <v>#DIV/0!</v>
      </c>
      <c r="AI114" s="578" t="e">
        <f>スコア入力!AE114</f>
        <v>#DIV/0!</v>
      </c>
      <c r="AJ114" s="600">
        <f>スコア入力!U114</f>
        <v>0</v>
      </c>
      <c r="AK114" s="600">
        <f>スコア入力!W114</f>
        <v>0</v>
      </c>
      <c r="AL114" s="578" t="e">
        <f>スコア入力!AJ114</f>
        <v>#DIV/0!</v>
      </c>
      <c r="AM114" s="578" t="e">
        <f>スコア入力!AL114</f>
        <v>#DIV/0!</v>
      </c>
      <c r="AN114" s="579"/>
      <c r="AO114" s="579"/>
    </row>
    <row r="115" spans="1:41" ht="14.25" hidden="1" thickBot="1">
      <c r="A115" s="399"/>
      <c r="B115" s="1793"/>
      <c r="C115" s="1794"/>
      <c r="D115" s="1795"/>
      <c r="E115" s="1796"/>
      <c r="F115" s="635"/>
      <c r="G115" s="635"/>
      <c r="H115" s="2999"/>
      <c r="I115" s="3000"/>
      <c r="J115" s="3000"/>
      <c r="K115" s="3001"/>
      <c r="L115" s="620" t="e">
        <f t="shared" si="30"/>
        <v>#DIV/0!</v>
      </c>
      <c r="M115" s="620">
        <f t="shared" si="30"/>
        <v>0</v>
      </c>
      <c r="N115" s="636">
        <f>スコア入力!AC115</f>
        <v>0</v>
      </c>
      <c r="O115" s="636">
        <f>スコア入力!AE115</f>
        <v>0</v>
      </c>
      <c r="P115" s="620">
        <f t="shared" si="31"/>
        <v>0</v>
      </c>
      <c r="Q115" s="620">
        <f t="shared" si="31"/>
        <v>0</v>
      </c>
      <c r="R115" s="636">
        <f>スコア入力!AJ115</f>
        <v>0</v>
      </c>
      <c r="S115" s="636">
        <f>スコア入力!AL115</f>
        <v>0</v>
      </c>
      <c r="T115" s="623"/>
      <c r="U115" s="623"/>
      <c r="W115" s="624"/>
      <c r="X115" s="624"/>
      <c r="Y115" s="236" t="e">
        <f>スコア入力!AA115</f>
        <v>#DIV/0!</v>
      </c>
      <c r="Z115" s="236">
        <f>スコア入力!AB115</f>
        <v>0</v>
      </c>
      <c r="AA115" s="624"/>
      <c r="AB115" s="624"/>
      <c r="AC115" s="236">
        <f>スコア入力!AH115</f>
        <v>0</v>
      </c>
      <c r="AD115" s="236">
        <f>スコア入力!AI115</f>
        <v>0</v>
      </c>
      <c r="AE115" s="6"/>
      <c r="AF115" s="625"/>
      <c r="AG115" s="625"/>
      <c r="AH115" s="636">
        <f>スコア入力!AC115</f>
        <v>0</v>
      </c>
      <c r="AI115" s="636">
        <f>スコア入力!AE115</f>
        <v>0</v>
      </c>
      <c r="AJ115" s="625"/>
      <c r="AK115" s="625"/>
      <c r="AL115" s="636">
        <f>スコア入力!AJ115</f>
        <v>0</v>
      </c>
      <c r="AM115" s="636">
        <f>スコア入力!AL115</f>
        <v>0</v>
      </c>
      <c r="AN115" s="623"/>
      <c r="AO115" s="623"/>
    </row>
    <row r="116" spans="1:41" ht="16.5" thickBot="1">
      <c r="A116" s="399"/>
      <c r="B116" s="421" t="s">
        <v>742</v>
      </c>
      <c r="C116" s="422"/>
      <c r="D116" s="422"/>
      <c r="E116" s="422"/>
      <c r="F116" s="422"/>
      <c r="G116" s="422"/>
      <c r="H116" s="3002"/>
      <c r="I116" s="3003"/>
      <c r="J116" s="3003"/>
      <c r="K116" s="3004"/>
      <c r="L116" s="637"/>
      <c r="M116" s="638"/>
      <c r="N116" s="639"/>
      <c r="O116" s="639"/>
      <c r="P116" s="640"/>
      <c r="Q116" s="640"/>
      <c r="R116" s="639"/>
      <c r="S116" s="639"/>
      <c r="T116" s="641" t="e">
        <f t="shared" ref="T116:U118" si="34">ROUNDDOWN(AN116,1)</f>
        <v>#VALUE!</v>
      </c>
      <c r="U116" s="641" t="e">
        <f t="shared" si="34"/>
        <v>#VALUE!</v>
      </c>
      <c r="W116" s="568" t="e">
        <f>$AO116</f>
        <v>#VALUE!</v>
      </c>
      <c r="X116" s="568" t="e">
        <f>$AO116</f>
        <v>#VALUE!</v>
      </c>
      <c r="Y116" s="236" t="e">
        <f>スコア入力!AA116</f>
        <v>#DIV/0!</v>
      </c>
      <c r="Z116" s="236">
        <f>スコア入力!AB116</f>
        <v>0</v>
      </c>
      <c r="AA116" s="568">
        <f t="shared" ref="AA116:AA151" si="35">AJ116</f>
        <v>0</v>
      </c>
      <c r="AB116" s="568">
        <f t="shared" ref="AB116:AB151" si="36">AK116</f>
        <v>0</v>
      </c>
      <c r="AC116" s="236" t="e">
        <f>スコア入力!AH116</f>
        <v>#DIV/0!</v>
      </c>
      <c r="AD116" s="236">
        <f>スコア入力!AI116</f>
        <v>0</v>
      </c>
      <c r="AE116" s="6"/>
      <c r="AF116" s="642"/>
      <c r="AG116" s="638"/>
      <c r="AH116" s="639">
        <f>スコア入力!AC116</f>
        <v>0</v>
      </c>
      <c r="AI116" s="639">
        <f>スコア入力!AE116</f>
        <v>0</v>
      </c>
      <c r="AJ116" s="642"/>
      <c r="AK116" s="638"/>
      <c r="AL116" s="639">
        <f>スコア入力!AJ116</f>
        <v>0</v>
      </c>
      <c r="AM116" s="639">
        <f>スコア入力!AL116</f>
        <v>0</v>
      </c>
      <c r="AN116" s="641" t="e">
        <f>AH117*AN117+AH140*AN140+AH159*AN159</f>
        <v>#VALUE!</v>
      </c>
      <c r="AO116" s="641" t="e">
        <f>AI117*AO117+AI140*AO140+AI159*AO159</f>
        <v>#VALUE!</v>
      </c>
    </row>
    <row r="117" spans="1:41" ht="15.75" thickBot="1">
      <c r="A117" s="399"/>
      <c r="B117" s="430" t="s">
        <v>743</v>
      </c>
      <c r="C117" s="267"/>
      <c r="D117" s="267" t="s">
        <v>744</v>
      </c>
      <c r="E117" s="267"/>
      <c r="F117" s="643"/>
      <c r="G117" s="643"/>
      <c r="H117" s="2990"/>
      <c r="I117" s="2991"/>
      <c r="J117" s="2991"/>
      <c r="K117" s="2992"/>
      <c r="L117" s="644"/>
      <c r="M117" s="572"/>
      <c r="N117" s="571" t="e">
        <f>スコア入力!AC117</f>
        <v>#VALUE!</v>
      </c>
      <c r="O117" s="571" t="e">
        <f>スコア入力!AE117</f>
        <v>#VALUE!</v>
      </c>
      <c r="P117" s="645"/>
      <c r="Q117" s="645"/>
      <c r="R117" s="571"/>
      <c r="S117" s="571"/>
      <c r="T117" s="573" t="e">
        <f t="shared" si="34"/>
        <v>#DIV/0!</v>
      </c>
      <c r="U117" s="573" t="e">
        <f t="shared" si="34"/>
        <v>#VALUE!</v>
      </c>
      <c r="W117" s="568" t="e">
        <f>$AO117</f>
        <v>#VALUE!</v>
      </c>
      <c r="X117" s="568" t="e">
        <f>$AO117</f>
        <v>#VALUE!</v>
      </c>
      <c r="Y117" s="236" t="e">
        <f>スコア入力!AA117</f>
        <v>#DIV/0!</v>
      </c>
      <c r="Z117" s="236" t="e">
        <f>スコア入力!AB117</f>
        <v>#DIV/0!</v>
      </c>
      <c r="AA117" s="568">
        <f t="shared" si="35"/>
        <v>0</v>
      </c>
      <c r="AB117" s="568">
        <f t="shared" si="36"/>
        <v>0</v>
      </c>
      <c r="AC117" s="236" t="e">
        <f>スコア入力!AH117</f>
        <v>#DIV/0!</v>
      </c>
      <c r="AD117" s="236" t="e">
        <f>スコア入力!AI117</f>
        <v>#DIV/0!</v>
      </c>
      <c r="AE117" s="6"/>
      <c r="AF117" s="274"/>
      <c r="AG117" s="572"/>
      <c r="AH117" s="571" t="e">
        <f>スコア入力!AC117</f>
        <v>#VALUE!</v>
      </c>
      <c r="AI117" s="571" t="e">
        <f>スコア入力!AE117</f>
        <v>#VALUE!</v>
      </c>
      <c r="AJ117" s="274"/>
      <c r="AK117" s="572"/>
      <c r="AL117" s="571" t="e">
        <f>スコア入力!AJ117</f>
        <v>#DIV/0!</v>
      </c>
      <c r="AM117" s="571" t="e">
        <f>スコア入力!AL117</f>
        <v>#DIV/0!</v>
      </c>
      <c r="AN117" s="573" t="e">
        <f>AN118*AH118+AN119*AH119+AN124*AH124+AN133*AH133</f>
        <v>#DIV/0!</v>
      </c>
      <c r="AO117" s="573" t="e">
        <f>AO118*AI118+AO119*AI119+AO124*AI124+AO133*AI133</f>
        <v>#VALUE!</v>
      </c>
    </row>
    <row r="118" spans="1:41" ht="14.25" thickBot="1">
      <c r="A118" s="399"/>
      <c r="B118" s="276">
        <v>1</v>
      </c>
      <c r="C118" s="278" t="s">
        <v>1503</v>
      </c>
      <c r="D118" s="278"/>
      <c r="E118" s="278"/>
      <c r="F118" s="646"/>
      <c r="G118" s="646"/>
      <c r="H118" s="2969"/>
      <c r="I118" s="2970"/>
      <c r="J118" s="2970"/>
      <c r="K118" s="2989"/>
      <c r="L118" s="456" t="e">
        <f t="shared" ref="L118" si="37">IF(Y118=0,0,ROUNDDOWN(AF118,1))</f>
        <v>#DIV/0!</v>
      </c>
      <c r="M118" s="456" t="e">
        <f t="shared" ref="M118:M119" si="38">IF(Z118=0,0,ROUNDDOWN(AG118,1))</f>
        <v>#DIV/0!</v>
      </c>
      <c r="N118" s="578" t="e">
        <f>スコア入力!AC118</f>
        <v>#DIV/0!</v>
      </c>
      <c r="O118" s="578" t="e">
        <f>スコア入力!AE118</f>
        <v>#VALUE!</v>
      </c>
      <c r="P118" s="456" t="e">
        <f t="shared" ref="P118:P119" si="39">IF(AC118=0,0,ROUNDDOWN(AJ118,1))</f>
        <v>#DIV/0!</v>
      </c>
      <c r="Q118" s="456" t="e">
        <f t="shared" ref="Q118:Q119" si="40">IF(AD118=0,0,ROUNDDOWN(AK118,1))</f>
        <v>#DIV/0!</v>
      </c>
      <c r="R118" s="578" t="e">
        <f>スコア入力!AJ118</f>
        <v>#DIV/0!</v>
      </c>
      <c r="S118" s="578" t="e">
        <f>スコア入力!AL118</f>
        <v>#DIV/0!</v>
      </c>
      <c r="T118" s="579">
        <f t="shared" si="34"/>
        <v>0</v>
      </c>
      <c r="U118" s="579" t="e">
        <f t="shared" si="34"/>
        <v>#VALUE!</v>
      </c>
      <c r="W118" s="237">
        <f t="shared" ref="W118:W137" si="41">AF118</f>
        <v>0</v>
      </c>
      <c r="X118" s="237" t="e">
        <f t="shared" ref="X118:X137" si="42">AG118</f>
        <v>#VALUE!</v>
      </c>
      <c r="Y118" s="236" t="e">
        <f>スコア入力!AA118</f>
        <v>#DIV/0!</v>
      </c>
      <c r="Z118" s="236" t="e">
        <f>スコア入力!AB118</f>
        <v>#DIV/0!</v>
      </c>
      <c r="AA118" s="237">
        <f t="shared" si="35"/>
        <v>0</v>
      </c>
      <c r="AB118" s="237">
        <f t="shared" si="36"/>
        <v>0</v>
      </c>
      <c r="AC118" s="236" t="e">
        <f>スコア入力!AH118</f>
        <v>#DIV/0!</v>
      </c>
      <c r="AD118" s="236" t="e">
        <f>スコア入力!AI118</f>
        <v>#DIV/0!</v>
      </c>
      <c r="AE118" s="6"/>
      <c r="AF118" s="662">
        <f>IF(スコア入力!L118="",計画書_前!I17,計画書_対象外!I17)</f>
        <v>0</v>
      </c>
      <c r="AG118" s="662" t="e">
        <f>IF(スコア入力!L118="",計画書_後!I17,計画書_対象外!I17)</f>
        <v>#VALUE!</v>
      </c>
      <c r="AH118" s="578" t="e">
        <f>スコア入力!AC118</f>
        <v>#DIV/0!</v>
      </c>
      <c r="AI118" s="578" t="e">
        <f>スコア入力!AE118</f>
        <v>#VALUE!</v>
      </c>
      <c r="AJ118" s="631">
        <f>スコア入力!U118</f>
        <v>0</v>
      </c>
      <c r="AK118" s="631">
        <f>スコア入力!W118</f>
        <v>0</v>
      </c>
      <c r="AL118" s="578" t="e">
        <f>スコア入力!AJ118</f>
        <v>#DIV/0!</v>
      </c>
      <c r="AM118" s="578" t="e">
        <f>スコア入力!AL118</f>
        <v>#DIV/0!</v>
      </c>
      <c r="AN118" s="579">
        <f>IF(AJ118=0,AF118,AF118*AH$6+AJ118*AL$6)</f>
        <v>0</v>
      </c>
      <c r="AO118" s="579" t="e">
        <f>IF(AK118=0,AG118,AG118*AI$6+AK118*AM$6)</f>
        <v>#VALUE!</v>
      </c>
    </row>
    <row r="119" spans="1:41" ht="14.25" thickBot="1">
      <c r="A119" s="399"/>
      <c r="B119" s="441">
        <v>2</v>
      </c>
      <c r="C119" s="319" t="s">
        <v>745</v>
      </c>
      <c r="D119" s="319"/>
      <c r="E119" s="319"/>
      <c r="F119" s="647"/>
      <c r="G119" s="647"/>
      <c r="H119" s="2954"/>
      <c r="I119" s="2955"/>
      <c r="J119" s="2955"/>
      <c r="K119" s="2956"/>
      <c r="L119" s="486" t="e">
        <f>IF(Y119=0,0,ROUNDDOWN(AF119,1))</f>
        <v>#DIV/0!</v>
      </c>
      <c r="M119" s="486" t="e">
        <f t="shared" si="38"/>
        <v>#DIV/0!</v>
      </c>
      <c r="N119" s="592" t="e">
        <f>スコア入力!AC119</f>
        <v>#DIV/0!</v>
      </c>
      <c r="O119" s="592" t="e">
        <f>スコア入力!AE119</f>
        <v>#VALUE!</v>
      </c>
      <c r="P119" s="486" t="e">
        <f t="shared" si="39"/>
        <v>#DIV/0!</v>
      </c>
      <c r="Q119" s="486" t="e">
        <f t="shared" si="40"/>
        <v>#DIV/0!</v>
      </c>
      <c r="R119" s="592" t="e">
        <f>スコア入力!AJ119</f>
        <v>#DIV/0!</v>
      </c>
      <c r="S119" s="592" t="e">
        <f>スコア入力!AL119</f>
        <v>#DIV/0!</v>
      </c>
      <c r="T119" s="594" t="e">
        <f>ROUNDDOWN(AN119,1)</f>
        <v>#DIV/0!</v>
      </c>
      <c r="U119" s="594" t="e">
        <f>ROUNDDOWN(AO119,1)</f>
        <v>#DIV/0!</v>
      </c>
      <c r="W119" s="568" t="e">
        <f t="shared" si="41"/>
        <v>#DIV/0!</v>
      </c>
      <c r="X119" s="568" t="e">
        <f t="shared" si="42"/>
        <v>#DIV/0!</v>
      </c>
      <c r="Y119" s="236" t="e">
        <f>スコア入力!AA119</f>
        <v>#DIV/0!</v>
      </c>
      <c r="Z119" s="236" t="e">
        <f>スコア入力!AB119</f>
        <v>#DIV/0!</v>
      </c>
      <c r="AA119" s="568" t="e">
        <f t="shared" si="35"/>
        <v>#DIV/0!</v>
      </c>
      <c r="AB119" s="568" t="e">
        <f t="shared" si="36"/>
        <v>#DIV/0!</v>
      </c>
      <c r="AC119" s="236" t="e">
        <f>スコア入力!AH119</f>
        <v>#DIV/0!</v>
      </c>
      <c r="AD119" s="236" t="e">
        <f>スコア入力!AI119</f>
        <v>#DIV/0!</v>
      </c>
      <c r="AE119" s="6"/>
      <c r="AF119" s="597" t="e">
        <f>AF120*AH120+AF121*AH121</f>
        <v>#DIV/0!</v>
      </c>
      <c r="AG119" s="597" t="e">
        <f>AG120*AI120+AG121*AI121</f>
        <v>#DIV/0!</v>
      </c>
      <c r="AH119" s="592" t="e">
        <f>スコア入力!AC119</f>
        <v>#DIV/0!</v>
      </c>
      <c r="AI119" s="592" t="e">
        <f>スコア入力!AE119</f>
        <v>#VALUE!</v>
      </c>
      <c r="AJ119" s="597" t="e">
        <f>AJ120*AL120+AJ121*AL121</f>
        <v>#DIV/0!</v>
      </c>
      <c r="AK119" s="597" t="e">
        <f>AK120*AM120+AK121*AM121</f>
        <v>#DIV/0!</v>
      </c>
      <c r="AL119" s="592" t="e">
        <f>スコア入力!AJ119</f>
        <v>#DIV/0!</v>
      </c>
      <c r="AM119" s="592" t="e">
        <f>スコア入力!AL119</f>
        <v>#DIV/0!</v>
      </c>
      <c r="AN119" s="594" t="e">
        <f t="shared" ref="AN119" si="43">IF(AJ119=0,AF119,IF(AF119=0,AJ119,AF119*AH$6+AJ119*AL$6))</f>
        <v>#DIV/0!</v>
      </c>
      <c r="AO119" s="594" t="e">
        <f t="shared" ref="AO119" si="44">IF(AK119=0,AG119,IF(AG119=0,AK119,AG119*AI$6+AK119*AM$6))</f>
        <v>#DIV/0!</v>
      </c>
    </row>
    <row r="120" spans="1:41" ht="13.5" hidden="1">
      <c r="A120" s="399"/>
      <c r="B120" s="443"/>
      <c r="C120" s="2426" t="s">
        <v>1790</v>
      </c>
      <c r="D120" s="392" t="s">
        <v>1797</v>
      </c>
      <c r="E120" s="319"/>
      <c r="F120" s="647"/>
      <c r="G120" s="647"/>
      <c r="H120" s="2432"/>
      <c r="I120" s="2427"/>
      <c r="J120" s="2427"/>
      <c r="K120" s="2428"/>
      <c r="L120" s="456" t="e">
        <f>IF(Y120=0,0,ROUNDDOWN(AF120,1))</f>
        <v>#DIV/0!</v>
      </c>
      <c r="M120" s="456" t="e">
        <f>IF(Z120=0,0,ROUNDDOWN(AG120,1))</f>
        <v>#DIV/0!</v>
      </c>
      <c r="N120" s="578" t="e">
        <f>スコア入力!AC120</f>
        <v>#DIV/0!</v>
      </c>
      <c r="O120" s="578" t="e">
        <f>スコア入力!AE120</f>
        <v>#DIV/0!</v>
      </c>
      <c r="P120" s="456" t="e">
        <f t="shared" ref="P120:P121" si="45">IF(AC120=0,0,ROUNDDOWN(AJ120,1))</f>
        <v>#DIV/0!</v>
      </c>
      <c r="Q120" s="456" t="e">
        <f t="shared" ref="Q120:Q121" si="46">IF(AD120=0,0,ROUNDDOWN(AK120,1))</f>
        <v>#DIV/0!</v>
      </c>
      <c r="R120" s="578" t="e">
        <f>スコア入力!AJ120</f>
        <v>#DIV/0!</v>
      </c>
      <c r="S120" s="578" t="e">
        <f>スコア入力!AL120</f>
        <v>#DIV/0!</v>
      </c>
      <c r="T120" s="579"/>
      <c r="U120" s="582"/>
      <c r="W120" s="237">
        <f t="shared" si="41"/>
        <v>3</v>
      </c>
      <c r="X120" s="237">
        <f t="shared" si="42"/>
        <v>3</v>
      </c>
      <c r="Y120" s="236" t="e">
        <f>スコア入力!AA120</f>
        <v>#DIV/0!</v>
      </c>
      <c r="Z120" s="236" t="e">
        <f>スコア入力!AB120</f>
        <v>#DIV/0!</v>
      </c>
      <c r="AA120" s="237">
        <f t="shared" si="35"/>
        <v>0</v>
      </c>
      <c r="AB120" s="237">
        <f t="shared" si="36"/>
        <v>0</v>
      </c>
      <c r="AC120" s="236" t="e">
        <f>スコア入力!AH120</f>
        <v>#DIV/0!</v>
      </c>
      <c r="AD120" s="236" t="e">
        <f>スコア入力!AI120</f>
        <v>#DIV/0!</v>
      </c>
      <c r="AE120" s="6"/>
      <c r="AF120" s="630">
        <f>スコア入力!N120</f>
        <v>3</v>
      </c>
      <c r="AG120" s="630">
        <f>スコア入力!P120</f>
        <v>3</v>
      </c>
      <c r="AH120" s="578" t="e">
        <f>スコア入力!AC120</f>
        <v>#DIV/0!</v>
      </c>
      <c r="AI120" s="578" t="e">
        <f>スコア入力!AE120</f>
        <v>#DIV/0!</v>
      </c>
      <c r="AJ120" s="630">
        <f>スコア入力!U120</f>
        <v>0</v>
      </c>
      <c r="AK120" s="630">
        <f>スコア入力!W120</f>
        <v>0</v>
      </c>
      <c r="AL120" s="578" t="e">
        <f>スコア入力!AJ120</f>
        <v>#DIV/0!</v>
      </c>
      <c r="AM120" s="578" t="e">
        <f>スコア入力!AL120</f>
        <v>#DIV/0!</v>
      </c>
      <c r="AN120" s="579"/>
      <c r="AO120" s="579"/>
    </row>
    <row r="121" spans="1:41" ht="14.25" hidden="1" thickBot="1">
      <c r="A121" s="399"/>
      <c r="B121" s="443"/>
      <c r="C121" s="2426" t="s">
        <v>1792</v>
      </c>
      <c r="D121" s="392" t="s">
        <v>1798</v>
      </c>
      <c r="E121" s="319"/>
      <c r="F121" s="647"/>
      <c r="G121" s="647"/>
      <c r="H121" s="2432"/>
      <c r="I121" s="2427"/>
      <c r="J121" s="2427"/>
      <c r="K121" s="2428"/>
      <c r="L121" s="458" t="e">
        <f>IF(Y121=0,0,ROUNDDOWN(AF121,1))</f>
        <v>#DIV/0!</v>
      </c>
      <c r="M121" s="458" t="e">
        <f>IF(Z121=0,0,ROUNDDOWN(AG121,1))</f>
        <v>#DIV/0!</v>
      </c>
      <c r="N121" s="578" t="e">
        <f>スコア入力!AC121</f>
        <v>#DIV/0!</v>
      </c>
      <c r="O121" s="578" t="e">
        <f>スコア入力!AE121</f>
        <v>#DIV/0!</v>
      </c>
      <c r="P121" s="458" t="e">
        <f t="shared" si="45"/>
        <v>#DIV/0!</v>
      </c>
      <c r="Q121" s="458" t="e">
        <f t="shared" si="46"/>
        <v>#DIV/0!</v>
      </c>
      <c r="R121" s="578" t="e">
        <f>スコア入力!AJ121</f>
        <v>#DIV/0!</v>
      </c>
      <c r="S121" s="578" t="e">
        <f>スコア入力!AL121</f>
        <v>#DIV/0!</v>
      </c>
      <c r="T121" s="610"/>
      <c r="U121" s="579"/>
      <c r="W121" s="237">
        <f t="shared" si="41"/>
        <v>3</v>
      </c>
      <c r="X121" s="237">
        <f t="shared" si="42"/>
        <v>3</v>
      </c>
      <c r="Y121" s="236" t="e">
        <f>スコア入力!AA121</f>
        <v>#DIV/0!</v>
      </c>
      <c r="Z121" s="236" t="e">
        <f>スコア入力!AB121</f>
        <v>#DIV/0!</v>
      </c>
      <c r="AA121" s="237">
        <f t="shared" si="35"/>
        <v>0</v>
      </c>
      <c r="AB121" s="237">
        <f t="shared" si="36"/>
        <v>0</v>
      </c>
      <c r="AC121" s="236" t="e">
        <f>スコア入力!AH121</f>
        <v>#DIV/0!</v>
      </c>
      <c r="AD121" s="236" t="e">
        <f>スコア入力!AI121</f>
        <v>#DIV/0!</v>
      </c>
      <c r="AE121" s="6"/>
      <c r="AF121" s="600">
        <f>スコア入力!N121</f>
        <v>3</v>
      </c>
      <c r="AG121" s="600">
        <f>スコア入力!P121</f>
        <v>3</v>
      </c>
      <c r="AH121" s="578" t="e">
        <f>スコア入力!AC121</f>
        <v>#DIV/0!</v>
      </c>
      <c r="AI121" s="578" t="e">
        <f>スコア入力!AE121</f>
        <v>#DIV/0!</v>
      </c>
      <c r="AJ121" s="600">
        <f>スコア入力!U121</f>
        <v>0</v>
      </c>
      <c r="AK121" s="600">
        <f>スコア入力!W121</f>
        <v>0</v>
      </c>
      <c r="AL121" s="578" t="e">
        <f>スコア入力!AJ121</f>
        <v>#DIV/0!</v>
      </c>
      <c r="AM121" s="578" t="e">
        <f>スコア入力!AL121</f>
        <v>#DIV/0!</v>
      </c>
      <c r="AN121" s="579"/>
      <c r="AO121" s="579"/>
    </row>
    <row r="122" spans="1:41" ht="13.5" hidden="1">
      <c r="A122" s="399"/>
      <c r="B122" s="443"/>
      <c r="C122" s="447"/>
      <c r="D122" s="392"/>
      <c r="E122" s="319"/>
      <c r="F122" s="647"/>
      <c r="G122" s="647"/>
      <c r="H122" s="2429"/>
      <c r="I122" s="2430"/>
      <c r="J122" s="2430"/>
      <c r="K122" s="2431"/>
      <c r="L122" s="456" t="e">
        <f t="shared" ref="L122:L139" si="47">IF(Y122=0,0,ROUNDDOWN(AF122,1))</f>
        <v>#DIV/0!</v>
      </c>
      <c r="M122" s="456"/>
      <c r="N122" s="578">
        <f>スコア入力!AC122</f>
        <v>0</v>
      </c>
      <c r="O122" s="578">
        <f>スコア入力!AE122</f>
        <v>0</v>
      </c>
      <c r="P122" s="456" t="e">
        <f t="shared" ref="P122:P139" si="48">IF(AC122=0,0,ROUNDDOWN(AJ122,1))</f>
        <v>#DIV/0!</v>
      </c>
      <c r="Q122" s="456">
        <f t="shared" ref="Q122:Q139" si="49">IF(AD122=0,0,ROUNDDOWN(AK122,1))</f>
        <v>0</v>
      </c>
      <c r="R122" s="578">
        <f>スコア入力!AJ122</f>
        <v>0</v>
      </c>
      <c r="S122" s="578">
        <f>スコア入力!AL122</f>
        <v>0</v>
      </c>
      <c r="T122" s="579"/>
      <c r="U122" s="579"/>
      <c r="W122" s="237">
        <f t="shared" si="41"/>
        <v>0</v>
      </c>
      <c r="X122" s="237">
        <f t="shared" si="42"/>
        <v>0</v>
      </c>
      <c r="Y122" s="236" t="e">
        <f>スコア入力!AA122</f>
        <v>#DIV/0!</v>
      </c>
      <c r="Z122" s="236">
        <f>スコア入力!AB122</f>
        <v>0</v>
      </c>
      <c r="AA122" s="237">
        <f t="shared" si="35"/>
        <v>0</v>
      </c>
      <c r="AB122" s="237">
        <f t="shared" si="36"/>
        <v>0</v>
      </c>
      <c r="AC122" s="236" t="e">
        <f>スコア入力!AH122</f>
        <v>#DIV/0!</v>
      </c>
      <c r="AD122" s="236">
        <f>スコア入力!AI122</f>
        <v>0</v>
      </c>
      <c r="AE122" s="6"/>
      <c r="AF122" s="630">
        <f>スコア入力!N122</f>
        <v>0</v>
      </c>
      <c r="AG122" s="630">
        <f>スコア入力!P122</f>
        <v>0</v>
      </c>
      <c r="AH122" s="578">
        <f>スコア入力!AC122</f>
        <v>0</v>
      </c>
      <c r="AI122" s="578">
        <f>スコア入力!AE122</f>
        <v>0</v>
      </c>
      <c r="AJ122" s="630">
        <f>スコア入力!U122</f>
        <v>0</v>
      </c>
      <c r="AK122" s="630">
        <f>スコア入力!W122</f>
        <v>0</v>
      </c>
      <c r="AL122" s="578">
        <f>スコア入力!AJ122</f>
        <v>0</v>
      </c>
      <c r="AM122" s="578">
        <f>スコア入力!AL122</f>
        <v>0</v>
      </c>
      <c r="AN122" s="579"/>
      <c r="AO122" s="579"/>
    </row>
    <row r="123" spans="1:41" ht="14.25" hidden="1" thickBot="1">
      <c r="A123" s="399"/>
      <c r="B123" s="448"/>
      <c r="C123" s="447"/>
      <c r="D123" s="392"/>
      <c r="E123" s="319"/>
      <c r="F123" s="647"/>
      <c r="G123" s="647"/>
      <c r="H123" s="2966"/>
      <c r="I123" s="2967"/>
      <c r="J123" s="2967"/>
      <c r="K123" s="2968"/>
      <c r="L123" s="458" t="e">
        <f t="shared" si="47"/>
        <v>#DIV/0!</v>
      </c>
      <c r="M123" s="458">
        <f t="shared" ref="M123:M137" si="50">IF(Z123=0,0,ROUNDDOWN(AG123,1))</f>
        <v>0</v>
      </c>
      <c r="N123" s="578">
        <f>スコア入力!AC123</f>
        <v>0</v>
      </c>
      <c r="O123" s="578">
        <f>スコア入力!AE123</f>
        <v>0</v>
      </c>
      <c r="P123" s="458" t="e">
        <f t="shared" si="48"/>
        <v>#DIV/0!</v>
      </c>
      <c r="Q123" s="458">
        <f t="shared" si="49"/>
        <v>0</v>
      </c>
      <c r="R123" s="578">
        <f>スコア入力!AJ123</f>
        <v>0</v>
      </c>
      <c r="S123" s="578">
        <f>スコア入力!AL123</f>
        <v>0</v>
      </c>
      <c r="T123" s="610"/>
      <c r="U123" s="610"/>
      <c r="W123" s="237">
        <f t="shared" si="41"/>
        <v>0</v>
      </c>
      <c r="X123" s="237">
        <f t="shared" si="42"/>
        <v>0</v>
      </c>
      <c r="Y123" s="236" t="e">
        <f>スコア入力!AA123</f>
        <v>#DIV/0!</v>
      </c>
      <c r="Z123" s="236">
        <f>スコア入力!AB123</f>
        <v>0</v>
      </c>
      <c r="AA123" s="237">
        <f t="shared" si="35"/>
        <v>0</v>
      </c>
      <c r="AB123" s="237">
        <f t="shared" si="36"/>
        <v>0</v>
      </c>
      <c r="AC123" s="236" t="e">
        <f>スコア入力!AH123</f>
        <v>#DIV/0!</v>
      </c>
      <c r="AD123" s="236">
        <f>スコア入力!AI123</f>
        <v>0</v>
      </c>
      <c r="AE123" s="6"/>
      <c r="AF123" s="600">
        <f>スコア入力!N123</f>
        <v>0</v>
      </c>
      <c r="AG123" s="600">
        <f>スコア入力!P123</f>
        <v>0</v>
      </c>
      <c r="AH123" s="578">
        <f>スコア入力!AC123</f>
        <v>0</v>
      </c>
      <c r="AI123" s="578">
        <f>スコア入力!AE123</f>
        <v>0</v>
      </c>
      <c r="AJ123" s="600">
        <f>スコア入力!U123</f>
        <v>0</v>
      </c>
      <c r="AK123" s="600">
        <f>スコア入力!W123</f>
        <v>0</v>
      </c>
      <c r="AL123" s="578">
        <f>スコア入力!AJ123</f>
        <v>0</v>
      </c>
      <c r="AM123" s="578">
        <f>スコア入力!AL123</f>
        <v>0</v>
      </c>
      <c r="AN123" s="610"/>
      <c r="AO123" s="610"/>
    </row>
    <row r="124" spans="1:41" ht="14.25" thickBot="1">
      <c r="A124" s="399"/>
      <c r="B124" s="441">
        <v>3</v>
      </c>
      <c r="C124" s="319" t="s">
        <v>748</v>
      </c>
      <c r="D124" s="319"/>
      <c r="E124" s="319"/>
      <c r="F124" s="647"/>
      <c r="G124" s="647"/>
      <c r="H124" s="2969"/>
      <c r="I124" s="2970"/>
      <c r="J124" s="2970"/>
      <c r="K124" s="2974"/>
      <c r="L124" s="669" t="e">
        <f t="shared" ref="L124" si="51">IF(Y124=0,0,ROUNDDOWN(AF124,1))</f>
        <v>#DIV/0!</v>
      </c>
      <c r="M124" s="669" t="e">
        <f t="shared" ref="M124" si="52">IF(Z124=0,0,ROUNDDOWN(AG124,1))</f>
        <v>#DIV/0!</v>
      </c>
      <c r="N124" s="592" t="e">
        <f>スコア入力!AC124</f>
        <v>#DIV/0!</v>
      </c>
      <c r="O124" s="592" t="e">
        <f>スコア入力!AE124</f>
        <v>#VALUE!</v>
      </c>
      <c r="P124" s="597" t="e">
        <f t="shared" si="48"/>
        <v>#DIV/0!</v>
      </c>
      <c r="Q124" s="597" t="e">
        <f t="shared" si="49"/>
        <v>#DIV/0!</v>
      </c>
      <c r="R124" s="592" t="e">
        <f>スコア入力!AJ124</f>
        <v>#DIV/0!</v>
      </c>
      <c r="S124" s="592" t="e">
        <f>スコア入力!AL124</f>
        <v>#DIV/0!</v>
      </c>
      <c r="T124" s="594" t="e">
        <f>ROUNDDOWN(AN124,1)</f>
        <v>#DIV/0!</v>
      </c>
      <c r="U124" s="594" t="e">
        <f>ROUNDDOWN(AO124,1)</f>
        <v>#DIV/0!</v>
      </c>
      <c r="W124" s="648" t="e">
        <f t="shared" si="41"/>
        <v>#DIV/0!</v>
      </c>
      <c r="X124" s="648" t="e">
        <f t="shared" si="42"/>
        <v>#DIV/0!</v>
      </c>
      <c r="Y124" s="236" t="e">
        <f>スコア入力!AA124</f>
        <v>#DIV/0!</v>
      </c>
      <c r="Z124" s="236" t="e">
        <f>スコア入力!AB124</f>
        <v>#DIV/0!</v>
      </c>
      <c r="AA124" s="648" t="e">
        <f t="shared" si="35"/>
        <v>#DIV/0!</v>
      </c>
      <c r="AB124" s="648" t="e">
        <f t="shared" si="36"/>
        <v>#DIV/0!</v>
      </c>
      <c r="AC124" s="236" t="e">
        <f>スコア入力!AH124</f>
        <v>#DIV/0!</v>
      </c>
      <c r="AD124" s="236" t="e">
        <f>スコア入力!AI124</f>
        <v>#DIV/0!</v>
      </c>
      <c r="AE124" s="6"/>
      <c r="AF124" s="2398" t="e">
        <f>IF(スコア入力!L124="",計画書_前!I34,計画書_対象外!I34)</f>
        <v>#DIV/0!</v>
      </c>
      <c r="AG124" s="662" t="e">
        <f>IF(スコア入力!L124="",計画書_後!I34,計画書_対象外!I34)</f>
        <v>#DIV/0!</v>
      </c>
      <c r="AH124" s="592" t="e">
        <f>スコア入力!AC124</f>
        <v>#DIV/0!</v>
      </c>
      <c r="AI124" s="592" t="e">
        <f>スコア入力!AE124</f>
        <v>#VALUE!</v>
      </c>
      <c r="AJ124" s="597" t="e">
        <f>AJ125*AL125+AJ126*AL126</f>
        <v>#DIV/0!</v>
      </c>
      <c r="AK124" s="597" t="e">
        <f>AK125*AM125+AK126*AM126</f>
        <v>#DIV/0!</v>
      </c>
      <c r="AL124" s="592" t="e">
        <f>スコア入力!AJ124</f>
        <v>#DIV/0!</v>
      </c>
      <c r="AM124" s="592" t="e">
        <f>スコア入力!AL124</f>
        <v>#DIV/0!</v>
      </c>
      <c r="AN124" s="594" t="e">
        <f>IF(AJ124=0,AF124,AF124*AH$6+AJ124*AL$6)</f>
        <v>#DIV/0!</v>
      </c>
      <c r="AO124" s="594" t="e">
        <f>IF(AK124=0,AG124,AG124*AI$6+AK124*AM$6)</f>
        <v>#DIV/0!</v>
      </c>
    </row>
    <row r="125" spans="1:41" ht="14.25" thickBot="1">
      <c r="A125" s="399"/>
      <c r="B125" s="443"/>
      <c r="C125" s="411">
        <v>3.1</v>
      </c>
      <c r="D125" s="392" t="s">
        <v>1763</v>
      </c>
      <c r="E125" s="319"/>
      <c r="F125" s="647"/>
      <c r="G125" s="647"/>
      <c r="H125" s="2954"/>
      <c r="I125" s="2955"/>
      <c r="J125" s="2955"/>
      <c r="K125" s="2956"/>
      <c r="L125" s="583" t="e">
        <f t="shared" si="47"/>
        <v>#DIV/0!</v>
      </c>
      <c r="M125" s="583" t="e">
        <f>IF(Z125=0,0,ROUNDDOWN(AG125,1))</f>
        <v>#DIV/0!</v>
      </c>
      <c r="N125" s="578" t="e">
        <f>IF(N132&gt;0,0,スコア入力!AC125)</f>
        <v>#DIV/0!</v>
      </c>
      <c r="O125" s="578" t="e">
        <f>IF(O132&gt;0,0,スコア入力!AE125)</f>
        <v>#DIV/0!</v>
      </c>
      <c r="P125" s="583" t="e">
        <f t="shared" si="48"/>
        <v>#DIV/0!</v>
      </c>
      <c r="Q125" s="583" t="e">
        <f t="shared" si="49"/>
        <v>#DIV/0!</v>
      </c>
      <c r="R125" s="578" t="e">
        <f>スコア入力!AJ125</f>
        <v>#DIV/0!</v>
      </c>
      <c r="S125" s="578" t="e">
        <f>スコア入力!AL125</f>
        <v>#DIV/0!</v>
      </c>
      <c r="T125" s="579"/>
      <c r="U125" s="579"/>
      <c r="W125" s="574">
        <f>AF125</f>
        <v>0</v>
      </c>
      <c r="X125" s="574">
        <f t="shared" si="42"/>
        <v>0</v>
      </c>
      <c r="Y125" s="236" t="e">
        <f>スコア入力!AA125</f>
        <v>#DIV/0!</v>
      </c>
      <c r="Z125" s="236" t="e">
        <f>スコア入力!AB125</f>
        <v>#DIV/0!</v>
      </c>
      <c r="AA125" s="574">
        <f t="shared" si="35"/>
        <v>0</v>
      </c>
      <c r="AB125" s="574">
        <f t="shared" si="36"/>
        <v>0</v>
      </c>
      <c r="AC125" s="236" t="e">
        <f>スコア入力!AH125</f>
        <v>#DIV/0!</v>
      </c>
      <c r="AD125" s="236" t="e">
        <f>スコア入力!AI125</f>
        <v>#DIV/0!</v>
      </c>
      <c r="AE125" s="6"/>
      <c r="AF125" s="662">
        <f>IF(スコア入力!L125="",計画書_前!I31,計画書_対象外!I31)</f>
        <v>0</v>
      </c>
      <c r="AG125" s="662">
        <f>IF(スコア入力!L125="",計画書_後!I31,計画書_対象外!I31)</f>
        <v>0</v>
      </c>
      <c r="AH125" s="584" t="e">
        <f>スコア入力!AC125</f>
        <v>#DIV/0!</v>
      </c>
      <c r="AI125" s="584" t="e">
        <f>スコア入力!AE125</f>
        <v>#DIV/0!</v>
      </c>
      <c r="AJ125" s="416">
        <f>スコア入力!U125</f>
        <v>0</v>
      </c>
      <c r="AK125" s="416">
        <f>スコア入力!W125</f>
        <v>0</v>
      </c>
      <c r="AL125" s="584" t="e">
        <f>スコア入力!AJ125</f>
        <v>#DIV/0!</v>
      </c>
      <c r="AM125" s="584" t="e">
        <f>スコア入力!AL125</f>
        <v>#DIV/0!</v>
      </c>
      <c r="AN125" s="579"/>
      <c r="AO125" s="579"/>
    </row>
    <row r="126" spans="1:41" ht="14.25" thickBot="1">
      <c r="A126" s="399"/>
      <c r="B126" s="443"/>
      <c r="C126" s="408">
        <v>3.1</v>
      </c>
      <c r="D126" s="392" t="s">
        <v>1764</v>
      </c>
      <c r="E126" s="319"/>
      <c r="F126" s="647"/>
      <c r="G126" s="647"/>
      <c r="H126" s="2966"/>
      <c r="I126" s="2967"/>
      <c r="J126" s="2967"/>
      <c r="K126" s="2968"/>
      <c r="L126" s="589" t="e">
        <f t="shared" si="47"/>
        <v>#DIV/0!</v>
      </c>
      <c r="M126" s="589" t="e">
        <f t="shared" si="50"/>
        <v>#DIV/0!</v>
      </c>
      <c r="N126" s="578" t="e">
        <f>スコア入力!AC126</f>
        <v>#DIV/0!</v>
      </c>
      <c r="O126" s="578" t="e">
        <f>スコア入力!AE126</f>
        <v>#DIV/0!</v>
      </c>
      <c r="P126" s="589" t="e">
        <f t="shared" si="48"/>
        <v>#DIV/0!</v>
      </c>
      <c r="Q126" s="589" t="e">
        <f t="shared" si="49"/>
        <v>#DIV/0!</v>
      </c>
      <c r="R126" s="578" t="e">
        <f>スコア入力!AJ126</f>
        <v>#DIV/0!</v>
      </c>
      <c r="S126" s="578" t="e">
        <f>スコア入力!AL126</f>
        <v>#DIV/0!</v>
      </c>
      <c r="T126" s="579"/>
      <c r="U126" s="579"/>
      <c r="W126" s="568">
        <f t="shared" si="41"/>
        <v>0</v>
      </c>
      <c r="X126" s="568">
        <f t="shared" si="42"/>
        <v>0</v>
      </c>
      <c r="Y126" s="236" t="e">
        <f>スコア入力!AA126</f>
        <v>#DIV/0!</v>
      </c>
      <c r="Z126" s="236" t="e">
        <f>スコア入力!AB126</f>
        <v>#DIV/0!</v>
      </c>
      <c r="AA126" s="568">
        <f t="shared" si="35"/>
        <v>0</v>
      </c>
      <c r="AB126" s="568">
        <f t="shared" si="36"/>
        <v>0</v>
      </c>
      <c r="AC126" s="236" t="e">
        <f>スコア入力!AH126</f>
        <v>#DIV/0!</v>
      </c>
      <c r="AD126" s="236" t="e">
        <f>スコア入力!AI126</f>
        <v>#DIV/0!</v>
      </c>
      <c r="AE126" s="6"/>
      <c r="AF126" s="662">
        <f>IF(スコア入力!L126="",計画書_前!M31,計画書_対象外!M31)</f>
        <v>0</v>
      </c>
      <c r="AG126" s="662">
        <f>IF(スコア入力!L126="",計画書_後!M31,計画書_対象外!M31)</f>
        <v>0</v>
      </c>
      <c r="AH126" s="584" t="e">
        <f>スコア入力!AC126</f>
        <v>#DIV/0!</v>
      </c>
      <c r="AI126" s="584" t="e">
        <f>スコア入力!AE126</f>
        <v>#DIV/0!</v>
      </c>
      <c r="AJ126" s="597">
        <f>SUMPRODUCT(AJ127:AJ132,AL127:AL132)</f>
        <v>0</v>
      </c>
      <c r="AK126" s="597">
        <f>SUMPRODUCT(AK127:AK132,AM127:AM132)</f>
        <v>0</v>
      </c>
      <c r="AL126" s="584" t="e">
        <f>スコア入力!AJ126</f>
        <v>#DIV/0!</v>
      </c>
      <c r="AM126" s="584" t="e">
        <f>スコア入力!AL126</f>
        <v>#DIV/0!</v>
      </c>
      <c r="AN126" s="579"/>
      <c r="AO126" s="579"/>
    </row>
    <row r="127" spans="1:41" ht="13.5" hidden="1">
      <c r="A127" s="399"/>
      <c r="B127" s="455"/>
      <c r="C127" s="2410">
        <v>3.1</v>
      </c>
      <c r="D127" s="2411" t="s">
        <v>749</v>
      </c>
      <c r="E127" s="2082"/>
      <c r="F127" s="647"/>
      <c r="G127" s="647"/>
      <c r="H127" s="2966"/>
      <c r="I127" s="2967"/>
      <c r="J127" s="2967"/>
      <c r="K127" s="2967"/>
      <c r="L127" s="589" t="e">
        <f t="shared" si="47"/>
        <v>#DIV/0!</v>
      </c>
      <c r="M127" s="589">
        <f t="shared" si="50"/>
        <v>0</v>
      </c>
      <c r="N127" s="578">
        <f>スコア入力!AC127</f>
        <v>0</v>
      </c>
      <c r="O127" s="578">
        <f>スコア入力!AE127</f>
        <v>0</v>
      </c>
      <c r="P127" s="589" t="e">
        <f t="shared" si="48"/>
        <v>#DIV/0!</v>
      </c>
      <c r="Q127" s="589">
        <f t="shared" si="49"/>
        <v>0</v>
      </c>
      <c r="R127" s="578">
        <f>スコア入力!AJ127</f>
        <v>0</v>
      </c>
      <c r="S127" s="578">
        <f>スコア入力!AL127</f>
        <v>0</v>
      </c>
      <c r="T127" s="579"/>
      <c r="U127" s="579"/>
      <c r="W127" s="568">
        <f t="shared" si="41"/>
        <v>0</v>
      </c>
      <c r="X127" s="568">
        <f t="shared" si="42"/>
        <v>0</v>
      </c>
      <c r="Y127" s="236" t="e">
        <f>スコア入力!AA127</f>
        <v>#DIV/0!</v>
      </c>
      <c r="Z127" s="236">
        <f>スコア入力!AB127</f>
        <v>0</v>
      </c>
      <c r="AA127" s="568">
        <f t="shared" si="35"/>
        <v>0</v>
      </c>
      <c r="AB127" s="568">
        <f t="shared" si="36"/>
        <v>0</v>
      </c>
      <c r="AC127" s="236" t="e">
        <f>スコア入力!AH127</f>
        <v>#DIV/0!</v>
      </c>
      <c r="AD127" s="236">
        <f>スコア入力!AI127</f>
        <v>0</v>
      </c>
      <c r="AE127" s="6"/>
      <c r="AF127" s="630">
        <f>スコア入力!N127</f>
        <v>0</v>
      </c>
      <c r="AG127" s="630">
        <f>スコア入力!P127</f>
        <v>0</v>
      </c>
      <c r="AH127" s="584">
        <f>スコア入力!AC127</f>
        <v>0</v>
      </c>
      <c r="AI127" s="584">
        <f>スコア入力!AE127</f>
        <v>0</v>
      </c>
      <c r="AJ127" s="630">
        <f>スコア入力!U127</f>
        <v>0</v>
      </c>
      <c r="AK127" s="630">
        <f>スコア入力!W127</f>
        <v>0</v>
      </c>
      <c r="AL127" s="584">
        <f>スコア入力!AJ127</f>
        <v>0</v>
      </c>
      <c r="AM127" s="584">
        <f>スコア入力!AL127</f>
        <v>0</v>
      </c>
      <c r="AN127" s="579"/>
      <c r="AO127" s="579"/>
    </row>
    <row r="128" spans="1:41" ht="13.5" hidden="1">
      <c r="A128" s="399"/>
      <c r="B128" s="455"/>
      <c r="C128" s="2410">
        <v>3.2</v>
      </c>
      <c r="D128" s="2411" t="s">
        <v>750</v>
      </c>
      <c r="E128" s="2082"/>
      <c r="F128" s="647"/>
      <c r="G128" s="647"/>
      <c r="H128" s="2966"/>
      <c r="I128" s="2967"/>
      <c r="J128" s="2967"/>
      <c r="K128" s="2967"/>
      <c r="L128" s="589" t="e">
        <f t="shared" si="47"/>
        <v>#DIV/0!</v>
      </c>
      <c r="M128" s="589">
        <f t="shared" si="50"/>
        <v>0</v>
      </c>
      <c r="N128" s="578">
        <f>スコア入力!AC128</f>
        <v>0</v>
      </c>
      <c r="O128" s="578">
        <f>スコア入力!AE128</f>
        <v>0</v>
      </c>
      <c r="P128" s="589" t="e">
        <f t="shared" si="48"/>
        <v>#DIV/0!</v>
      </c>
      <c r="Q128" s="589">
        <f t="shared" si="49"/>
        <v>0</v>
      </c>
      <c r="R128" s="578">
        <f>スコア入力!AJ128</f>
        <v>0</v>
      </c>
      <c r="S128" s="578">
        <f>スコア入力!AL128</f>
        <v>0</v>
      </c>
      <c r="T128" s="579"/>
      <c r="U128" s="579"/>
      <c r="W128" s="568">
        <f t="shared" si="41"/>
        <v>0</v>
      </c>
      <c r="X128" s="568">
        <f t="shared" si="42"/>
        <v>0</v>
      </c>
      <c r="Y128" s="236" t="e">
        <f>スコア入力!AA128</f>
        <v>#DIV/0!</v>
      </c>
      <c r="Z128" s="236">
        <f>スコア入力!AB128</f>
        <v>0</v>
      </c>
      <c r="AA128" s="568">
        <f t="shared" si="35"/>
        <v>0</v>
      </c>
      <c r="AB128" s="568">
        <f t="shared" si="36"/>
        <v>0</v>
      </c>
      <c r="AC128" s="236" t="e">
        <f>スコア入力!AH128</f>
        <v>#DIV/0!</v>
      </c>
      <c r="AD128" s="236">
        <f>スコア入力!AI128</f>
        <v>0</v>
      </c>
      <c r="AE128" s="6"/>
      <c r="AF128" s="649">
        <f>スコア入力!N128</f>
        <v>0</v>
      </c>
      <c r="AG128" s="649">
        <f>スコア入力!P128</f>
        <v>0</v>
      </c>
      <c r="AH128" s="584">
        <f>スコア入力!AC128</f>
        <v>0</v>
      </c>
      <c r="AI128" s="584">
        <f>スコア入力!AE128</f>
        <v>0</v>
      </c>
      <c r="AJ128" s="649">
        <f>スコア入力!U128</f>
        <v>0</v>
      </c>
      <c r="AK128" s="649">
        <f>スコア入力!W128</f>
        <v>0</v>
      </c>
      <c r="AL128" s="584">
        <f>スコア入力!AJ128</f>
        <v>0</v>
      </c>
      <c r="AM128" s="584">
        <f>スコア入力!AL128</f>
        <v>0</v>
      </c>
      <c r="AN128" s="579"/>
      <c r="AO128" s="579"/>
    </row>
    <row r="129" spans="1:41" ht="13.5" hidden="1">
      <c r="A129" s="399"/>
      <c r="B129" s="455"/>
      <c r="C129" s="2410">
        <v>3.3</v>
      </c>
      <c r="D129" s="2411" t="s">
        <v>751</v>
      </c>
      <c r="E129" s="2082"/>
      <c r="F129" s="647"/>
      <c r="G129" s="647"/>
      <c r="H129" s="2966"/>
      <c r="I129" s="2967"/>
      <c r="J129" s="2967"/>
      <c r="K129" s="2967"/>
      <c r="L129" s="589" t="e">
        <f t="shared" ref="L129:L131" si="53">IF(Y129=0,0,ROUNDDOWN(AF129,1))</f>
        <v>#DIV/0!</v>
      </c>
      <c r="M129" s="589">
        <f t="shared" ref="M129:M131" si="54">IF(Z129=0,0,ROUNDDOWN(AG129,1))</f>
        <v>0</v>
      </c>
      <c r="N129" s="578">
        <f>スコア入力!AC129</f>
        <v>0</v>
      </c>
      <c r="O129" s="578">
        <f>スコア入力!AE129</f>
        <v>0</v>
      </c>
      <c r="P129" s="589" t="e">
        <f t="shared" ref="P129:P132" si="55">IF(AC129=0,0,ROUNDDOWN(AJ129,1))</f>
        <v>#DIV/0!</v>
      </c>
      <c r="Q129" s="589">
        <f t="shared" ref="Q129:Q132" si="56">IF(AD129=0,0,ROUNDDOWN(AK129,1))</f>
        <v>0</v>
      </c>
      <c r="R129" s="578">
        <f>スコア入力!AJ129</f>
        <v>0</v>
      </c>
      <c r="S129" s="578">
        <f>スコア入力!AL129</f>
        <v>0</v>
      </c>
      <c r="T129" s="579"/>
      <c r="U129" s="579"/>
      <c r="W129" s="568">
        <f t="shared" si="41"/>
        <v>0</v>
      </c>
      <c r="X129" s="568">
        <f t="shared" si="42"/>
        <v>0</v>
      </c>
      <c r="Y129" s="236" t="e">
        <f>スコア入力!AA129</f>
        <v>#DIV/0!</v>
      </c>
      <c r="Z129" s="236">
        <f>スコア入力!AB129</f>
        <v>0</v>
      </c>
      <c r="AA129" s="568">
        <f t="shared" si="35"/>
        <v>0</v>
      </c>
      <c r="AB129" s="568">
        <f t="shared" si="36"/>
        <v>0</v>
      </c>
      <c r="AC129" s="236" t="e">
        <f>スコア入力!AH129</f>
        <v>#DIV/0!</v>
      </c>
      <c r="AD129" s="236">
        <f>スコア入力!AI129</f>
        <v>0</v>
      </c>
      <c r="AE129" s="6"/>
      <c r="AF129" s="649">
        <f>スコア入力!N129</f>
        <v>0</v>
      </c>
      <c r="AG129" s="649">
        <f>スコア入力!P129</f>
        <v>0</v>
      </c>
      <c r="AH129" s="584">
        <f>スコア入力!AC129</f>
        <v>0</v>
      </c>
      <c r="AI129" s="584">
        <f>スコア入力!AE129</f>
        <v>0</v>
      </c>
      <c r="AJ129" s="649">
        <f>スコア入力!U129</f>
        <v>0</v>
      </c>
      <c r="AK129" s="649">
        <f>スコア入力!W129</f>
        <v>0</v>
      </c>
      <c r="AL129" s="584">
        <f>スコア入力!AJ129</f>
        <v>0</v>
      </c>
      <c r="AM129" s="584">
        <f>スコア入力!AL129</f>
        <v>0</v>
      </c>
      <c r="AN129" s="579"/>
      <c r="AO129" s="579"/>
    </row>
    <row r="130" spans="1:41" ht="13.5" hidden="1">
      <c r="A130" s="399"/>
      <c r="B130" s="455"/>
      <c r="C130" s="2410">
        <v>3.4</v>
      </c>
      <c r="D130" s="2411" t="s">
        <v>365</v>
      </c>
      <c r="E130" s="2082"/>
      <c r="F130" s="647"/>
      <c r="G130" s="647"/>
      <c r="H130" s="2966"/>
      <c r="I130" s="2967"/>
      <c r="J130" s="2967"/>
      <c r="K130" s="2967"/>
      <c r="L130" s="589" t="e">
        <f t="shared" si="53"/>
        <v>#DIV/0!</v>
      </c>
      <c r="M130" s="589">
        <f t="shared" si="54"/>
        <v>0</v>
      </c>
      <c r="N130" s="578">
        <f>スコア入力!AC130</f>
        <v>0</v>
      </c>
      <c r="O130" s="578">
        <f>スコア入力!AE130</f>
        <v>0</v>
      </c>
      <c r="P130" s="589" t="e">
        <f t="shared" si="55"/>
        <v>#DIV/0!</v>
      </c>
      <c r="Q130" s="589">
        <f t="shared" si="56"/>
        <v>0</v>
      </c>
      <c r="R130" s="578">
        <f>スコア入力!AJ130</f>
        <v>0</v>
      </c>
      <c r="S130" s="578">
        <f>スコア入力!AL130</f>
        <v>0</v>
      </c>
      <c r="T130" s="579"/>
      <c r="U130" s="579"/>
      <c r="W130" s="568">
        <f t="shared" si="41"/>
        <v>0</v>
      </c>
      <c r="X130" s="568">
        <f t="shared" si="42"/>
        <v>0</v>
      </c>
      <c r="Y130" s="236" t="e">
        <f>スコア入力!AA130</f>
        <v>#DIV/0!</v>
      </c>
      <c r="Z130" s="236">
        <f>スコア入力!AB130</f>
        <v>0</v>
      </c>
      <c r="AA130" s="568">
        <f t="shared" si="35"/>
        <v>0</v>
      </c>
      <c r="AB130" s="568">
        <f t="shared" si="36"/>
        <v>0</v>
      </c>
      <c r="AC130" s="236" t="e">
        <f>スコア入力!AH130</f>
        <v>#DIV/0!</v>
      </c>
      <c r="AD130" s="236">
        <f>スコア入力!AI130</f>
        <v>0</v>
      </c>
      <c r="AE130" s="6"/>
      <c r="AF130" s="649">
        <f>スコア入力!N130</f>
        <v>0</v>
      </c>
      <c r="AG130" s="649">
        <f>スコア入力!P130</f>
        <v>0</v>
      </c>
      <c r="AH130" s="584">
        <f>スコア入力!AC130</f>
        <v>0</v>
      </c>
      <c r="AI130" s="584">
        <f>スコア入力!AE130</f>
        <v>0</v>
      </c>
      <c r="AJ130" s="649">
        <f>スコア入力!U130</f>
        <v>0</v>
      </c>
      <c r="AK130" s="649">
        <f>スコア入力!W130</f>
        <v>0</v>
      </c>
      <c r="AL130" s="584">
        <f>スコア入力!AJ130</f>
        <v>0</v>
      </c>
      <c r="AM130" s="584">
        <f>スコア入力!AL130</f>
        <v>0</v>
      </c>
      <c r="AN130" s="579"/>
      <c r="AO130" s="579"/>
    </row>
    <row r="131" spans="1:41" ht="13.5" hidden="1">
      <c r="A131" s="399"/>
      <c r="B131" s="455"/>
      <c r="C131" s="2410">
        <v>3.5</v>
      </c>
      <c r="D131" s="2411" t="s">
        <v>752</v>
      </c>
      <c r="E131" s="2082"/>
      <c r="F131" s="647"/>
      <c r="G131" s="647"/>
      <c r="H131" s="2966"/>
      <c r="I131" s="2967"/>
      <c r="J131" s="2967"/>
      <c r="K131" s="2967"/>
      <c r="L131" s="589" t="e">
        <f t="shared" si="53"/>
        <v>#DIV/0!</v>
      </c>
      <c r="M131" s="589">
        <f t="shared" si="54"/>
        <v>0</v>
      </c>
      <c r="N131" s="578">
        <f>スコア入力!AC131</f>
        <v>0</v>
      </c>
      <c r="O131" s="578">
        <f>スコア入力!AE131</f>
        <v>0</v>
      </c>
      <c r="P131" s="589" t="e">
        <f t="shared" si="55"/>
        <v>#DIV/0!</v>
      </c>
      <c r="Q131" s="589">
        <f t="shared" si="56"/>
        <v>0</v>
      </c>
      <c r="R131" s="578">
        <f>スコア入力!AJ131</f>
        <v>0</v>
      </c>
      <c r="S131" s="578">
        <f>スコア入力!AL131</f>
        <v>0</v>
      </c>
      <c r="T131" s="579"/>
      <c r="U131" s="579"/>
      <c r="W131" s="568">
        <f t="shared" si="41"/>
        <v>0</v>
      </c>
      <c r="X131" s="568">
        <f t="shared" si="42"/>
        <v>0</v>
      </c>
      <c r="Y131" s="236" t="e">
        <f>スコア入力!AA131</f>
        <v>#DIV/0!</v>
      </c>
      <c r="Z131" s="236">
        <f>スコア入力!AB131</f>
        <v>0</v>
      </c>
      <c r="AA131" s="568">
        <f t="shared" si="35"/>
        <v>0</v>
      </c>
      <c r="AB131" s="568">
        <f t="shared" si="36"/>
        <v>0</v>
      </c>
      <c r="AC131" s="236" t="e">
        <f>スコア入力!AH131</f>
        <v>#DIV/0!</v>
      </c>
      <c r="AD131" s="236">
        <f>スコア入力!AI131</f>
        <v>0</v>
      </c>
      <c r="AE131" s="6"/>
      <c r="AF131" s="649">
        <f>スコア入力!N131</f>
        <v>0</v>
      </c>
      <c r="AG131" s="649">
        <f>スコア入力!P131</f>
        <v>0</v>
      </c>
      <c r="AH131" s="578">
        <f>スコア入力!AC131</f>
        <v>0</v>
      </c>
      <c r="AI131" s="578">
        <f>スコア入力!AE131</f>
        <v>0</v>
      </c>
      <c r="AJ131" s="649">
        <f>スコア入力!U131</f>
        <v>0</v>
      </c>
      <c r="AK131" s="649">
        <f>スコア入力!W131</f>
        <v>0</v>
      </c>
      <c r="AL131" s="578">
        <f>スコア入力!AJ131</f>
        <v>0</v>
      </c>
      <c r="AM131" s="578">
        <f>スコア入力!AL131</f>
        <v>0</v>
      </c>
      <c r="AN131" s="579"/>
      <c r="AO131" s="579"/>
    </row>
    <row r="132" spans="1:41" ht="14.25" thickBot="1">
      <c r="A132" s="399"/>
      <c r="B132" s="459"/>
      <c r="C132" s="411">
        <v>3.2</v>
      </c>
      <c r="D132" s="392" t="s">
        <v>1765</v>
      </c>
      <c r="E132" s="317"/>
      <c r="F132" s="647"/>
      <c r="G132" s="647"/>
      <c r="H132" s="2966"/>
      <c r="I132" s="2967"/>
      <c r="J132" s="2967"/>
      <c r="K132" s="2967"/>
      <c r="L132" s="586" t="e">
        <f>IF(Y132=0,0,ROUNDDOWN(AF132,1))</f>
        <v>#DIV/0!</v>
      </c>
      <c r="M132" s="586" t="e">
        <f>IF(Z132=0,0,ROUNDDOWN(AG132,1))</f>
        <v>#DIV/0!</v>
      </c>
      <c r="N132" s="578" t="e">
        <f>スコア入力!AC132</f>
        <v>#DIV/0!</v>
      </c>
      <c r="O132" s="578" t="e">
        <f>スコア入力!AE132</f>
        <v>#DIV/0!</v>
      </c>
      <c r="P132" s="586" t="e">
        <f t="shared" si="55"/>
        <v>#DIV/0!</v>
      </c>
      <c r="Q132" s="586" t="e">
        <f t="shared" si="56"/>
        <v>#DIV/0!</v>
      </c>
      <c r="R132" s="578">
        <f>スコア入力!AJ132</f>
        <v>0</v>
      </c>
      <c r="S132" s="578">
        <f>スコア入力!AL132</f>
        <v>0</v>
      </c>
      <c r="T132" s="579"/>
      <c r="U132" s="579"/>
      <c r="W132" s="568">
        <f t="shared" si="41"/>
        <v>0</v>
      </c>
      <c r="X132" s="568">
        <f t="shared" si="42"/>
        <v>0</v>
      </c>
      <c r="Y132" s="236" t="e">
        <f>スコア入力!AA132</f>
        <v>#DIV/0!</v>
      </c>
      <c r="Z132" s="236" t="e">
        <f>スコア入力!AB132</f>
        <v>#DIV/0!</v>
      </c>
      <c r="AA132" s="568">
        <f t="shared" si="35"/>
        <v>0</v>
      </c>
      <c r="AB132" s="568">
        <f t="shared" si="36"/>
        <v>0</v>
      </c>
      <c r="AC132" s="236" t="e">
        <f>スコア入力!AH132</f>
        <v>#DIV/0!</v>
      </c>
      <c r="AD132" s="236" t="e">
        <f>スコア入力!AI132</f>
        <v>#DIV/0!</v>
      </c>
      <c r="AE132" s="6"/>
      <c r="AF132" s="600">
        <f>IF(スコア入力!L132="",計画書_前!I33,計画書_対象外!I33)</f>
        <v>0</v>
      </c>
      <c r="AG132" s="600">
        <f>IF(スコア入力!L132="",計画書_後!I33,計画書_対象外!I33)</f>
        <v>0</v>
      </c>
      <c r="AH132" s="578" t="e">
        <f>スコア入力!AC132</f>
        <v>#DIV/0!</v>
      </c>
      <c r="AI132" s="578" t="e">
        <f>スコア入力!AE132</f>
        <v>#DIV/0!</v>
      </c>
      <c r="AJ132" s="600">
        <f>スコア入力!U132</f>
        <v>0</v>
      </c>
      <c r="AK132" s="600">
        <f>スコア入力!W132</f>
        <v>0</v>
      </c>
      <c r="AL132" s="578">
        <f>スコア入力!AJ132</f>
        <v>0</v>
      </c>
      <c r="AM132" s="578">
        <f>スコア入力!AL132</f>
        <v>0</v>
      </c>
      <c r="AN132" s="579"/>
      <c r="AO132" s="579"/>
    </row>
    <row r="133" spans="1:41" ht="13.5">
      <c r="A133" s="399"/>
      <c r="B133" s="441">
        <v>4</v>
      </c>
      <c r="C133" s="319" t="s">
        <v>753</v>
      </c>
      <c r="D133" s="278"/>
      <c r="E133" s="278"/>
      <c r="F133" s="647"/>
      <c r="G133" s="647"/>
      <c r="H133" s="2969"/>
      <c r="I133" s="2970"/>
      <c r="J133" s="2970"/>
      <c r="K133" s="2974"/>
      <c r="L133" s="669" t="e">
        <f t="shared" si="47"/>
        <v>#DIV/0!</v>
      </c>
      <c r="M133" s="669" t="e">
        <f t="shared" si="50"/>
        <v>#DIV/0!</v>
      </c>
      <c r="N133" s="592" t="e">
        <f>スコア入力!AC133</f>
        <v>#DIV/0!</v>
      </c>
      <c r="O133" s="592" t="e">
        <f>スコア入力!AE133</f>
        <v>#VALUE!</v>
      </c>
      <c r="P133" s="593" t="e">
        <f t="shared" si="48"/>
        <v>#DIV/0!</v>
      </c>
      <c r="Q133" s="669" t="e">
        <f t="shared" si="49"/>
        <v>#DIV/0!</v>
      </c>
      <c r="R133" s="592" t="e">
        <f>スコア入力!AJ133</f>
        <v>#DIV/0!</v>
      </c>
      <c r="S133" s="592" t="e">
        <f>スコア入力!AL133</f>
        <v>#DIV/0!</v>
      </c>
      <c r="T133" s="594" t="e">
        <f>ROUNDDOWN(AN133,1)</f>
        <v>#DIV/0!</v>
      </c>
      <c r="U133" s="594" t="e">
        <f>ROUNDDOWN(AO133,1)</f>
        <v>#DIV/0!</v>
      </c>
      <c r="W133" s="568" t="e">
        <f t="shared" si="41"/>
        <v>#DIV/0!</v>
      </c>
      <c r="X133" s="568" t="e">
        <f t="shared" si="42"/>
        <v>#DIV/0!</v>
      </c>
      <c r="Y133" s="236" t="e">
        <f>スコア入力!AA133</f>
        <v>#DIV/0!</v>
      </c>
      <c r="Z133" s="236" t="e">
        <f>スコア入力!AB133</f>
        <v>#DIV/0!</v>
      </c>
      <c r="AA133" s="568" t="e">
        <f t="shared" si="35"/>
        <v>#DIV/0!</v>
      </c>
      <c r="AB133" s="568" t="e">
        <f t="shared" si="36"/>
        <v>#DIV/0!</v>
      </c>
      <c r="AC133" s="236" t="e">
        <f>スコア入力!AH133</f>
        <v>#DIV/0!</v>
      </c>
      <c r="AD133" s="236" t="e">
        <f>スコア入力!AI133</f>
        <v>#DIV/0!</v>
      </c>
      <c r="AE133" s="6"/>
      <c r="AF133" s="580" t="e">
        <f>AF134*AH134+AF137*AH137</f>
        <v>#DIV/0!</v>
      </c>
      <c r="AG133" s="580" t="e">
        <f>AG134*AI134+AG137*AI137</f>
        <v>#DIV/0!</v>
      </c>
      <c r="AH133" s="592" t="e">
        <f>スコア入力!AC133</f>
        <v>#DIV/0!</v>
      </c>
      <c r="AI133" s="592" t="e">
        <f>スコア入力!AE133</f>
        <v>#VALUE!</v>
      </c>
      <c r="AJ133" s="580" t="e">
        <f>AJ134*AL134+AJ137*AL137</f>
        <v>#DIV/0!</v>
      </c>
      <c r="AK133" s="580" t="e">
        <f>AK134*AM134+AK137*AM137</f>
        <v>#DIV/0!</v>
      </c>
      <c r="AL133" s="592" t="e">
        <f>スコア入力!AJ133</f>
        <v>#DIV/0!</v>
      </c>
      <c r="AM133" s="592" t="e">
        <f>スコア入力!AL133</f>
        <v>#DIV/0!</v>
      </c>
      <c r="AN133" s="594" t="e">
        <f>IF(AJ133=0,AF133,AF133*AH$6+AJ133*AL$6)</f>
        <v>#DIV/0!</v>
      </c>
      <c r="AO133" s="594" t="e">
        <f>IF(AK133=0,AG133,AG133*AI$6+AK133*AM$6)</f>
        <v>#DIV/0!</v>
      </c>
    </row>
    <row r="134" spans="1:41" ht="14.25" thickBot="1">
      <c r="A134" s="399"/>
      <c r="B134" s="331"/>
      <c r="C134" s="308"/>
      <c r="D134" s="326" t="s">
        <v>1766</v>
      </c>
      <c r="E134" s="290"/>
      <c r="F134" s="647"/>
      <c r="G134" s="647"/>
      <c r="H134" s="2966"/>
      <c r="I134" s="2967"/>
      <c r="J134" s="2967"/>
      <c r="K134" s="2967"/>
      <c r="L134" s="618" t="e">
        <f t="shared" si="47"/>
        <v>#DIV/0!</v>
      </c>
      <c r="M134" s="597" t="e">
        <f t="shared" si="50"/>
        <v>#DIV/0!</v>
      </c>
      <c r="N134" s="578" t="e">
        <f>スコア入力!AC134</f>
        <v>#DIV/0!</v>
      </c>
      <c r="O134" s="578" t="e">
        <f>スコア入力!AE134</f>
        <v>#DIV/0!</v>
      </c>
      <c r="P134" s="597" t="e">
        <f t="shared" si="48"/>
        <v>#DIV/0!</v>
      </c>
      <c r="Q134" s="597" t="e">
        <f t="shared" si="49"/>
        <v>#DIV/0!</v>
      </c>
      <c r="R134" s="578" t="e">
        <f>スコア入力!AJ134</f>
        <v>#DIV/0!</v>
      </c>
      <c r="S134" s="578" t="e">
        <f>スコア入力!AL134</f>
        <v>#DIV/0!</v>
      </c>
      <c r="T134" s="579"/>
      <c r="U134" s="579"/>
      <c r="W134" s="237" t="e">
        <f t="shared" si="41"/>
        <v>#DIV/0!</v>
      </c>
      <c r="X134" s="237" t="e">
        <f t="shared" si="42"/>
        <v>#DIV/0!</v>
      </c>
      <c r="Y134" s="236" t="e">
        <f>スコア入力!AA134</f>
        <v>#DIV/0!</v>
      </c>
      <c r="Z134" s="236" t="e">
        <f>スコア入力!AB134</f>
        <v>#DIV/0!</v>
      </c>
      <c r="AA134" s="237" t="e">
        <f t="shared" si="35"/>
        <v>#DIV/0!</v>
      </c>
      <c r="AB134" s="237" t="e">
        <f t="shared" si="36"/>
        <v>#DIV/0!</v>
      </c>
      <c r="AC134" s="236" t="e">
        <f>スコア入力!AH134</f>
        <v>#DIV/0!</v>
      </c>
      <c r="AD134" s="236" t="e">
        <f>スコア入力!AI134</f>
        <v>#DIV/0!</v>
      </c>
      <c r="AE134" s="6"/>
      <c r="AF134" s="597" t="e">
        <f>SUMPRODUCT(AF135:AF136,AH135:AH136)</f>
        <v>#DIV/0!</v>
      </c>
      <c r="AG134" s="597" t="e">
        <f>SUMPRODUCT(AG135:AG136,AI135:AI136)</f>
        <v>#DIV/0!</v>
      </c>
      <c r="AH134" s="578" t="e">
        <f>スコア入力!AC134</f>
        <v>#DIV/0!</v>
      </c>
      <c r="AI134" s="578" t="e">
        <f>スコア入力!AE134</f>
        <v>#DIV/0!</v>
      </c>
      <c r="AJ134" s="597" t="e">
        <f>SUMPRODUCT(AJ135:AJ136,AL135:AL136)</f>
        <v>#DIV/0!</v>
      </c>
      <c r="AK134" s="597" t="e">
        <f>SUMPRODUCT(AK135:AK136,AM135:AM136)</f>
        <v>#DIV/0!</v>
      </c>
      <c r="AL134" s="578" t="e">
        <f>スコア入力!AJ134</f>
        <v>#DIV/0!</v>
      </c>
      <c r="AM134" s="578" t="e">
        <f>スコア入力!AL134</f>
        <v>#DIV/0!</v>
      </c>
      <c r="AN134" s="579"/>
      <c r="AO134" s="579"/>
    </row>
    <row r="135" spans="1:41" ht="13.5">
      <c r="A135" s="399"/>
      <c r="B135" s="331"/>
      <c r="C135" s="2412"/>
      <c r="D135" s="297">
        <v>4.0999999999999996</v>
      </c>
      <c r="E135" s="317" t="s">
        <v>1767</v>
      </c>
      <c r="F135" s="647"/>
      <c r="G135" s="647"/>
      <c r="H135" s="2966"/>
      <c r="I135" s="2967"/>
      <c r="J135" s="2967"/>
      <c r="K135" s="2968"/>
      <c r="L135" s="583" t="e">
        <f t="shared" si="47"/>
        <v>#DIV/0!</v>
      </c>
      <c r="M135" s="583" t="e">
        <f t="shared" si="50"/>
        <v>#DIV/0!</v>
      </c>
      <c r="N135" s="578" t="e">
        <f>スコア入力!AC135</f>
        <v>#DIV/0!</v>
      </c>
      <c r="O135" s="578" t="e">
        <f>スコア入力!AE135</f>
        <v>#DIV/0!</v>
      </c>
      <c r="P135" s="583" t="e">
        <f t="shared" si="48"/>
        <v>#DIV/0!</v>
      </c>
      <c r="Q135" s="583" t="e">
        <f t="shared" si="49"/>
        <v>#DIV/0!</v>
      </c>
      <c r="R135" s="578" t="e">
        <f>スコア入力!AJ135</f>
        <v>#DIV/0!</v>
      </c>
      <c r="S135" s="578" t="e">
        <f>スコア入力!AL135</f>
        <v>#DIV/0!</v>
      </c>
      <c r="T135" s="579"/>
      <c r="U135" s="579"/>
      <c r="W135" s="568">
        <f t="shared" ref="W135:W136" si="57">AF135</f>
        <v>3</v>
      </c>
      <c r="X135" s="568">
        <f t="shared" ref="X135:X136" si="58">AG135</f>
        <v>3</v>
      </c>
      <c r="Y135" s="236" t="e">
        <f>スコア入力!AA135</f>
        <v>#DIV/0!</v>
      </c>
      <c r="Z135" s="236" t="e">
        <f>スコア入力!AB135</f>
        <v>#DIV/0!</v>
      </c>
      <c r="AA135" s="568">
        <f t="shared" ref="AA135:AA136" si="59">AJ135</f>
        <v>0</v>
      </c>
      <c r="AB135" s="568">
        <f t="shared" ref="AB135:AB136" si="60">AK135</f>
        <v>0</v>
      </c>
      <c r="AC135" s="236" t="e">
        <f>スコア入力!AH135</f>
        <v>#DIV/0!</v>
      </c>
      <c r="AD135" s="236" t="e">
        <f>スコア入力!AI135</f>
        <v>#DIV/0!</v>
      </c>
      <c r="AE135" s="6"/>
      <c r="AF135" s="630">
        <f>スコア入力!N135</f>
        <v>3</v>
      </c>
      <c r="AG135" s="630">
        <f>スコア入力!P135</f>
        <v>3</v>
      </c>
      <c r="AH135" s="584" t="e">
        <f>スコア入力!AC135</f>
        <v>#DIV/0!</v>
      </c>
      <c r="AI135" s="584" t="e">
        <f>スコア入力!AE135</f>
        <v>#DIV/0!</v>
      </c>
      <c r="AJ135" s="630">
        <f>スコア入力!U135</f>
        <v>0</v>
      </c>
      <c r="AK135" s="630">
        <f>スコア入力!W135</f>
        <v>0</v>
      </c>
      <c r="AL135" s="584" t="e">
        <f>スコア入力!AJ135</f>
        <v>#DIV/0!</v>
      </c>
      <c r="AM135" s="584" t="e">
        <f>スコア入力!AL135</f>
        <v>#DIV/0!</v>
      </c>
      <c r="AN135" s="579"/>
      <c r="AO135" s="579"/>
    </row>
    <row r="136" spans="1:41" ht="14.25" thickBot="1">
      <c r="A136" s="399"/>
      <c r="B136" s="331"/>
      <c r="C136" s="2413"/>
      <c r="D136" s="297">
        <v>4.2</v>
      </c>
      <c r="E136" s="317" t="s">
        <v>754</v>
      </c>
      <c r="F136" s="647"/>
      <c r="G136" s="647"/>
      <c r="H136" s="2966"/>
      <c r="I136" s="2967"/>
      <c r="J136" s="2967"/>
      <c r="K136" s="2968"/>
      <c r="L136" s="586" t="e">
        <f t="shared" si="47"/>
        <v>#DIV/0!</v>
      </c>
      <c r="M136" s="586" t="e">
        <f>IF(Z136=0,0,ROUNDDOWN(AG136,1))</f>
        <v>#DIV/0!</v>
      </c>
      <c r="N136" s="578" t="e">
        <f>スコア入力!AC136</f>
        <v>#DIV/0!</v>
      </c>
      <c r="O136" s="578" t="e">
        <f>スコア入力!AE136</f>
        <v>#DIV/0!</v>
      </c>
      <c r="P136" s="586" t="e">
        <f t="shared" si="48"/>
        <v>#DIV/0!</v>
      </c>
      <c r="Q136" s="586" t="e">
        <f t="shared" si="49"/>
        <v>#DIV/0!</v>
      </c>
      <c r="R136" s="578" t="e">
        <f>スコア入力!AJ136</f>
        <v>#DIV/0!</v>
      </c>
      <c r="S136" s="578" t="e">
        <f>スコア入力!AL136</f>
        <v>#DIV/0!</v>
      </c>
      <c r="T136" s="579"/>
      <c r="U136" s="579"/>
      <c r="W136" s="568">
        <f t="shared" si="57"/>
        <v>3</v>
      </c>
      <c r="X136" s="568">
        <f t="shared" si="58"/>
        <v>3</v>
      </c>
      <c r="Y136" s="236" t="e">
        <f>スコア入力!AA136</f>
        <v>#DIV/0!</v>
      </c>
      <c r="Z136" s="236" t="e">
        <f>スコア入力!AB136</f>
        <v>#DIV/0!</v>
      </c>
      <c r="AA136" s="568">
        <f t="shared" si="59"/>
        <v>0</v>
      </c>
      <c r="AB136" s="568">
        <f t="shared" si="60"/>
        <v>0</v>
      </c>
      <c r="AC136" s="236" t="e">
        <f>スコア入力!AH136</f>
        <v>#DIV/0!</v>
      </c>
      <c r="AD136" s="236" t="e">
        <f>スコア入力!AI136</f>
        <v>#DIV/0!</v>
      </c>
      <c r="AE136" s="6"/>
      <c r="AF136" s="600">
        <f>スコア入力!N136</f>
        <v>3</v>
      </c>
      <c r="AG136" s="600">
        <f>スコア入力!P136</f>
        <v>3</v>
      </c>
      <c r="AH136" s="578" t="e">
        <f>スコア入力!AC136</f>
        <v>#DIV/0!</v>
      </c>
      <c r="AI136" s="578" t="e">
        <f>スコア入力!AE136</f>
        <v>#DIV/0!</v>
      </c>
      <c r="AJ136" s="600">
        <f>スコア入力!U136</f>
        <v>0</v>
      </c>
      <c r="AK136" s="600">
        <f>スコア入力!W136</f>
        <v>0</v>
      </c>
      <c r="AL136" s="578" t="e">
        <f>スコア入力!AJ136</f>
        <v>#DIV/0!</v>
      </c>
      <c r="AM136" s="578" t="e">
        <f>スコア入力!AL136</f>
        <v>#DIV/0!</v>
      </c>
      <c r="AN136" s="579"/>
      <c r="AO136" s="579"/>
    </row>
    <row r="137" spans="1:41" ht="14.25" thickBot="1">
      <c r="A137" s="399"/>
      <c r="B137" s="331"/>
      <c r="C137" s="308"/>
      <c r="D137" s="326" t="s">
        <v>1768</v>
      </c>
      <c r="E137" s="290"/>
      <c r="F137" s="647"/>
      <c r="G137" s="647"/>
      <c r="H137" s="2966"/>
      <c r="I137" s="2967"/>
      <c r="J137" s="2967"/>
      <c r="K137" s="2967"/>
      <c r="L137" s="588" t="e">
        <f t="shared" si="47"/>
        <v>#DIV/0!</v>
      </c>
      <c r="M137" s="597" t="e">
        <f t="shared" si="50"/>
        <v>#DIV/0!</v>
      </c>
      <c r="N137" s="578" t="e">
        <f>スコア入力!AC137</f>
        <v>#DIV/0!</v>
      </c>
      <c r="O137" s="578" t="e">
        <f>スコア入力!AE137</f>
        <v>#DIV/0!</v>
      </c>
      <c r="P137" s="597" t="e">
        <f t="shared" si="48"/>
        <v>#DIV/0!</v>
      </c>
      <c r="Q137" s="597" t="e">
        <f t="shared" si="49"/>
        <v>#DIV/0!</v>
      </c>
      <c r="R137" s="578" t="e">
        <f>スコア入力!AJ137</f>
        <v>#DIV/0!</v>
      </c>
      <c r="S137" s="578" t="e">
        <f>スコア入力!AL137</f>
        <v>#DIV/0!</v>
      </c>
      <c r="T137" s="579"/>
      <c r="U137" s="579"/>
      <c r="W137" s="237" t="e">
        <f t="shared" si="41"/>
        <v>#DIV/0!</v>
      </c>
      <c r="X137" s="237" t="e">
        <f t="shared" si="42"/>
        <v>#DIV/0!</v>
      </c>
      <c r="Y137" s="236" t="e">
        <f>スコア入力!AA137</f>
        <v>#DIV/0!</v>
      </c>
      <c r="Z137" s="236" t="e">
        <f>スコア入力!AB137</f>
        <v>#DIV/0!</v>
      </c>
      <c r="AA137" s="237" t="e">
        <f t="shared" si="35"/>
        <v>#DIV/0!</v>
      </c>
      <c r="AB137" s="237" t="e">
        <f t="shared" si="36"/>
        <v>#DIV/0!</v>
      </c>
      <c r="AC137" s="236" t="e">
        <f>スコア入力!AH137</f>
        <v>#DIV/0!</v>
      </c>
      <c r="AD137" s="236" t="e">
        <f>スコア入力!AI137</f>
        <v>#DIV/0!</v>
      </c>
      <c r="AE137" s="6"/>
      <c r="AF137" s="597" t="e">
        <f>SUMPRODUCT(AF138:AF139,AH138:AH139)</f>
        <v>#DIV/0!</v>
      </c>
      <c r="AG137" s="597" t="e">
        <f>SUMPRODUCT(AG138:AG139,AI138:AI139)</f>
        <v>#DIV/0!</v>
      </c>
      <c r="AH137" s="578" t="e">
        <f>スコア入力!AC137</f>
        <v>#DIV/0!</v>
      </c>
      <c r="AI137" s="578" t="e">
        <f>スコア入力!AE137</f>
        <v>#DIV/0!</v>
      </c>
      <c r="AJ137" s="597" t="e">
        <f>SUMPRODUCT(AJ138:AJ139,AL138:AL139)</f>
        <v>#DIV/0!</v>
      </c>
      <c r="AK137" s="597" t="e">
        <f>SUMPRODUCT(AK138:AK139,AM138:AM139)</f>
        <v>#DIV/0!</v>
      </c>
      <c r="AL137" s="578" t="e">
        <f>スコア入力!AJ137</f>
        <v>#DIV/0!</v>
      </c>
      <c r="AM137" s="578" t="e">
        <f>スコア入力!AL137</f>
        <v>#DIV/0!</v>
      </c>
      <c r="AN137" s="579"/>
      <c r="AO137" s="579"/>
    </row>
    <row r="138" spans="1:41" ht="13.5">
      <c r="A138" s="399"/>
      <c r="B138" s="331"/>
      <c r="C138" s="2412"/>
      <c r="D138" s="297">
        <v>4.0999999999999996</v>
      </c>
      <c r="E138" s="317" t="s">
        <v>1767</v>
      </c>
      <c r="F138" s="647"/>
      <c r="G138" s="647"/>
      <c r="H138" s="2966"/>
      <c r="I138" s="2967"/>
      <c r="J138" s="2967"/>
      <c r="K138" s="2968"/>
      <c r="L138" s="583" t="e">
        <f t="shared" si="47"/>
        <v>#DIV/0!</v>
      </c>
      <c r="M138" s="583" t="e">
        <f>IF(Z138=0,0,ROUNDDOWN(AG138,1))</f>
        <v>#DIV/0!</v>
      </c>
      <c r="N138" s="578" t="e">
        <f>スコア入力!AC138</f>
        <v>#DIV/0!</v>
      </c>
      <c r="O138" s="578" t="e">
        <f>スコア入力!AE138</f>
        <v>#DIV/0!</v>
      </c>
      <c r="P138" s="583" t="e">
        <f t="shared" si="48"/>
        <v>#DIV/0!</v>
      </c>
      <c r="Q138" s="583" t="e">
        <f t="shared" si="49"/>
        <v>#DIV/0!</v>
      </c>
      <c r="R138" s="578" t="e">
        <f>スコア入力!AJ138</f>
        <v>#DIV/0!</v>
      </c>
      <c r="S138" s="578" t="e">
        <f>スコア入力!AL138</f>
        <v>#DIV/0!</v>
      </c>
      <c r="T138" s="579"/>
      <c r="U138" s="579"/>
      <c r="W138" s="568">
        <f t="shared" ref="W138:W139" si="61">AF138</f>
        <v>3</v>
      </c>
      <c r="X138" s="568">
        <f t="shared" ref="X138:X139" si="62">AG138</f>
        <v>3</v>
      </c>
      <c r="Y138" s="236" t="e">
        <f>スコア入力!AA138</f>
        <v>#DIV/0!</v>
      </c>
      <c r="Z138" s="236" t="e">
        <f>スコア入力!AB138</f>
        <v>#DIV/0!</v>
      </c>
      <c r="AA138" s="568">
        <f t="shared" ref="AA138:AA139" si="63">AJ138</f>
        <v>0</v>
      </c>
      <c r="AB138" s="568">
        <f t="shared" ref="AB138:AB139" si="64">AK138</f>
        <v>0</v>
      </c>
      <c r="AC138" s="236" t="e">
        <f>スコア入力!AH138</f>
        <v>#DIV/0!</v>
      </c>
      <c r="AD138" s="236" t="e">
        <f>スコア入力!AI138</f>
        <v>#DIV/0!</v>
      </c>
      <c r="AE138" s="6"/>
      <c r="AF138" s="630">
        <f>スコア入力!N138</f>
        <v>3</v>
      </c>
      <c r="AG138" s="630">
        <f>スコア入力!P138</f>
        <v>3</v>
      </c>
      <c r="AH138" s="584" t="e">
        <f>スコア入力!AC138</f>
        <v>#DIV/0!</v>
      </c>
      <c r="AI138" s="584" t="e">
        <f>スコア入力!AE138</f>
        <v>#DIV/0!</v>
      </c>
      <c r="AJ138" s="630">
        <f>スコア入力!U138</f>
        <v>0</v>
      </c>
      <c r="AK138" s="630">
        <f>スコア入力!W138</f>
        <v>0</v>
      </c>
      <c r="AL138" s="584" t="e">
        <f>スコア入力!AJ138</f>
        <v>#DIV/0!</v>
      </c>
      <c r="AM138" s="584" t="e">
        <f>スコア入力!AL138</f>
        <v>#DIV/0!</v>
      </c>
      <c r="AN138" s="579"/>
      <c r="AO138" s="579"/>
    </row>
    <row r="139" spans="1:41" ht="14.25" thickBot="1">
      <c r="A139" s="399"/>
      <c r="B139" s="373"/>
      <c r="C139" s="2413"/>
      <c r="D139" s="297">
        <v>4.2</v>
      </c>
      <c r="E139" s="317" t="s">
        <v>754</v>
      </c>
      <c r="F139" s="647"/>
      <c r="G139" s="647"/>
      <c r="H139" s="2966"/>
      <c r="I139" s="2967"/>
      <c r="J139" s="2967"/>
      <c r="K139" s="2968"/>
      <c r="L139" s="586" t="e">
        <f t="shared" si="47"/>
        <v>#DIV/0!</v>
      </c>
      <c r="M139" s="586" t="e">
        <f>IF(Z139=0,0,ROUNDDOWN(AG139,1))</f>
        <v>#DIV/0!</v>
      </c>
      <c r="N139" s="2425" t="e">
        <f>スコア入力!AC139</f>
        <v>#DIV/0!</v>
      </c>
      <c r="O139" s="627" t="e">
        <f>スコア入力!AE139</f>
        <v>#DIV/0!</v>
      </c>
      <c r="P139" s="586" t="e">
        <f t="shared" si="48"/>
        <v>#DIV/0!</v>
      </c>
      <c r="Q139" s="586" t="e">
        <f t="shared" si="49"/>
        <v>#DIV/0!</v>
      </c>
      <c r="R139" s="627" t="e">
        <f>スコア入力!AJ139</f>
        <v>#DIV/0!</v>
      </c>
      <c r="S139" s="627" t="e">
        <f>スコア入力!AL139</f>
        <v>#DIV/0!</v>
      </c>
      <c r="T139" s="604"/>
      <c r="U139" s="579"/>
      <c r="W139" s="568">
        <f t="shared" si="61"/>
        <v>3</v>
      </c>
      <c r="X139" s="568">
        <f t="shared" si="62"/>
        <v>3</v>
      </c>
      <c r="Y139" s="236" t="e">
        <f>スコア入力!AA139</f>
        <v>#DIV/0!</v>
      </c>
      <c r="Z139" s="236" t="e">
        <f>スコア入力!AB139</f>
        <v>#DIV/0!</v>
      </c>
      <c r="AA139" s="568">
        <f t="shared" si="63"/>
        <v>0</v>
      </c>
      <c r="AB139" s="568">
        <f t="shared" si="64"/>
        <v>0</v>
      </c>
      <c r="AC139" s="236" t="e">
        <f>スコア入力!AH139</f>
        <v>#DIV/0!</v>
      </c>
      <c r="AD139" s="236" t="e">
        <f>スコア入力!AI139</f>
        <v>#DIV/0!</v>
      </c>
      <c r="AE139" s="6"/>
      <c r="AF139" s="600">
        <f>スコア入力!N139</f>
        <v>3</v>
      </c>
      <c r="AG139" s="600">
        <f>スコア入力!P139</f>
        <v>3</v>
      </c>
      <c r="AH139" s="578" t="e">
        <f>スコア入力!AC139</f>
        <v>#DIV/0!</v>
      </c>
      <c r="AI139" s="578" t="e">
        <f>スコア入力!AE139</f>
        <v>#DIV/0!</v>
      </c>
      <c r="AJ139" s="600">
        <f>スコア入力!U139</f>
        <v>0</v>
      </c>
      <c r="AK139" s="600">
        <f>スコア入力!W139</f>
        <v>0</v>
      </c>
      <c r="AL139" s="578" t="e">
        <f>スコア入力!AJ139</f>
        <v>#DIV/0!</v>
      </c>
      <c r="AM139" s="578" t="e">
        <f>スコア入力!AL139</f>
        <v>#DIV/0!</v>
      </c>
      <c r="AN139" s="579"/>
      <c r="AO139" s="579"/>
    </row>
    <row r="140" spans="1:41" ht="15.75" thickBot="1">
      <c r="A140" s="399"/>
      <c r="B140" s="353" t="s">
        <v>755</v>
      </c>
      <c r="C140" s="400"/>
      <c r="D140" s="400" t="s">
        <v>756</v>
      </c>
      <c r="E140" s="400"/>
      <c r="F140" s="628"/>
      <c r="G140" s="628"/>
      <c r="H140" s="2975"/>
      <c r="I140" s="2976"/>
      <c r="J140" s="2976"/>
      <c r="K140" s="2977"/>
      <c r="L140" s="606"/>
      <c r="M140" s="606"/>
      <c r="N140" s="2422" t="e">
        <f>スコア入力!AC140</f>
        <v>#VALUE!</v>
      </c>
      <c r="O140" s="2422" t="e">
        <f>スコア入力!AE140</f>
        <v>#VALUE!</v>
      </c>
      <c r="P140" s="2423"/>
      <c r="Q140" s="2423"/>
      <c r="R140" s="2422"/>
      <c r="S140" s="2422"/>
      <c r="T140" s="2424" t="e">
        <f>ROUNDDOWN(AN140,1)</f>
        <v>#DIV/0!</v>
      </c>
      <c r="U140" s="607" t="e">
        <f>ROUNDDOWN(AO140,1)</f>
        <v>#DIV/0!</v>
      </c>
      <c r="W140" s="568" t="e">
        <f>$AO140</f>
        <v>#DIV/0!</v>
      </c>
      <c r="X140" s="568" t="e">
        <f>$AO140</f>
        <v>#DIV/0!</v>
      </c>
      <c r="Y140" s="236" t="e">
        <f>スコア入力!AA140</f>
        <v>#DIV/0!</v>
      </c>
      <c r="Z140" s="236" t="e">
        <f>スコア入力!AB140</f>
        <v>#DIV/0!</v>
      </c>
      <c r="AA140" s="568">
        <f t="shared" si="35"/>
        <v>0</v>
      </c>
      <c r="AB140" s="568">
        <f t="shared" si="36"/>
        <v>0</v>
      </c>
      <c r="AC140" s="236" t="e">
        <f>スコア入力!AH140</f>
        <v>#DIV/0!</v>
      </c>
      <c r="AD140" s="236" t="e">
        <f>スコア入力!AI140</f>
        <v>#DIV/0!</v>
      </c>
      <c r="AE140" s="6"/>
      <c r="AF140" s="606"/>
      <c r="AG140" s="606"/>
      <c r="AH140" s="571" t="e">
        <f>スコア入力!AC140</f>
        <v>#VALUE!</v>
      </c>
      <c r="AI140" s="571" t="e">
        <f>スコア入力!AE140</f>
        <v>#VALUE!</v>
      </c>
      <c r="AJ140" s="606"/>
      <c r="AK140" s="606"/>
      <c r="AL140" s="571" t="e">
        <f>スコア入力!AJ140</f>
        <v>#DIV/0!</v>
      </c>
      <c r="AM140" s="571" t="e">
        <f>スコア入力!AL140</f>
        <v>#DIV/0!</v>
      </c>
      <c r="AN140" s="607" t="e">
        <f>AN141*AH141+AN146*AH146+AN153*AH153</f>
        <v>#DIV/0!</v>
      </c>
      <c r="AO140" s="607" t="e">
        <f>AO141*AI141+AO146*AI146+AO153*AI153</f>
        <v>#DIV/0!</v>
      </c>
    </row>
    <row r="141" spans="1:41" ht="14.25" thickBot="1">
      <c r="A141" s="399"/>
      <c r="B141" s="461">
        <v>1</v>
      </c>
      <c r="C141" s="278" t="s">
        <v>757</v>
      </c>
      <c r="D141" s="278"/>
      <c r="E141" s="278"/>
      <c r="F141" s="577"/>
      <c r="G141" s="577"/>
      <c r="H141" s="2996"/>
      <c r="I141" s="2997"/>
      <c r="J141" s="2997"/>
      <c r="K141" s="2998"/>
      <c r="L141" s="597" t="e">
        <f t="shared" ref="L141:L158" si="65">IF(Y141=0,0,ROUNDDOWN(AF141,1))</f>
        <v>#DIV/0!</v>
      </c>
      <c r="M141" s="597" t="e">
        <f t="shared" ref="M141:M158" si="66">IF(Z141=0,0,ROUNDDOWN(AG141,1))</f>
        <v>#DIV/0!</v>
      </c>
      <c r="N141" s="578" t="e">
        <f>スコア入力!AC141</f>
        <v>#DIV/0!</v>
      </c>
      <c r="O141" s="578" t="e">
        <f>スコア入力!AE141</f>
        <v>#DIV/0!</v>
      </c>
      <c r="P141" s="597" t="e">
        <f t="shared" ref="P141:P158" si="67">IF(AC141=0,0,ROUNDDOWN(AJ141,1))</f>
        <v>#DIV/0!</v>
      </c>
      <c r="Q141" s="597" t="e">
        <f t="shared" ref="Q141:Q158" si="68">IF(AD141=0,0,ROUNDDOWN(AK141,1))</f>
        <v>#DIV/0!</v>
      </c>
      <c r="R141" s="578"/>
      <c r="S141" s="578"/>
      <c r="T141" s="579" t="e">
        <f>ROUNDDOWN(AN141,1)</f>
        <v>#DIV/0!</v>
      </c>
      <c r="U141" s="579" t="e">
        <f>ROUNDDOWN(AO141,1)</f>
        <v>#DIV/0!</v>
      </c>
      <c r="W141" s="568" t="e">
        <f t="shared" ref="W141:W158" si="69">AF141</f>
        <v>#DIV/0!</v>
      </c>
      <c r="X141" s="568" t="e">
        <f t="shared" ref="X141:X158" si="70">AG141</f>
        <v>#DIV/0!</v>
      </c>
      <c r="Y141" s="236" t="e">
        <f>スコア入力!AA141</f>
        <v>#DIV/0!</v>
      </c>
      <c r="Z141" s="236" t="e">
        <f>スコア入力!AB141</f>
        <v>#DIV/0!</v>
      </c>
      <c r="AA141" s="568" t="e">
        <f t="shared" si="35"/>
        <v>#DIV/0!</v>
      </c>
      <c r="AB141" s="568" t="e">
        <f t="shared" si="36"/>
        <v>#DIV/0!</v>
      </c>
      <c r="AC141" s="236" t="e">
        <f>スコア入力!AH141</f>
        <v>#DIV/0!</v>
      </c>
      <c r="AD141" s="236" t="e">
        <f>スコア入力!AI141</f>
        <v>#DIV/0!</v>
      </c>
      <c r="AE141" s="6"/>
      <c r="AF141" s="597" t="e">
        <f>AF142*AH142+AF143*AH143</f>
        <v>#DIV/0!</v>
      </c>
      <c r="AG141" s="597" t="e">
        <f>AG142*AI142+AG143*AI143</f>
        <v>#DIV/0!</v>
      </c>
      <c r="AH141" s="578" t="e">
        <f>スコア入力!AC141</f>
        <v>#DIV/0!</v>
      </c>
      <c r="AI141" s="578" t="e">
        <f>スコア入力!AE141</f>
        <v>#DIV/0!</v>
      </c>
      <c r="AJ141" s="597" t="e">
        <f>AJ142*AL142+AJ143*AL143</f>
        <v>#DIV/0!</v>
      </c>
      <c r="AK141" s="597" t="e">
        <f>AK142*AM142+AK143*AM143</f>
        <v>#DIV/0!</v>
      </c>
      <c r="AL141" s="578" t="e">
        <f>スコア入力!AJ141</f>
        <v>#DIV/0!</v>
      </c>
      <c r="AM141" s="578" t="e">
        <f>スコア入力!AL141</f>
        <v>#DIV/0!</v>
      </c>
      <c r="AN141" s="579" t="e">
        <f>ROUNDDOWN(IF(AJ141=0,AF141,IF(AF141=0,AJ141,AF141*AH$6+AJ141*AL$6)),1)</f>
        <v>#DIV/0!</v>
      </c>
      <c r="AO141" s="579" t="e">
        <f>ROUNDDOWN(IF(AK141=0,AG141,IF(AG141=0,AK141,AG141*AI$6+AK141*AM$6)),1)</f>
        <v>#DIV/0!</v>
      </c>
    </row>
    <row r="142" spans="1:41" ht="14.25" thickBot="1">
      <c r="A142" s="399"/>
      <c r="B142" s="331"/>
      <c r="C142" s="316">
        <v>1.1000000000000001</v>
      </c>
      <c r="D142" s="317" t="s">
        <v>758</v>
      </c>
      <c r="E142" s="317"/>
      <c r="F142" s="320"/>
      <c r="G142" s="320"/>
      <c r="H142" s="2966"/>
      <c r="I142" s="2967"/>
      <c r="J142" s="2967"/>
      <c r="K142" s="2968"/>
      <c r="L142" s="454" t="e">
        <f t="shared" si="65"/>
        <v>#DIV/0!</v>
      </c>
      <c r="M142" s="454" t="e">
        <f t="shared" si="66"/>
        <v>#DIV/0!</v>
      </c>
      <c r="N142" s="596" t="e">
        <f>スコア入力!AC142</f>
        <v>#DIV/0!</v>
      </c>
      <c r="O142" s="596" t="e">
        <f>スコア入力!AE142</f>
        <v>#DIV/0!</v>
      </c>
      <c r="P142" s="454" t="e">
        <f t="shared" si="67"/>
        <v>#DIV/0!</v>
      </c>
      <c r="Q142" s="454" t="e">
        <f t="shared" si="68"/>
        <v>#DIV/0!</v>
      </c>
      <c r="R142" s="596" t="e">
        <f>スコア入力!AJ142</f>
        <v>#DIV/0!</v>
      </c>
      <c r="S142" s="596" t="e">
        <f>スコア入力!AL142</f>
        <v>#DIV/0!</v>
      </c>
      <c r="T142" s="582"/>
      <c r="U142" s="582"/>
      <c r="W142" s="237">
        <f t="shared" si="69"/>
        <v>3</v>
      </c>
      <c r="X142" s="237">
        <f t="shared" si="70"/>
        <v>3</v>
      </c>
      <c r="Y142" s="236" t="e">
        <f>スコア入力!AA142</f>
        <v>#DIV/0!</v>
      </c>
      <c r="Z142" s="236" t="e">
        <f>スコア入力!AB142</f>
        <v>#DIV/0!</v>
      </c>
      <c r="AA142" s="237">
        <f t="shared" si="35"/>
        <v>0</v>
      </c>
      <c r="AB142" s="237">
        <f t="shared" si="36"/>
        <v>0</v>
      </c>
      <c r="AC142" s="236" t="e">
        <f>スコア入力!AH142</f>
        <v>#DIV/0!</v>
      </c>
      <c r="AD142" s="236" t="e">
        <f>スコア入力!AI142</f>
        <v>#DIV/0!</v>
      </c>
      <c r="AE142" s="6"/>
      <c r="AF142" s="651">
        <f>スコア入力!N142</f>
        <v>3</v>
      </c>
      <c r="AG142" s="651">
        <f>スコア入力!P142</f>
        <v>3</v>
      </c>
      <c r="AH142" s="596" t="e">
        <f>スコア入力!AC142</f>
        <v>#DIV/0!</v>
      </c>
      <c r="AI142" s="596" t="e">
        <f>スコア入力!AE142</f>
        <v>#DIV/0!</v>
      </c>
      <c r="AJ142" s="651">
        <f>スコア入力!U142</f>
        <v>0</v>
      </c>
      <c r="AK142" s="651">
        <f>スコア入力!W142</f>
        <v>0</v>
      </c>
      <c r="AL142" s="596" t="e">
        <f>スコア入力!AJ142</f>
        <v>#DIV/0!</v>
      </c>
      <c r="AM142" s="596" t="e">
        <f>スコア入力!AL142</f>
        <v>#DIV/0!</v>
      </c>
      <c r="AN142" s="582"/>
      <c r="AO142" s="582"/>
    </row>
    <row r="143" spans="1:41" ht="14.25" thickBot="1">
      <c r="A143" s="399"/>
      <c r="B143" s="331"/>
      <c r="C143" s="462">
        <v>1.2</v>
      </c>
      <c r="D143" s="326" t="s">
        <v>759</v>
      </c>
      <c r="E143" s="290"/>
      <c r="F143" s="370"/>
      <c r="G143" s="370"/>
      <c r="H143" s="2966"/>
      <c r="I143" s="2967"/>
      <c r="J143" s="2967"/>
      <c r="K143" s="2967"/>
      <c r="L143" s="588" t="e">
        <f>IF(Y143=0,0,ROUNDDOWN(AF143,1))</f>
        <v>#DIV/0!</v>
      </c>
      <c r="M143" s="597" t="e">
        <f t="shared" si="66"/>
        <v>#DIV/0!</v>
      </c>
      <c r="N143" s="578" t="e">
        <f>スコア入力!AC143</f>
        <v>#DIV/0!</v>
      </c>
      <c r="O143" s="578" t="e">
        <f>スコア入力!AE143</f>
        <v>#DIV/0!</v>
      </c>
      <c r="P143" s="597" t="e">
        <f t="shared" si="67"/>
        <v>#DIV/0!</v>
      </c>
      <c r="Q143" s="597" t="e">
        <f t="shared" si="68"/>
        <v>#DIV/0!</v>
      </c>
      <c r="R143" s="578" t="e">
        <f>スコア入力!AJ143</f>
        <v>#DIV/0!</v>
      </c>
      <c r="S143" s="578" t="e">
        <f>スコア入力!AL143</f>
        <v>#DIV/0!</v>
      </c>
      <c r="T143" s="579"/>
      <c r="U143" s="579"/>
      <c r="W143" s="568" t="e">
        <f t="shared" si="69"/>
        <v>#DIV/0!</v>
      </c>
      <c r="X143" s="568" t="e">
        <f t="shared" si="70"/>
        <v>#DIV/0!</v>
      </c>
      <c r="Y143" s="236" t="e">
        <f>スコア入力!AA143</f>
        <v>#DIV/0!</v>
      </c>
      <c r="Z143" s="236" t="e">
        <f>スコア入力!AB143</f>
        <v>#DIV/0!</v>
      </c>
      <c r="AA143" s="568" t="e">
        <f t="shared" si="35"/>
        <v>#DIV/0!</v>
      </c>
      <c r="AB143" s="568" t="e">
        <f t="shared" si="36"/>
        <v>#DIV/0!</v>
      </c>
      <c r="AC143" s="236" t="e">
        <f>スコア入力!AH143</f>
        <v>#DIV/0!</v>
      </c>
      <c r="AD143" s="236" t="e">
        <f>スコア入力!AI143</f>
        <v>#DIV/0!</v>
      </c>
      <c r="AE143" s="6"/>
      <c r="AF143" s="597" t="e">
        <f>SUMPRODUCT(AF144:AF145,AH144:AH145)</f>
        <v>#DIV/0!</v>
      </c>
      <c r="AG143" s="597" t="e">
        <f>SUMPRODUCT(AG144:AG145,AI144:AI145)</f>
        <v>#DIV/0!</v>
      </c>
      <c r="AH143" s="578" t="e">
        <f>スコア入力!AC143</f>
        <v>#DIV/0!</v>
      </c>
      <c r="AI143" s="578" t="e">
        <f>スコア入力!AE143</f>
        <v>#DIV/0!</v>
      </c>
      <c r="AJ143" s="597" t="e">
        <f>SUMPRODUCT(AJ144:AJ145,AL144:AL145)</f>
        <v>#DIV/0!</v>
      </c>
      <c r="AK143" s="597" t="e">
        <f>SUMPRODUCT(AK144:AK145,AM144:AM145)</f>
        <v>#DIV/0!</v>
      </c>
      <c r="AL143" s="578" t="e">
        <f>スコア入力!AJ143</f>
        <v>#DIV/0!</v>
      </c>
      <c r="AM143" s="578" t="e">
        <f>スコア入力!AL143</f>
        <v>#DIV/0!</v>
      </c>
      <c r="AN143" s="579"/>
      <c r="AO143" s="579"/>
    </row>
    <row r="144" spans="1:41" ht="13.5">
      <c r="A144" s="399"/>
      <c r="B144" s="331"/>
      <c r="C144" s="463"/>
      <c r="D144" s="297">
        <v>1</v>
      </c>
      <c r="E144" s="2962" t="s">
        <v>762</v>
      </c>
      <c r="F144" s="2963"/>
      <c r="G144" s="320"/>
      <c r="H144" s="2966"/>
      <c r="I144" s="2967"/>
      <c r="J144" s="2967"/>
      <c r="K144" s="2968"/>
      <c r="L144" s="583" t="e">
        <f t="shared" si="65"/>
        <v>#DIV/0!</v>
      </c>
      <c r="M144" s="583" t="e">
        <f t="shared" si="66"/>
        <v>#DIV/0!</v>
      </c>
      <c r="N144" s="578" t="e">
        <f>スコア入力!AC144</f>
        <v>#DIV/0!</v>
      </c>
      <c r="O144" s="578" t="e">
        <f>スコア入力!AE144</f>
        <v>#DIV/0!</v>
      </c>
      <c r="P144" s="583" t="e">
        <f t="shared" si="67"/>
        <v>#DIV/0!</v>
      </c>
      <c r="Q144" s="583" t="e">
        <f t="shared" si="68"/>
        <v>#DIV/0!</v>
      </c>
      <c r="R144" s="578" t="e">
        <f>スコア入力!AJ144</f>
        <v>#DIV/0!</v>
      </c>
      <c r="S144" s="578" t="e">
        <f>スコア入力!AL144</f>
        <v>#DIV/0!</v>
      </c>
      <c r="T144" s="579"/>
      <c r="U144" s="579"/>
      <c r="W144" s="237">
        <f t="shared" si="69"/>
        <v>3</v>
      </c>
      <c r="X144" s="237">
        <f t="shared" si="70"/>
        <v>3</v>
      </c>
      <c r="Y144" s="236" t="e">
        <f>スコア入力!AA144</f>
        <v>#DIV/0!</v>
      </c>
      <c r="Z144" s="236" t="e">
        <f>スコア入力!AB144</f>
        <v>#DIV/0!</v>
      </c>
      <c r="AA144" s="237">
        <f t="shared" si="35"/>
        <v>0</v>
      </c>
      <c r="AB144" s="237">
        <f t="shared" si="36"/>
        <v>0</v>
      </c>
      <c r="AC144" s="236" t="e">
        <f>スコア入力!AH144</f>
        <v>#DIV/0!</v>
      </c>
      <c r="AD144" s="236" t="e">
        <f>スコア入力!AI144</f>
        <v>#DIV/0!</v>
      </c>
      <c r="AE144" s="6"/>
      <c r="AF144" s="630">
        <f>スコア入力!N144</f>
        <v>3</v>
      </c>
      <c r="AG144" s="630">
        <f>スコア入力!P144</f>
        <v>3</v>
      </c>
      <c r="AH144" s="578" t="e">
        <f>スコア入力!AC144</f>
        <v>#DIV/0!</v>
      </c>
      <c r="AI144" s="578" t="e">
        <f>スコア入力!AE144</f>
        <v>#DIV/0!</v>
      </c>
      <c r="AJ144" s="630">
        <f>スコア入力!U144</f>
        <v>0</v>
      </c>
      <c r="AK144" s="630">
        <f>スコア入力!W144</f>
        <v>0</v>
      </c>
      <c r="AL144" s="578" t="e">
        <f>スコア入力!AJ144</f>
        <v>#DIV/0!</v>
      </c>
      <c r="AM144" s="578" t="e">
        <f>スコア入力!AL144</f>
        <v>#DIV/0!</v>
      </c>
      <c r="AN144" s="579"/>
      <c r="AO144" s="579"/>
    </row>
    <row r="145" spans="1:41" ht="14.25" thickBot="1">
      <c r="A145" s="399"/>
      <c r="B145" s="373"/>
      <c r="C145" s="464"/>
      <c r="D145" s="297">
        <v>2</v>
      </c>
      <c r="E145" s="2962" t="s">
        <v>800</v>
      </c>
      <c r="F145" s="2963"/>
      <c r="G145" s="320"/>
      <c r="H145" s="2966"/>
      <c r="I145" s="2967"/>
      <c r="J145" s="2967"/>
      <c r="K145" s="2968"/>
      <c r="L145" s="586" t="e">
        <f t="shared" si="65"/>
        <v>#DIV/0!</v>
      </c>
      <c r="M145" s="586" t="e">
        <f t="shared" si="66"/>
        <v>#DIV/0!</v>
      </c>
      <c r="N145" s="578" t="e">
        <f>スコア入力!AC145</f>
        <v>#DIV/0!</v>
      </c>
      <c r="O145" s="578" t="e">
        <f>スコア入力!AE145</f>
        <v>#DIV/0!</v>
      </c>
      <c r="P145" s="586" t="e">
        <f t="shared" si="67"/>
        <v>#DIV/0!</v>
      </c>
      <c r="Q145" s="586" t="e">
        <f t="shared" si="68"/>
        <v>#DIV/0!</v>
      </c>
      <c r="R145" s="578" t="e">
        <f>スコア入力!AJ145</f>
        <v>#DIV/0!</v>
      </c>
      <c r="S145" s="578" t="e">
        <f>スコア入力!AL145</f>
        <v>#DIV/0!</v>
      </c>
      <c r="T145" s="579"/>
      <c r="U145" s="579"/>
      <c r="W145" s="237">
        <f t="shared" si="69"/>
        <v>3</v>
      </c>
      <c r="X145" s="237">
        <f t="shared" si="70"/>
        <v>3</v>
      </c>
      <c r="Y145" s="236" t="e">
        <f>スコア入力!AA145</f>
        <v>#DIV/0!</v>
      </c>
      <c r="Z145" s="236" t="e">
        <f>スコア入力!AB145</f>
        <v>#DIV/0!</v>
      </c>
      <c r="AA145" s="237">
        <f t="shared" si="35"/>
        <v>0</v>
      </c>
      <c r="AB145" s="237">
        <f t="shared" si="36"/>
        <v>0</v>
      </c>
      <c r="AC145" s="236" t="e">
        <f>スコア入力!AH145</f>
        <v>#DIV/0!</v>
      </c>
      <c r="AD145" s="236" t="e">
        <f>スコア入力!AI145</f>
        <v>#DIV/0!</v>
      </c>
      <c r="AE145" s="6"/>
      <c r="AF145" s="600">
        <f>スコア入力!N145</f>
        <v>3</v>
      </c>
      <c r="AG145" s="600">
        <f>スコア入力!P145</f>
        <v>3</v>
      </c>
      <c r="AH145" s="578" t="e">
        <f>スコア入力!AC145</f>
        <v>#DIV/0!</v>
      </c>
      <c r="AI145" s="578" t="e">
        <f>スコア入力!AE145</f>
        <v>#DIV/0!</v>
      </c>
      <c r="AJ145" s="600">
        <f>スコア入力!U145</f>
        <v>0</v>
      </c>
      <c r="AK145" s="600">
        <f>スコア入力!W145</f>
        <v>0</v>
      </c>
      <c r="AL145" s="578" t="e">
        <f>スコア入力!AJ145</f>
        <v>#DIV/0!</v>
      </c>
      <c r="AM145" s="578" t="e">
        <f>スコア入力!AL145</f>
        <v>#DIV/0!</v>
      </c>
      <c r="AN145" s="579"/>
      <c r="AO145" s="579"/>
    </row>
    <row r="146" spans="1:41" ht="14.25" thickBot="1">
      <c r="A146" s="399"/>
      <c r="B146" s="652">
        <v>2</v>
      </c>
      <c r="C146" s="319" t="s">
        <v>932</v>
      </c>
      <c r="D146" s="278"/>
      <c r="E146" s="278"/>
      <c r="F146" s="577"/>
      <c r="G146" s="577"/>
      <c r="H146" s="2969"/>
      <c r="I146" s="2970"/>
      <c r="J146" s="2970"/>
      <c r="K146" s="2974"/>
      <c r="L146" s="590" t="e">
        <f t="shared" si="65"/>
        <v>#DIV/0!</v>
      </c>
      <c r="M146" s="593" t="e">
        <f t="shared" si="66"/>
        <v>#DIV/0!</v>
      </c>
      <c r="N146" s="592" t="e">
        <f>スコア入力!AC146</f>
        <v>#DIV/0!</v>
      </c>
      <c r="O146" s="592" t="e">
        <f>スコア入力!AE146</f>
        <v>#DIV/0!</v>
      </c>
      <c r="P146" s="593" t="e">
        <f t="shared" si="67"/>
        <v>#DIV/0!</v>
      </c>
      <c r="Q146" s="593" t="e">
        <f t="shared" si="68"/>
        <v>#DIV/0!</v>
      </c>
      <c r="R146" s="592"/>
      <c r="S146" s="592"/>
      <c r="T146" s="594" t="e">
        <f>ROUNDDOWN(AN146,1)</f>
        <v>#DIV/0!</v>
      </c>
      <c r="U146" s="594" t="e">
        <f>ROUNDDOWN(AO146,1)</f>
        <v>#DIV/0!</v>
      </c>
      <c r="W146" s="568" t="e">
        <f t="shared" si="69"/>
        <v>#DIV/0!</v>
      </c>
      <c r="X146" s="568" t="e">
        <f t="shared" si="70"/>
        <v>#DIV/0!</v>
      </c>
      <c r="Y146" s="236" t="e">
        <f>スコア入力!AA146</f>
        <v>#DIV/0!</v>
      </c>
      <c r="Z146" s="236" t="e">
        <f>スコア入力!AB146</f>
        <v>#DIV/0!</v>
      </c>
      <c r="AA146" s="568" t="e">
        <f t="shared" si="35"/>
        <v>#DIV/0!</v>
      </c>
      <c r="AB146" s="568" t="e">
        <f t="shared" si="36"/>
        <v>#DIV/0!</v>
      </c>
      <c r="AC146" s="236" t="e">
        <f>スコア入力!AH146</f>
        <v>#DIV/0!</v>
      </c>
      <c r="AD146" s="236" t="e">
        <f>スコア入力!AI146</f>
        <v>#DIV/0!</v>
      </c>
      <c r="AE146" s="6"/>
      <c r="AF146" s="597" t="e">
        <f>SUMPRODUCT(AF147:AF152,AH147:AH152)</f>
        <v>#DIV/0!</v>
      </c>
      <c r="AG146" s="597" t="e">
        <f>SUMPRODUCT(AG147:AG152,AI147:AI152)</f>
        <v>#DIV/0!</v>
      </c>
      <c r="AH146" s="592" t="e">
        <f>スコア入力!AC146</f>
        <v>#DIV/0!</v>
      </c>
      <c r="AI146" s="592" t="e">
        <f>スコア入力!AE146</f>
        <v>#DIV/0!</v>
      </c>
      <c r="AJ146" s="597" t="e">
        <f>SUMPRODUCT(AJ147:AJ152,AL147:AL152)</f>
        <v>#DIV/0!</v>
      </c>
      <c r="AK146" s="597" t="e">
        <f>SUMPRODUCT(AK147:AK152,AM147:AM152)</f>
        <v>#DIV/0!</v>
      </c>
      <c r="AL146" s="592" t="e">
        <f>スコア入力!AJ146</f>
        <v>#DIV/0!</v>
      </c>
      <c r="AM146" s="592" t="e">
        <f>スコア入力!AL146</f>
        <v>#DIV/0!</v>
      </c>
      <c r="AN146" s="594" t="e">
        <f>IF(AJ146=0,AF146,IF(AF146=0,AJ146,AF146*AH$6+AJ146*AL$6))</f>
        <v>#DIV/0!</v>
      </c>
      <c r="AO146" s="594" t="e">
        <f>IF(AK146=0,AG146,IF(AG146=0,AK146,AG146*AI$6+AK146*AM$6))</f>
        <v>#DIV/0!</v>
      </c>
    </row>
    <row r="147" spans="1:41" ht="14.25" thickBot="1">
      <c r="A147" s="399"/>
      <c r="B147" s="331"/>
      <c r="C147" s="411">
        <v>2.1</v>
      </c>
      <c r="D147" s="392" t="s">
        <v>764</v>
      </c>
      <c r="E147" s="412"/>
      <c r="F147" s="320"/>
      <c r="G147" s="320"/>
      <c r="H147" s="2986"/>
      <c r="I147" s="2987"/>
      <c r="J147" s="2987"/>
      <c r="K147" s="2988"/>
      <c r="L147" s="597" t="e">
        <f t="shared" si="65"/>
        <v>#DIV/0!</v>
      </c>
      <c r="M147" s="597" t="e">
        <f t="shared" si="66"/>
        <v>#DIV/0!</v>
      </c>
      <c r="N147" s="578" t="e">
        <f>スコア入力!AC147</f>
        <v>#DIV/0!</v>
      </c>
      <c r="O147" s="578" t="e">
        <f>スコア入力!AE147</f>
        <v>#DIV/0!</v>
      </c>
      <c r="P147" s="597" t="e">
        <f t="shared" si="67"/>
        <v>#DIV/0!</v>
      </c>
      <c r="Q147" s="597" t="e">
        <f t="shared" si="68"/>
        <v>#DIV/0!</v>
      </c>
      <c r="R147" s="578" t="e">
        <f>スコア入力!AJ147</f>
        <v>#DIV/0!</v>
      </c>
      <c r="S147" s="578" t="e">
        <f>スコア入力!AL147</f>
        <v>#DIV/0!</v>
      </c>
      <c r="T147" s="579"/>
      <c r="U147" s="579"/>
      <c r="W147" s="568">
        <f t="shared" si="69"/>
        <v>3</v>
      </c>
      <c r="X147" s="568">
        <f t="shared" si="70"/>
        <v>3</v>
      </c>
      <c r="Y147" s="236" t="e">
        <f>スコア入力!AA147</f>
        <v>#DIV/0!</v>
      </c>
      <c r="Z147" s="236" t="e">
        <f>スコア入力!AB147</f>
        <v>#DIV/0!</v>
      </c>
      <c r="AA147" s="568">
        <f t="shared" si="35"/>
        <v>0</v>
      </c>
      <c r="AB147" s="568">
        <f t="shared" si="36"/>
        <v>0</v>
      </c>
      <c r="AC147" s="236" t="e">
        <f>スコア入力!AH147</f>
        <v>#DIV/0!</v>
      </c>
      <c r="AD147" s="236" t="e">
        <f>スコア入力!AI147</f>
        <v>#DIV/0!</v>
      </c>
      <c r="AE147" s="6"/>
      <c r="AF147" s="630">
        <f>スコア入力!N147</f>
        <v>3</v>
      </c>
      <c r="AG147" s="630">
        <f>スコア入力!P147</f>
        <v>3</v>
      </c>
      <c r="AH147" s="578" t="e">
        <f>スコア入力!AC147</f>
        <v>#DIV/0!</v>
      </c>
      <c r="AI147" s="578" t="e">
        <f>スコア入力!AE147</f>
        <v>#DIV/0!</v>
      </c>
      <c r="AJ147" s="630">
        <f>スコア入力!U147</f>
        <v>0</v>
      </c>
      <c r="AK147" s="630">
        <f>スコア入力!W147</f>
        <v>0</v>
      </c>
      <c r="AL147" s="578" t="e">
        <f>スコア入力!AJ147</f>
        <v>#DIV/0!</v>
      </c>
      <c r="AM147" s="578" t="e">
        <f>スコア入力!AL147</f>
        <v>#DIV/0!</v>
      </c>
      <c r="AN147" s="579"/>
      <c r="AO147" s="579"/>
    </row>
    <row r="148" spans="1:41" ht="13.5">
      <c r="A148" s="399"/>
      <c r="B148" s="340"/>
      <c r="C148" s="411">
        <v>2.2000000000000002</v>
      </c>
      <c r="D148" s="392" t="s">
        <v>765</v>
      </c>
      <c r="E148" s="412"/>
      <c r="F148" s="320"/>
      <c r="G148" s="320"/>
      <c r="H148" s="2966"/>
      <c r="I148" s="2967"/>
      <c r="J148" s="2967"/>
      <c r="K148" s="2968"/>
      <c r="L148" s="456" t="e">
        <f t="shared" si="65"/>
        <v>#DIV/0!</v>
      </c>
      <c r="M148" s="456" t="e">
        <f t="shared" si="66"/>
        <v>#DIV/0!</v>
      </c>
      <c r="N148" s="578" t="e">
        <f>スコア入力!AC148</f>
        <v>#DIV/0!</v>
      </c>
      <c r="O148" s="578" t="e">
        <f>スコア入力!AE148</f>
        <v>#DIV/0!</v>
      </c>
      <c r="P148" s="456" t="e">
        <f t="shared" si="67"/>
        <v>#DIV/0!</v>
      </c>
      <c r="Q148" s="456" t="e">
        <f t="shared" si="68"/>
        <v>#DIV/0!</v>
      </c>
      <c r="R148" s="578" t="e">
        <f>スコア入力!AJ148</f>
        <v>#DIV/0!</v>
      </c>
      <c r="S148" s="578" t="e">
        <f>スコア入力!AL148</f>
        <v>#DIV/0!</v>
      </c>
      <c r="T148" s="579"/>
      <c r="U148" s="579"/>
      <c r="W148" s="237">
        <f t="shared" si="69"/>
        <v>3</v>
      </c>
      <c r="X148" s="237">
        <f t="shared" si="70"/>
        <v>3</v>
      </c>
      <c r="Y148" s="236" t="e">
        <f>スコア入力!AA148</f>
        <v>#DIV/0!</v>
      </c>
      <c r="Z148" s="236" t="e">
        <f>スコア入力!AB148</f>
        <v>#DIV/0!</v>
      </c>
      <c r="AA148" s="237">
        <f t="shared" si="35"/>
        <v>0</v>
      </c>
      <c r="AB148" s="237">
        <f t="shared" si="36"/>
        <v>0</v>
      </c>
      <c r="AC148" s="236" t="e">
        <f>スコア入力!AH148</f>
        <v>#DIV/0!</v>
      </c>
      <c r="AD148" s="236" t="e">
        <f>スコア入力!AI148</f>
        <v>#DIV/0!</v>
      </c>
      <c r="AE148" s="6"/>
      <c r="AF148" s="649">
        <f>スコア入力!N148</f>
        <v>3</v>
      </c>
      <c r="AG148" s="649">
        <f>スコア入力!P148</f>
        <v>3</v>
      </c>
      <c r="AH148" s="578" t="e">
        <f>スコア入力!AC148</f>
        <v>#DIV/0!</v>
      </c>
      <c r="AI148" s="578" t="e">
        <f>スコア入力!AE148</f>
        <v>#DIV/0!</v>
      </c>
      <c r="AJ148" s="649">
        <f>スコア入力!U148</f>
        <v>0</v>
      </c>
      <c r="AK148" s="649">
        <f>スコア入力!W148</f>
        <v>0</v>
      </c>
      <c r="AL148" s="578" t="e">
        <f>スコア入力!AJ148</f>
        <v>#DIV/0!</v>
      </c>
      <c r="AM148" s="578" t="e">
        <f>スコア入力!AL148</f>
        <v>#DIV/0!</v>
      </c>
      <c r="AN148" s="579"/>
      <c r="AO148" s="579"/>
    </row>
    <row r="149" spans="1:41" ht="13.5">
      <c r="A149" s="399"/>
      <c r="B149" s="331"/>
      <c r="C149" s="411">
        <v>2.2999999999999998</v>
      </c>
      <c r="D149" s="392" t="s">
        <v>767</v>
      </c>
      <c r="E149" s="412"/>
      <c r="F149" s="320"/>
      <c r="G149" s="320"/>
      <c r="H149" s="2966"/>
      <c r="I149" s="2967"/>
      <c r="J149" s="2967"/>
      <c r="K149" s="2968"/>
      <c r="L149" s="589" t="e">
        <f t="shared" si="65"/>
        <v>#DIV/0!</v>
      </c>
      <c r="M149" s="589" t="e">
        <f t="shared" si="66"/>
        <v>#DIV/0!</v>
      </c>
      <c r="N149" s="578" t="e">
        <f>スコア入力!AC149</f>
        <v>#DIV/0!</v>
      </c>
      <c r="O149" s="578" t="e">
        <f>スコア入力!AE149</f>
        <v>#DIV/0!</v>
      </c>
      <c r="P149" s="589" t="e">
        <f t="shared" si="67"/>
        <v>#DIV/0!</v>
      </c>
      <c r="Q149" s="589" t="e">
        <f t="shared" si="68"/>
        <v>#DIV/0!</v>
      </c>
      <c r="R149" s="578" t="e">
        <f>スコア入力!AJ149</f>
        <v>#DIV/0!</v>
      </c>
      <c r="S149" s="578" t="e">
        <f>スコア入力!AL149</f>
        <v>#DIV/0!</v>
      </c>
      <c r="T149" s="579"/>
      <c r="U149" s="579"/>
      <c r="W149" s="237">
        <f t="shared" si="69"/>
        <v>3</v>
      </c>
      <c r="X149" s="237">
        <f t="shared" si="70"/>
        <v>3</v>
      </c>
      <c r="Y149" s="236" t="e">
        <f>スコア入力!AA149</f>
        <v>#DIV/0!</v>
      </c>
      <c r="Z149" s="236" t="e">
        <f>スコア入力!AB149</f>
        <v>#DIV/0!</v>
      </c>
      <c r="AA149" s="237">
        <f t="shared" si="35"/>
        <v>0</v>
      </c>
      <c r="AB149" s="237">
        <f t="shared" si="36"/>
        <v>0</v>
      </c>
      <c r="AC149" s="236" t="e">
        <f>スコア入力!AH149</f>
        <v>#DIV/0!</v>
      </c>
      <c r="AD149" s="236" t="e">
        <f>スコア入力!AI149</f>
        <v>#DIV/0!</v>
      </c>
      <c r="AE149" s="6"/>
      <c r="AF149" s="649">
        <f>スコア入力!N149</f>
        <v>3</v>
      </c>
      <c r="AG149" s="649">
        <f>スコア入力!P149</f>
        <v>3</v>
      </c>
      <c r="AH149" s="578" t="e">
        <f>スコア入力!AC149</f>
        <v>#DIV/0!</v>
      </c>
      <c r="AI149" s="578" t="e">
        <f>スコア入力!AE149</f>
        <v>#DIV/0!</v>
      </c>
      <c r="AJ149" s="649">
        <f>スコア入力!U149</f>
        <v>0</v>
      </c>
      <c r="AK149" s="649">
        <f>スコア入力!W149</f>
        <v>0</v>
      </c>
      <c r="AL149" s="578" t="e">
        <f>スコア入力!AJ149</f>
        <v>#DIV/0!</v>
      </c>
      <c r="AM149" s="578" t="e">
        <f>スコア入力!AL149</f>
        <v>#DIV/0!</v>
      </c>
      <c r="AN149" s="579"/>
      <c r="AO149" s="579"/>
    </row>
    <row r="150" spans="1:41" ht="13.5">
      <c r="A150" s="399"/>
      <c r="B150" s="331"/>
      <c r="C150" s="411">
        <v>2.4</v>
      </c>
      <c r="D150" s="2105" t="s">
        <v>1769</v>
      </c>
      <c r="E150" s="412"/>
      <c r="F150" s="320"/>
      <c r="G150" s="320"/>
      <c r="H150" s="2966"/>
      <c r="I150" s="2967"/>
      <c r="J150" s="2967"/>
      <c r="K150" s="2968"/>
      <c r="L150" s="589" t="e">
        <f t="shared" si="65"/>
        <v>#DIV/0!</v>
      </c>
      <c r="M150" s="589" t="e">
        <f t="shared" si="66"/>
        <v>#DIV/0!</v>
      </c>
      <c r="N150" s="578" t="e">
        <f>スコア入力!AC150</f>
        <v>#DIV/0!</v>
      </c>
      <c r="O150" s="578" t="e">
        <f>スコア入力!AE150</f>
        <v>#DIV/0!</v>
      </c>
      <c r="P150" s="589" t="e">
        <f t="shared" si="67"/>
        <v>#DIV/0!</v>
      </c>
      <c r="Q150" s="589" t="e">
        <f t="shared" si="68"/>
        <v>#DIV/0!</v>
      </c>
      <c r="R150" s="578" t="e">
        <f>スコア入力!AJ150</f>
        <v>#DIV/0!</v>
      </c>
      <c r="S150" s="578" t="e">
        <f>スコア入力!AL150</f>
        <v>#DIV/0!</v>
      </c>
      <c r="T150" s="579"/>
      <c r="U150" s="579"/>
      <c r="W150" s="237">
        <f t="shared" si="69"/>
        <v>3</v>
      </c>
      <c r="X150" s="237">
        <f t="shared" si="70"/>
        <v>3</v>
      </c>
      <c r="Y150" s="236" t="e">
        <f>スコア入力!AA150</f>
        <v>#DIV/0!</v>
      </c>
      <c r="Z150" s="236" t="e">
        <f>スコア入力!AB150</f>
        <v>#DIV/0!</v>
      </c>
      <c r="AA150" s="237">
        <f t="shared" si="35"/>
        <v>0</v>
      </c>
      <c r="AB150" s="237">
        <f t="shared" si="36"/>
        <v>0</v>
      </c>
      <c r="AC150" s="236" t="e">
        <f>スコア入力!AH150</f>
        <v>#DIV/0!</v>
      </c>
      <c r="AD150" s="236" t="e">
        <f>スコア入力!AI150</f>
        <v>#DIV/0!</v>
      </c>
      <c r="AE150" s="6"/>
      <c r="AF150" s="649">
        <f>スコア入力!N150</f>
        <v>3</v>
      </c>
      <c r="AG150" s="649">
        <f>スコア入力!P150</f>
        <v>3</v>
      </c>
      <c r="AH150" s="578" t="e">
        <f>スコア入力!AC150</f>
        <v>#DIV/0!</v>
      </c>
      <c r="AI150" s="578" t="e">
        <f>スコア入力!AE150</f>
        <v>#DIV/0!</v>
      </c>
      <c r="AJ150" s="649">
        <f>スコア入力!U150</f>
        <v>0</v>
      </c>
      <c r="AK150" s="649">
        <f>スコア入力!W150</f>
        <v>0</v>
      </c>
      <c r="AL150" s="578" t="e">
        <f>スコア入力!AJ150</f>
        <v>#DIV/0!</v>
      </c>
      <c r="AM150" s="578" t="e">
        <f>スコア入力!AL150</f>
        <v>#DIV/0!</v>
      </c>
      <c r="AN150" s="579"/>
      <c r="AO150" s="579"/>
    </row>
    <row r="151" spans="1:41" ht="13.5">
      <c r="A151" s="399"/>
      <c r="B151" s="340"/>
      <c r="C151" s="411">
        <v>2.5</v>
      </c>
      <c r="D151" s="392" t="s">
        <v>768</v>
      </c>
      <c r="E151" s="412"/>
      <c r="F151" s="320"/>
      <c r="G151" s="320"/>
      <c r="H151" s="2966"/>
      <c r="I151" s="2967"/>
      <c r="J151" s="2967"/>
      <c r="K151" s="2968"/>
      <c r="L151" s="457" t="e">
        <f t="shared" si="65"/>
        <v>#DIV/0!</v>
      </c>
      <c r="M151" s="457" t="e">
        <f t="shared" si="66"/>
        <v>#DIV/0!</v>
      </c>
      <c r="N151" s="578" t="e">
        <f>スコア入力!AC151</f>
        <v>#DIV/0!</v>
      </c>
      <c r="O151" s="578" t="e">
        <f>スコア入力!AE151</f>
        <v>#DIV/0!</v>
      </c>
      <c r="P151" s="457" t="e">
        <f t="shared" si="67"/>
        <v>#DIV/0!</v>
      </c>
      <c r="Q151" s="457" t="e">
        <f t="shared" si="68"/>
        <v>#DIV/0!</v>
      </c>
      <c r="R151" s="578" t="e">
        <f>スコア入力!AJ151</f>
        <v>#DIV/0!</v>
      </c>
      <c r="S151" s="578" t="e">
        <f>スコア入力!AL151</f>
        <v>#DIV/0!</v>
      </c>
      <c r="T151" s="579"/>
      <c r="U151" s="579"/>
      <c r="W151" s="237">
        <f t="shared" si="69"/>
        <v>3</v>
      </c>
      <c r="X151" s="237">
        <f t="shared" si="70"/>
        <v>3</v>
      </c>
      <c r="Y151" s="236" t="e">
        <f>スコア入力!AA151</f>
        <v>#DIV/0!</v>
      </c>
      <c r="Z151" s="236" t="e">
        <f>スコア入力!AB151</f>
        <v>#DIV/0!</v>
      </c>
      <c r="AA151" s="237">
        <f t="shared" si="35"/>
        <v>0</v>
      </c>
      <c r="AB151" s="237">
        <f t="shared" si="36"/>
        <v>0</v>
      </c>
      <c r="AC151" s="236" t="e">
        <f>スコア入力!AH151</f>
        <v>#DIV/0!</v>
      </c>
      <c r="AD151" s="236" t="e">
        <f>スコア入力!AI151</f>
        <v>#DIV/0!</v>
      </c>
      <c r="AE151" s="6"/>
      <c r="AF151" s="649">
        <f>スコア入力!N151</f>
        <v>3</v>
      </c>
      <c r="AG151" s="649">
        <f>スコア入力!P151</f>
        <v>3</v>
      </c>
      <c r="AH151" s="578" t="e">
        <f>スコア入力!AC151</f>
        <v>#DIV/0!</v>
      </c>
      <c r="AI151" s="578" t="e">
        <f>スコア入力!AE151</f>
        <v>#DIV/0!</v>
      </c>
      <c r="AJ151" s="649">
        <f>スコア入力!U151</f>
        <v>0</v>
      </c>
      <c r="AK151" s="649">
        <f>スコア入力!W151</f>
        <v>0</v>
      </c>
      <c r="AL151" s="578" t="e">
        <f>スコア入力!AJ151</f>
        <v>#DIV/0!</v>
      </c>
      <c r="AM151" s="578" t="e">
        <f>スコア入力!AL151</f>
        <v>#DIV/0!</v>
      </c>
      <c r="AN151" s="579"/>
      <c r="AO151" s="579"/>
    </row>
    <row r="152" spans="1:41" ht="14.25" thickBot="1">
      <c r="A152" s="399"/>
      <c r="B152" s="653"/>
      <c r="C152" s="411">
        <v>2.6</v>
      </c>
      <c r="D152" s="392" t="s">
        <v>1809</v>
      </c>
      <c r="E152" s="412"/>
      <c r="F152" s="320"/>
      <c r="G152" s="320"/>
      <c r="H152" s="2993"/>
      <c r="I152" s="2994"/>
      <c r="J152" s="2994"/>
      <c r="K152" s="2995"/>
      <c r="L152" s="458" t="e">
        <f t="shared" si="65"/>
        <v>#DIV/0!</v>
      </c>
      <c r="M152" s="458" t="e">
        <f t="shared" si="66"/>
        <v>#DIV/0!</v>
      </c>
      <c r="N152" s="609" t="e">
        <f>スコア入力!AC152</f>
        <v>#DIV/0!</v>
      </c>
      <c r="O152" s="609" t="e">
        <f>スコア入力!AE152</f>
        <v>#DIV/0!</v>
      </c>
      <c r="P152" s="458" t="e">
        <f t="shared" si="67"/>
        <v>#DIV/0!</v>
      </c>
      <c r="Q152" s="458" t="e">
        <f t="shared" si="68"/>
        <v>#DIV/0!</v>
      </c>
      <c r="R152" s="609" t="e">
        <f>スコア入力!AJ152</f>
        <v>#DIV/0!</v>
      </c>
      <c r="S152" s="609" t="e">
        <f>スコア入力!AL152</f>
        <v>#DIV/0!</v>
      </c>
      <c r="T152" s="610"/>
      <c r="U152" s="610"/>
      <c r="W152" s="237">
        <f t="shared" si="69"/>
        <v>3</v>
      </c>
      <c r="X152" s="237">
        <f t="shared" si="70"/>
        <v>3</v>
      </c>
      <c r="Y152" s="236" t="e">
        <f>スコア入力!AA152</f>
        <v>#DIV/0!</v>
      </c>
      <c r="Z152" s="236" t="e">
        <f>スコア入力!AB152</f>
        <v>#DIV/0!</v>
      </c>
      <c r="AA152" s="237">
        <f t="shared" ref="AA152:AA180" si="71">AJ152</f>
        <v>0</v>
      </c>
      <c r="AB152" s="237">
        <f t="shared" ref="AB152:AB180" si="72">AK152</f>
        <v>0</v>
      </c>
      <c r="AC152" s="236" t="e">
        <f>スコア入力!AH152</f>
        <v>#DIV/0!</v>
      </c>
      <c r="AD152" s="236" t="e">
        <f>スコア入力!AI152</f>
        <v>#DIV/0!</v>
      </c>
      <c r="AE152" s="6"/>
      <c r="AF152" s="600">
        <f>スコア入力!N152</f>
        <v>3</v>
      </c>
      <c r="AG152" s="600">
        <f>スコア入力!P152</f>
        <v>3</v>
      </c>
      <c r="AH152" s="578" t="e">
        <f>スコア入力!AC152</f>
        <v>#DIV/0!</v>
      </c>
      <c r="AI152" s="578" t="e">
        <f>スコア入力!AE152</f>
        <v>#DIV/0!</v>
      </c>
      <c r="AJ152" s="600">
        <f>スコア入力!U152</f>
        <v>0</v>
      </c>
      <c r="AK152" s="600">
        <f>スコア入力!W152</f>
        <v>0</v>
      </c>
      <c r="AL152" s="578" t="e">
        <f>スコア入力!AJ152</f>
        <v>#DIV/0!</v>
      </c>
      <c r="AM152" s="578" t="e">
        <f>スコア入力!AL152</f>
        <v>#DIV/0!</v>
      </c>
      <c r="AN152" s="579"/>
      <c r="AO152" s="579"/>
    </row>
    <row r="153" spans="1:41" ht="14.25" thickBot="1">
      <c r="A153" s="399"/>
      <c r="B153" s="652">
        <v>3</v>
      </c>
      <c r="C153" s="319" t="s">
        <v>937</v>
      </c>
      <c r="D153" s="278"/>
      <c r="E153" s="278"/>
      <c r="F153" s="577"/>
      <c r="G153" s="577"/>
      <c r="H153" s="2969"/>
      <c r="I153" s="2970"/>
      <c r="J153" s="2970"/>
      <c r="K153" s="2970"/>
      <c r="L153" s="654" t="e">
        <f t="shared" si="65"/>
        <v>#DIV/0!</v>
      </c>
      <c r="M153" s="654" t="e">
        <f t="shared" si="66"/>
        <v>#DIV/0!</v>
      </c>
      <c r="N153" s="609" t="e">
        <f>スコア入力!AC153</f>
        <v>#DIV/0!</v>
      </c>
      <c r="O153" s="609" t="e">
        <f>スコア入力!AE153</f>
        <v>#DIV/0!</v>
      </c>
      <c r="P153" s="654" t="e">
        <f t="shared" si="67"/>
        <v>#DIV/0!</v>
      </c>
      <c r="Q153" s="654" t="e">
        <f t="shared" si="68"/>
        <v>#DIV/0!</v>
      </c>
      <c r="R153" s="655"/>
      <c r="S153" s="609"/>
      <c r="T153" s="610" t="e">
        <f>ROUNDDOWN(AN153,1)</f>
        <v>#DIV/0!</v>
      </c>
      <c r="U153" s="610" t="e">
        <f>ROUNDDOWN(AO153,1)</f>
        <v>#DIV/0!</v>
      </c>
      <c r="W153" s="568" t="e">
        <f t="shared" si="69"/>
        <v>#DIV/0!</v>
      </c>
      <c r="X153" s="568" t="e">
        <f t="shared" si="70"/>
        <v>#DIV/0!</v>
      </c>
      <c r="Y153" s="236" t="e">
        <f>スコア入力!AA153</f>
        <v>#DIV/0!</v>
      </c>
      <c r="Z153" s="236" t="e">
        <f>スコア入力!AB153</f>
        <v>#DIV/0!</v>
      </c>
      <c r="AA153" s="568" t="e">
        <f t="shared" si="71"/>
        <v>#DIV/0!</v>
      </c>
      <c r="AB153" s="568" t="e">
        <f t="shared" si="72"/>
        <v>#DIV/0!</v>
      </c>
      <c r="AC153" s="236" t="e">
        <f>スコア入力!AH153</f>
        <v>#DIV/0!</v>
      </c>
      <c r="AD153" s="236" t="e">
        <f>スコア入力!AI153</f>
        <v>#DIV/0!</v>
      </c>
      <c r="AE153" s="6"/>
      <c r="AF153" s="597" t="e">
        <f>AF154*AH154+AF155*AH155</f>
        <v>#DIV/0!</v>
      </c>
      <c r="AG153" s="597" t="e">
        <f>AG154*AI154+AG155*AI155</f>
        <v>#DIV/0!</v>
      </c>
      <c r="AH153" s="592" t="e">
        <f>スコア入力!AC153</f>
        <v>#DIV/0!</v>
      </c>
      <c r="AI153" s="656" t="e">
        <f>スコア入力!AE153</f>
        <v>#DIV/0!</v>
      </c>
      <c r="AJ153" s="597" t="e">
        <f>AJ154*AL154+AJ155*AL155</f>
        <v>#DIV/0!</v>
      </c>
      <c r="AK153" s="597" t="e">
        <f>AK154*AM154+AK155*AM155</f>
        <v>#DIV/0!</v>
      </c>
      <c r="AL153" s="592" t="e">
        <f>スコア入力!AJ153</f>
        <v>#DIV/0!</v>
      </c>
      <c r="AM153" s="656" t="e">
        <f>スコア入力!AL153</f>
        <v>#DIV/0!</v>
      </c>
      <c r="AN153" s="594" t="e">
        <f>IF(AJ153=0,AF153,IF(AF153=0,AJ153,AF153*AH$6+AJ153*AL$6))</f>
        <v>#DIV/0!</v>
      </c>
      <c r="AO153" s="594" t="e">
        <f>IF(AK153=0,AG153,IF(AG153=0,AK153,AG153*AI$6+AK153*AM$6))</f>
        <v>#DIV/0!</v>
      </c>
    </row>
    <row r="154" spans="1:41" ht="14.25" thickBot="1">
      <c r="A154" s="399"/>
      <c r="B154" s="340"/>
      <c r="C154" s="411">
        <v>3.1</v>
      </c>
      <c r="D154" s="392" t="s">
        <v>770</v>
      </c>
      <c r="E154" s="412"/>
      <c r="F154" s="320"/>
      <c r="G154" s="320"/>
      <c r="H154" s="2966"/>
      <c r="I154" s="2967"/>
      <c r="J154" s="2967"/>
      <c r="K154" s="2967"/>
      <c r="L154" s="454" t="e">
        <f t="shared" si="65"/>
        <v>#DIV/0!</v>
      </c>
      <c r="M154" s="454" t="e">
        <f t="shared" si="66"/>
        <v>#DIV/0!</v>
      </c>
      <c r="N154" s="650" t="e">
        <f>スコア入力!AC154</f>
        <v>#DIV/0!</v>
      </c>
      <c r="O154" s="584" t="e">
        <f>スコア入力!AE154</f>
        <v>#DIV/0!</v>
      </c>
      <c r="P154" s="454" t="e">
        <f t="shared" si="67"/>
        <v>#DIV/0!</v>
      </c>
      <c r="Q154" s="454" t="e">
        <f t="shared" si="68"/>
        <v>#DIV/0!</v>
      </c>
      <c r="R154" s="650" t="e">
        <f>スコア入力!AJ154</f>
        <v>#DIV/0!</v>
      </c>
      <c r="S154" s="578" t="e">
        <f>スコア入力!AL154</f>
        <v>#DIV/0!</v>
      </c>
      <c r="T154" s="579"/>
      <c r="U154" s="579"/>
      <c r="W154" s="237">
        <f t="shared" si="69"/>
        <v>3</v>
      </c>
      <c r="X154" s="237">
        <f t="shared" si="70"/>
        <v>3</v>
      </c>
      <c r="Y154" s="236" t="e">
        <f>スコア入力!AA154</f>
        <v>#DIV/0!</v>
      </c>
      <c r="Z154" s="236" t="e">
        <f>スコア入力!AB154</f>
        <v>#DIV/0!</v>
      </c>
      <c r="AA154" s="237">
        <f t="shared" si="71"/>
        <v>0</v>
      </c>
      <c r="AB154" s="237">
        <f t="shared" si="72"/>
        <v>0</v>
      </c>
      <c r="AC154" s="236" t="e">
        <f>スコア入力!AH154</f>
        <v>#DIV/0!</v>
      </c>
      <c r="AD154" s="236" t="e">
        <f>スコア入力!AI154</f>
        <v>#DIV/0!</v>
      </c>
      <c r="AE154" s="6"/>
      <c r="AF154" s="651">
        <f>スコア入力!N154</f>
        <v>3</v>
      </c>
      <c r="AG154" s="651">
        <f>スコア入力!P154</f>
        <v>3</v>
      </c>
      <c r="AH154" s="578" t="e">
        <f>スコア入力!AC154</f>
        <v>#DIV/0!</v>
      </c>
      <c r="AI154" s="578" t="e">
        <f>スコア入力!AE154</f>
        <v>#DIV/0!</v>
      </c>
      <c r="AJ154" s="651">
        <f>スコア入力!U154</f>
        <v>0</v>
      </c>
      <c r="AK154" s="651">
        <f>スコア入力!W154</f>
        <v>0</v>
      </c>
      <c r="AL154" s="578" t="e">
        <f>スコア入力!AJ154</f>
        <v>#DIV/0!</v>
      </c>
      <c r="AM154" s="578" t="e">
        <f>スコア入力!AL154</f>
        <v>#DIV/0!</v>
      </c>
      <c r="AN154" s="579"/>
      <c r="AO154" s="579"/>
    </row>
    <row r="155" spans="1:41" ht="14.25" thickBot="1">
      <c r="A155" s="399"/>
      <c r="B155" s="340"/>
      <c r="C155" s="657">
        <v>3.2</v>
      </c>
      <c r="D155" s="392" t="s">
        <v>771</v>
      </c>
      <c r="E155" s="412"/>
      <c r="F155" s="320"/>
      <c r="G155" s="320"/>
      <c r="H155" s="2966"/>
      <c r="I155" s="2967"/>
      <c r="J155" s="2967"/>
      <c r="K155" s="2967"/>
      <c r="L155" s="654" t="e">
        <f t="shared" si="65"/>
        <v>#DIV/0!</v>
      </c>
      <c r="M155" s="654" t="e">
        <f t="shared" si="66"/>
        <v>#DIV/0!</v>
      </c>
      <c r="N155" s="578" t="e">
        <f>スコア入力!AC155</f>
        <v>#DIV/0!</v>
      </c>
      <c r="O155" s="578" t="e">
        <f>スコア入力!AE155</f>
        <v>#DIV/0!</v>
      </c>
      <c r="P155" s="654" t="e">
        <f t="shared" si="67"/>
        <v>#DIV/0!</v>
      </c>
      <c r="Q155" s="654" t="e">
        <f t="shared" si="68"/>
        <v>#DIV/0!</v>
      </c>
      <c r="R155" s="650" t="e">
        <f>スコア入力!AJ155</f>
        <v>#DIV/0!</v>
      </c>
      <c r="S155" s="578" t="e">
        <f>スコア入力!AL155</f>
        <v>#DIV/0!</v>
      </c>
      <c r="T155" s="579"/>
      <c r="U155" s="579"/>
      <c r="W155" s="568" t="e">
        <f t="shared" si="69"/>
        <v>#DIV/0!</v>
      </c>
      <c r="X155" s="568" t="e">
        <f t="shared" si="70"/>
        <v>#DIV/0!</v>
      </c>
      <c r="Y155" s="236" t="e">
        <f>スコア入力!AA155</f>
        <v>#DIV/0!</v>
      </c>
      <c r="Z155" s="236" t="e">
        <f>スコア入力!AB155</f>
        <v>#DIV/0!</v>
      </c>
      <c r="AA155" s="568" t="e">
        <f t="shared" si="71"/>
        <v>#DIV/0!</v>
      </c>
      <c r="AB155" s="568" t="e">
        <f t="shared" si="72"/>
        <v>#DIV/0!</v>
      </c>
      <c r="AC155" s="236" t="e">
        <f>スコア入力!AH155</f>
        <v>#DIV/0!</v>
      </c>
      <c r="AD155" s="236" t="e">
        <f>スコア入力!AI155</f>
        <v>#DIV/0!</v>
      </c>
      <c r="AE155" s="6"/>
      <c r="AF155" s="597" t="e">
        <f>SUMPRODUCT(AF156:AF158,AH156:AH158)</f>
        <v>#DIV/0!</v>
      </c>
      <c r="AG155" s="597" t="e">
        <f>SUMPRODUCT(AG156:AG158,AI156:AI158)</f>
        <v>#DIV/0!</v>
      </c>
      <c r="AH155" s="578" t="e">
        <f>スコア入力!AC155</f>
        <v>#DIV/0!</v>
      </c>
      <c r="AI155" s="578" t="e">
        <f>スコア入力!AE155</f>
        <v>#DIV/0!</v>
      </c>
      <c r="AJ155" s="597" t="e">
        <f>SUMPRODUCT(AJ156:AJ158,AL156:AL158)</f>
        <v>#DIV/0!</v>
      </c>
      <c r="AK155" s="597" t="e">
        <f>SUMPRODUCT(AK156:AK158,AM156:AM158)</f>
        <v>#DIV/0!</v>
      </c>
      <c r="AL155" s="578" t="e">
        <f>スコア入力!AJ155</f>
        <v>#DIV/0!</v>
      </c>
      <c r="AM155" s="578" t="e">
        <f>スコア入力!AL155</f>
        <v>#DIV/0!</v>
      </c>
      <c r="AN155" s="579"/>
      <c r="AO155" s="579"/>
    </row>
    <row r="156" spans="1:41" ht="13.5">
      <c r="A156" s="399"/>
      <c r="B156" s="340"/>
      <c r="C156" s="296"/>
      <c r="D156" s="297">
        <v>1</v>
      </c>
      <c r="E156" s="317" t="s">
        <v>773</v>
      </c>
      <c r="F156" s="320"/>
      <c r="G156" s="320"/>
      <c r="H156" s="2966"/>
      <c r="I156" s="2967"/>
      <c r="J156" s="2967"/>
      <c r="K156" s="2967"/>
      <c r="L156" s="583" t="e">
        <f t="shared" si="65"/>
        <v>#DIV/0!</v>
      </c>
      <c r="M156" s="583" t="e">
        <f t="shared" si="66"/>
        <v>#DIV/0!</v>
      </c>
      <c r="N156" s="650" t="e">
        <f>スコア入力!AC156</f>
        <v>#DIV/0!</v>
      </c>
      <c r="O156" s="584" t="e">
        <f>スコア入力!AE156</f>
        <v>#DIV/0!</v>
      </c>
      <c r="P156" s="583" t="e">
        <f t="shared" si="67"/>
        <v>#DIV/0!</v>
      </c>
      <c r="Q156" s="583" t="e">
        <f t="shared" si="68"/>
        <v>#DIV/0!</v>
      </c>
      <c r="R156" s="650" t="e">
        <f>スコア入力!AJ156</f>
        <v>#DIV/0!</v>
      </c>
      <c r="S156" s="578" t="e">
        <f>スコア入力!AL156</f>
        <v>#DIV/0!</v>
      </c>
      <c r="T156" s="579"/>
      <c r="U156" s="579"/>
      <c r="W156" s="237">
        <f t="shared" si="69"/>
        <v>3</v>
      </c>
      <c r="X156" s="237">
        <f t="shared" si="70"/>
        <v>3</v>
      </c>
      <c r="Y156" s="236" t="e">
        <f>スコア入力!AA156</f>
        <v>#DIV/0!</v>
      </c>
      <c r="Z156" s="236" t="e">
        <f>スコア入力!AB156</f>
        <v>#DIV/0!</v>
      </c>
      <c r="AA156" s="237">
        <f t="shared" si="71"/>
        <v>0</v>
      </c>
      <c r="AB156" s="237">
        <f t="shared" si="72"/>
        <v>0</v>
      </c>
      <c r="AC156" s="236" t="e">
        <f>スコア入力!AH156</f>
        <v>#DIV/0!</v>
      </c>
      <c r="AD156" s="236" t="e">
        <f>スコア入力!AI156</f>
        <v>#DIV/0!</v>
      </c>
      <c r="AE156" s="6"/>
      <c r="AF156" s="630">
        <f>スコア入力!N156</f>
        <v>3</v>
      </c>
      <c r="AG156" s="630">
        <f>スコア入力!P156</f>
        <v>3</v>
      </c>
      <c r="AH156" s="578" t="e">
        <f>スコア入力!AC156</f>
        <v>#DIV/0!</v>
      </c>
      <c r="AI156" s="578" t="e">
        <f>スコア入力!AE156</f>
        <v>#DIV/0!</v>
      </c>
      <c r="AJ156" s="630">
        <f>スコア入力!U156</f>
        <v>0</v>
      </c>
      <c r="AK156" s="630">
        <f>スコア入力!W156</f>
        <v>0</v>
      </c>
      <c r="AL156" s="578" t="e">
        <f>スコア入力!AJ156</f>
        <v>#DIV/0!</v>
      </c>
      <c r="AM156" s="578" t="e">
        <f>スコア入力!AL156</f>
        <v>#DIV/0!</v>
      </c>
      <c r="AN156" s="579"/>
      <c r="AO156" s="579"/>
    </row>
    <row r="157" spans="1:41" ht="13.5">
      <c r="A157" s="399"/>
      <c r="B157" s="340"/>
      <c r="C157" s="296"/>
      <c r="D157" s="297">
        <v>2</v>
      </c>
      <c r="E157" s="317" t="s">
        <v>799</v>
      </c>
      <c r="F157" s="320"/>
      <c r="G157" s="320"/>
      <c r="H157" s="2966"/>
      <c r="I157" s="2967"/>
      <c r="J157" s="2967"/>
      <c r="K157" s="2967"/>
      <c r="L157" s="589" t="e">
        <f t="shared" si="65"/>
        <v>#DIV/0!</v>
      </c>
      <c r="M157" s="589" t="e">
        <f t="shared" si="66"/>
        <v>#DIV/0!</v>
      </c>
      <c r="N157" s="650" t="e">
        <f>スコア入力!AC157</f>
        <v>#DIV/0!</v>
      </c>
      <c r="O157" s="584" t="e">
        <f>スコア入力!AE157</f>
        <v>#DIV/0!</v>
      </c>
      <c r="P157" s="589" t="e">
        <f t="shared" si="67"/>
        <v>#DIV/0!</v>
      </c>
      <c r="Q157" s="589" t="e">
        <f t="shared" si="68"/>
        <v>#DIV/0!</v>
      </c>
      <c r="R157" s="650" t="e">
        <f>スコア入力!AJ157</f>
        <v>#DIV/0!</v>
      </c>
      <c r="S157" s="578" t="e">
        <f>スコア入力!AL157</f>
        <v>#DIV/0!</v>
      </c>
      <c r="T157" s="579"/>
      <c r="U157" s="579"/>
      <c r="W157" s="237">
        <f t="shared" si="69"/>
        <v>3</v>
      </c>
      <c r="X157" s="237">
        <f t="shared" si="70"/>
        <v>3</v>
      </c>
      <c r="Y157" s="236" t="e">
        <f>スコア入力!AA157</f>
        <v>#DIV/0!</v>
      </c>
      <c r="Z157" s="236" t="e">
        <f>スコア入力!AB157</f>
        <v>#DIV/0!</v>
      </c>
      <c r="AA157" s="237">
        <f t="shared" si="71"/>
        <v>0</v>
      </c>
      <c r="AB157" s="237">
        <f t="shared" si="72"/>
        <v>0</v>
      </c>
      <c r="AC157" s="236" t="e">
        <f>スコア入力!AH157</f>
        <v>#DIV/0!</v>
      </c>
      <c r="AD157" s="236" t="e">
        <f>スコア入力!AI157</f>
        <v>#DIV/0!</v>
      </c>
      <c r="AE157" s="6"/>
      <c r="AF157" s="649">
        <f>スコア入力!N157</f>
        <v>3</v>
      </c>
      <c r="AG157" s="649">
        <f>スコア入力!P157</f>
        <v>3</v>
      </c>
      <c r="AH157" s="578" t="e">
        <f>スコア入力!AC157</f>
        <v>#DIV/0!</v>
      </c>
      <c r="AI157" s="578" t="e">
        <f>スコア入力!AE157</f>
        <v>#DIV/0!</v>
      </c>
      <c r="AJ157" s="649">
        <f>スコア入力!U157</f>
        <v>0</v>
      </c>
      <c r="AK157" s="649">
        <f>スコア入力!W157</f>
        <v>0</v>
      </c>
      <c r="AL157" s="578" t="e">
        <f>スコア入力!AJ157</f>
        <v>#DIV/0!</v>
      </c>
      <c r="AM157" s="578" t="e">
        <f>スコア入力!AL157</f>
        <v>#DIV/0!</v>
      </c>
      <c r="AN157" s="579"/>
      <c r="AO157" s="579"/>
    </row>
    <row r="158" spans="1:41" ht="14.25" thickBot="1">
      <c r="A158" s="399"/>
      <c r="B158" s="469"/>
      <c r="C158" s="348"/>
      <c r="D158" s="349">
        <v>3</v>
      </c>
      <c r="E158" s="350" t="s">
        <v>774</v>
      </c>
      <c r="F158" s="602"/>
      <c r="G158" s="602"/>
      <c r="H158" s="2964"/>
      <c r="I158" s="2965"/>
      <c r="J158" s="2965"/>
      <c r="K158" s="2965"/>
      <c r="L158" s="586" t="e">
        <f t="shared" si="65"/>
        <v>#DIV/0!</v>
      </c>
      <c r="M158" s="586" t="e">
        <f t="shared" si="66"/>
        <v>#DIV/0!</v>
      </c>
      <c r="N158" s="658" t="e">
        <f>スコア入力!AC158</f>
        <v>#DIV/0!</v>
      </c>
      <c r="O158" s="603" t="e">
        <f>スコア入力!AE158</f>
        <v>#DIV/0!</v>
      </c>
      <c r="P158" s="586" t="e">
        <f t="shared" si="67"/>
        <v>#DIV/0!</v>
      </c>
      <c r="Q158" s="586" t="e">
        <f t="shared" si="68"/>
        <v>#DIV/0!</v>
      </c>
      <c r="R158" s="658" t="e">
        <f>スコア入力!AJ158</f>
        <v>#DIV/0!</v>
      </c>
      <c r="S158" s="627" t="e">
        <f>スコア入力!AL158</f>
        <v>#DIV/0!</v>
      </c>
      <c r="T158" s="604"/>
      <c r="U158" s="604"/>
      <c r="W158" s="237">
        <f t="shared" si="69"/>
        <v>3</v>
      </c>
      <c r="X158" s="237">
        <f t="shared" si="70"/>
        <v>3</v>
      </c>
      <c r="Y158" s="236" t="e">
        <f>スコア入力!AA158</f>
        <v>#DIV/0!</v>
      </c>
      <c r="Z158" s="236" t="e">
        <f>スコア入力!AB158</f>
        <v>#DIV/0!</v>
      </c>
      <c r="AA158" s="237">
        <f t="shared" si="71"/>
        <v>0</v>
      </c>
      <c r="AB158" s="237">
        <f t="shared" si="72"/>
        <v>0</v>
      </c>
      <c r="AC158" s="236" t="e">
        <f>スコア入力!AH158</f>
        <v>#DIV/0!</v>
      </c>
      <c r="AD158" s="236" t="e">
        <f>スコア入力!AI158</f>
        <v>#DIV/0!</v>
      </c>
      <c r="AE158" s="6"/>
      <c r="AF158" s="600">
        <f>スコア入力!N158</f>
        <v>3</v>
      </c>
      <c r="AG158" s="600">
        <f>スコア入力!P158</f>
        <v>3</v>
      </c>
      <c r="AH158" s="627" t="e">
        <f>スコア入力!AC158</f>
        <v>#DIV/0!</v>
      </c>
      <c r="AI158" s="627" t="e">
        <f>スコア入力!AE158</f>
        <v>#DIV/0!</v>
      </c>
      <c r="AJ158" s="600">
        <f>スコア入力!U158</f>
        <v>0</v>
      </c>
      <c r="AK158" s="600">
        <f>スコア入力!W158</f>
        <v>0</v>
      </c>
      <c r="AL158" s="627" t="e">
        <f>スコア入力!AJ158</f>
        <v>#DIV/0!</v>
      </c>
      <c r="AM158" s="627" t="e">
        <f>スコア入力!AL158</f>
        <v>#DIV/0!</v>
      </c>
      <c r="AN158" s="604"/>
      <c r="AO158" s="604"/>
    </row>
    <row r="159" spans="1:41" ht="15.75" thickBot="1">
      <c r="A159" s="399"/>
      <c r="B159" s="353" t="s">
        <v>423</v>
      </c>
      <c r="C159" s="400"/>
      <c r="D159" s="400" t="s">
        <v>424</v>
      </c>
      <c r="E159" s="400"/>
      <c r="F159" s="628"/>
      <c r="G159" s="628"/>
      <c r="H159" s="2975"/>
      <c r="I159" s="2976"/>
      <c r="J159" s="2976"/>
      <c r="K159" s="2977"/>
      <c r="L159" s="629"/>
      <c r="M159" s="629"/>
      <c r="N159" s="571" t="e">
        <f>スコア入力!AC159</f>
        <v>#VALUE!</v>
      </c>
      <c r="O159" s="571" t="e">
        <f>スコア入力!AE159</f>
        <v>#VALUE!</v>
      </c>
      <c r="P159" s="629"/>
      <c r="Q159" s="659"/>
      <c r="R159" s="571"/>
      <c r="S159" s="571"/>
      <c r="T159" s="607" t="e">
        <f t="shared" ref="T159:U161" si="73">ROUNDDOWN(AN159,1)</f>
        <v>#DIV/0!</v>
      </c>
      <c r="U159" s="607" t="e">
        <f t="shared" si="73"/>
        <v>#DIV/0!</v>
      </c>
      <c r="W159" s="568" t="e">
        <f>$AO159</f>
        <v>#DIV/0!</v>
      </c>
      <c r="X159" s="568" t="e">
        <f>$AO159</f>
        <v>#DIV/0!</v>
      </c>
      <c r="Y159" s="236" t="e">
        <f>スコア入力!AA159</f>
        <v>#DIV/0!</v>
      </c>
      <c r="Z159" s="236" t="e">
        <f>スコア入力!AB159</f>
        <v>#DIV/0!</v>
      </c>
      <c r="AA159" s="568">
        <f t="shared" si="71"/>
        <v>0</v>
      </c>
      <c r="AB159" s="568">
        <f t="shared" si="72"/>
        <v>0</v>
      </c>
      <c r="AC159" s="236" t="e">
        <f>スコア入力!AH159</f>
        <v>#DIV/0!</v>
      </c>
      <c r="AD159" s="236" t="e">
        <f>スコア入力!AI159</f>
        <v>#DIV/0!</v>
      </c>
      <c r="AE159" s="6"/>
      <c r="AF159" s="629"/>
      <c r="AG159" s="629"/>
      <c r="AH159" s="571" t="e">
        <f>スコア入力!AC159</f>
        <v>#VALUE!</v>
      </c>
      <c r="AI159" s="571" t="e">
        <f>スコア入力!AE159</f>
        <v>#VALUE!</v>
      </c>
      <c r="AJ159" s="629"/>
      <c r="AK159" s="629"/>
      <c r="AL159" s="571" t="e">
        <f>スコア入力!AJ159</f>
        <v>#DIV/0!</v>
      </c>
      <c r="AM159" s="571" t="e">
        <f>スコア入力!AL159</f>
        <v>#DIV/0!</v>
      </c>
      <c r="AN159" s="607" t="e">
        <f>AH160*AN160+AH161*AN161+AH169*AN169</f>
        <v>#DIV/0!</v>
      </c>
      <c r="AO159" s="607" t="e">
        <f>AI160*AO160+AI161*AO161+AI169*AO169</f>
        <v>#DIV/0!</v>
      </c>
    </row>
    <row r="160" spans="1:41" ht="14.25" thickBot="1">
      <c r="A160" s="399"/>
      <c r="B160" s="477">
        <v>1</v>
      </c>
      <c r="C160" s="407" t="s">
        <v>775</v>
      </c>
      <c r="D160" s="407"/>
      <c r="E160" s="407"/>
      <c r="F160" s="601"/>
      <c r="G160" s="601"/>
      <c r="H160" s="2982"/>
      <c r="I160" s="2983"/>
      <c r="J160" s="2983"/>
      <c r="K160" s="2983"/>
      <c r="L160" s="454" t="e">
        <f t="shared" ref="L160:L180" si="74">IF(Y160=0,0,ROUNDDOWN(AF160,1))</f>
        <v>#DIV/0!</v>
      </c>
      <c r="M160" s="454" t="e">
        <f t="shared" ref="M160:M180" si="75">IF(Z160=0,0,ROUNDDOWN(AG160,1))</f>
        <v>#DIV/0!</v>
      </c>
      <c r="N160" s="655" t="e">
        <f>スコア入力!AC160</f>
        <v>#DIV/0!</v>
      </c>
      <c r="O160" s="660" t="e">
        <f>スコア入力!AE160</f>
        <v>#DIV/0!</v>
      </c>
      <c r="P160" s="454" t="e">
        <f t="shared" ref="P160:P180" si="76">IF(AC160=0,0,ROUNDDOWN(AJ160,1))</f>
        <v>#DIV/0!</v>
      </c>
      <c r="Q160" s="454" t="e">
        <f t="shared" ref="Q160:Q180" si="77">IF(AD160=0,0,ROUNDDOWN(AK160,1))</f>
        <v>#DIV/0!</v>
      </c>
      <c r="R160" s="655"/>
      <c r="S160" s="660"/>
      <c r="T160" s="661" t="e">
        <f t="shared" si="73"/>
        <v>#DIV/0!</v>
      </c>
      <c r="U160" s="661" t="e">
        <f t="shared" si="73"/>
        <v>#DIV/0!</v>
      </c>
      <c r="W160" s="237" t="e">
        <f>AF160</f>
        <v>#DIV/0!</v>
      </c>
      <c r="X160" s="237" t="e">
        <f t="shared" ref="X160:X180" si="78">AG160</f>
        <v>#DIV/0!</v>
      </c>
      <c r="Y160" s="236" t="e">
        <f>スコア入力!AA160</f>
        <v>#DIV/0!</v>
      </c>
      <c r="Z160" s="236" t="e">
        <f>スコア入力!AB160</f>
        <v>#DIV/0!</v>
      </c>
      <c r="AA160" s="237">
        <f t="shared" si="71"/>
        <v>0</v>
      </c>
      <c r="AB160" s="237">
        <f t="shared" si="72"/>
        <v>0</v>
      </c>
      <c r="AC160" s="236" t="e">
        <f>スコア入力!AH160</f>
        <v>#DIV/0!</v>
      </c>
      <c r="AD160" s="236" t="e">
        <f>スコア入力!AI160</f>
        <v>#DIV/0!</v>
      </c>
      <c r="AE160" s="6"/>
      <c r="AF160" s="2398" t="e">
        <f>IF(スコア入力!L124="",CO2計算_前!L139,CO2計算_対象外!L139)</f>
        <v>#DIV/0!</v>
      </c>
      <c r="AG160" s="662" t="e">
        <f>IF(スコア入力!L124="",CO2計算_後!L139,CO2計算_対象外!L139)</f>
        <v>#DIV/0!</v>
      </c>
      <c r="AH160" s="663" t="e">
        <f>スコア入力!AC160</f>
        <v>#DIV/0!</v>
      </c>
      <c r="AI160" s="664" t="e">
        <f>スコア入力!AE160</f>
        <v>#DIV/0!</v>
      </c>
      <c r="AJ160" s="651">
        <f>スコア入力!U160</f>
        <v>0</v>
      </c>
      <c r="AK160" s="651">
        <f>スコア入力!W160</f>
        <v>0</v>
      </c>
      <c r="AL160" s="663" t="e">
        <f>スコア入力!AJ160</f>
        <v>#DIV/0!</v>
      </c>
      <c r="AM160" s="664" t="e">
        <f>スコア入力!AL160</f>
        <v>#DIV/0!</v>
      </c>
      <c r="AN160" s="661" t="e">
        <f>IF(AJ160=0,AF160,IF(AF160=0,AJ160,AF160*AH$6+AJ160*AL$6))</f>
        <v>#DIV/0!</v>
      </c>
      <c r="AO160" s="661" t="e">
        <f>IF(AK160=0,AG160,IF(AG160=0,AK160,AG160*AI$6+AK160*AM$6))</f>
        <v>#DIV/0!</v>
      </c>
    </row>
    <row r="161" spans="1:41" ht="14.25" thickBot="1">
      <c r="A161" s="399"/>
      <c r="B161" s="665">
        <v>2</v>
      </c>
      <c r="C161" s="407" t="s">
        <v>776</v>
      </c>
      <c r="D161" s="407"/>
      <c r="E161" s="407"/>
      <c r="F161" s="601"/>
      <c r="G161" s="601"/>
      <c r="H161" s="2969"/>
      <c r="I161" s="2970"/>
      <c r="J161" s="2970"/>
      <c r="K161" s="2970"/>
      <c r="L161" s="654" t="e">
        <f t="shared" si="74"/>
        <v>#DIV/0!</v>
      </c>
      <c r="M161" s="654" t="e">
        <f t="shared" si="75"/>
        <v>#DIV/0!</v>
      </c>
      <c r="N161" s="592" t="e">
        <f>スコア入力!AC161</f>
        <v>#DIV/0!</v>
      </c>
      <c r="O161" s="592" t="e">
        <f>スコア入力!AE161</f>
        <v>#DIV/0!</v>
      </c>
      <c r="P161" s="654" t="e">
        <f t="shared" si="76"/>
        <v>#DIV/0!</v>
      </c>
      <c r="Q161" s="654" t="e">
        <f t="shared" si="77"/>
        <v>#DIV/0!</v>
      </c>
      <c r="R161" s="592"/>
      <c r="S161" s="595"/>
      <c r="T161" s="594" t="e">
        <f t="shared" si="73"/>
        <v>#DIV/0!</v>
      </c>
      <c r="U161" s="594" t="e">
        <f t="shared" si="73"/>
        <v>#DIV/0!</v>
      </c>
      <c r="W161" s="598" t="e">
        <f t="shared" ref="W161:W180" si="79">AF161</f>
        <v>#DIV/0!</v>
      </c>
      <c r="X161" s="598" t="e">
        <f t="shared" si="78"/>
        <v>#DIV/0!</v>
      </c>
      <c r="Y161" s="236" t="e">
        <f>スコア入力!AA161</f>
        <v>#DIV/0!</v>
      </c>
      <c r="Z161" s="236" t="e">
        <f>スコア入力!AB161</f>
        <v>#DIV/0!</v>
      </c>
      <c r="AA161" s="598" t="e">
        <f t="shared" si="71"/>
        <v>#DIV/0!</v>
      </c>
      <c r="AB161" s="598" t="e">
        <f t="shared" si="72"/>
        <v>#DIV/0!</v>
      </c>
      <c r="AC161" s="236" t="e">
        <f>スコア入力!AH161</f>
        <v>#DIV/0!</v>
      </c>
      <c r="AD161" s="236" t="e">
        <f>スコア入力!AI161</f>
        <v>#DIV/0!</v>
      </c>
      <c r="AE161" s="6"/>
      <c r="AF161" s="588" t="e">
        <f>SUMPRODUCT(AF162:AF164,AH162:AH164)</f>
        <v>#DIV/0!</v>
      </c>
      <c r="AG161" s="597" t="e">
        <f>SUMPRODUCT(AG162:AG164,AI162:AI164)</f>
        <v>#DIV/0!</v>
      </c>
      <c r="AH161" s="592" t="e">
        <f>スコア入力!AC161</f>
        <v>#DIV/0!</v>
      </c>
      <c r="AI161" s="595" t="e">
        <f>スコア入力!AE161</f>
        <v>#DIV/0!</v>
      </c>
      <c r="AJ161" s="588" t="e">
        <f>SUMPRODUCT(AJ162:AJ164,AL162:AL164)</f>
        <v>#DIV/0!</v>
      </c>
      <c r="AK161" s="597" t="e">
        <f>SUMPRODUCT(AK162:AK164,AM162:AM164)</f>
        <v>#DIV/0!</v>
      </c>
      <c r="AL161" s="592" t="e">
        <f>スコア入力!AJ161</f>
        <v>#DIV/0!</v>
      </c>
      <c r="AM161" s="595" t="e">
        <f>スコア入力!AL161</f>
        <v>#DIV/0!</v>
      </c>
      <c r="AN161" s="594" t="e">
        <f>IF(AJ161=0,AF161,IF(AF161=0,AJ161,AF161*AH$6+AJ161*AL$6))</f>
        <v>#DIV/0!</v>
      </c>
      <c r="AO161" s="594" t="e">
        <f>IF(AK161=0,AG161,IF(AG161=0,AK161,AG161*AI$6+AK161*AM$6))</f>
        <v>#DIV/0!</v>
      </c>
    </row>
    <row r="162" spans="1:41" ht="13.5">
      <c r="A162" s="399"/>
      <c r="B162" s="478"/>
      <c r="C162" s="411">
        <v>2.1</v>
      </c>
      <c r="D162" s="392" t="s">
        <v>779</v>
      </c>
      <c r="E162" s="412"/>
      <c r="F162" s="320"/>
      <c r="G162" s="320"/>
      <c r="H162" s="2954"/>
      <c r="I162" s="2955"/>
      <c r="J162" s="2955"/>
      <c r="K162" s="2955"/>
      <c r="L162" s="456" t="e">
        <f t="shared" si="74"/>
        <v>#DIV/0!</v>
      </c>
      <c r="M162" s="456" t="e">
        <f t="shared" si="75"/>
        <v>#DIV/0!</v>
      </c>
      <c r="N162" s="650" t="e">
        <f>スコア入力!AC162</f>
        <v>#DIV/0!</v>
      </c>
      <c r="O162" s="584" t="e">
        <f>スコア入力!AE162</f>
        <v>#DIV/0!</v>
      </c>
      <c r="P162" s="456" t="e">
        <f t="shared" si="76"/>
        <v>#DIV/0!</v>
      </c>
      <c r="Q162" s="456" t="e">
        <f t="shared" si="77"/>
        <v>#DIV/0!</v>
      </c>
      <c r="R162" s="650" t="e">
        <f>スコア入力!AJ162</f>
        <v>#DIV/0!</v>
      </c>
      <c r="S162" s="584" t="e">
        <f>スコア入力!AL162</f>
        <v>#DIV/0!</v>
      </c>
      <c r="T162" s="579"/>
      <c r="U162" s="579"/>
      <c r="W162" s="237">
        <f t="shared" si="79"/>
        <v>3</v>
      </c>
      <c r="X162" s="237">
        <f t="shared" si="78"/>
        <v>3</v>
      </c>
      <c r="Y162" s="236" t="e">
        <f>スコア入力!AA162</f>
        <v>#DIV/0!</v>
      </c>
      <c r="Z162" s="236" t="e">
        <f>スコア入力!AB162</f>
        <v>#DIV/0!</v>
      </c>
      <c r="AA162" s="237">
        <f t="shared" si="71"/>
        <v>0</v>
      </c>
      <c r="AB162" s="237">
        <f t="shared" si="72"/>
        <v>0</v>
      </c>
      <c r="AC162" s="236" t="e">
        <f>スコア入力!AH162</f>
        <v>#DIV/0!</v>
      </c>
      <c r="AD162" s="236" t="e">
        <f>スコア入力!AI162</f>
        <v>#DIV/0!</v>
      </c>
      <c r="AE162" s="6"/>
      <c r="AF162" s="630">
        <f>スコア入力!N162</f>
        <v>3</v>
      </c>
      <c r="AG162" s="630">
        <f>スコア入力!P162</f>
        <v>3</v>
      </c>
      <c r="AH162" s="596" t="e">
        <f>スコア入力!AC162</f>
        <v>#DIV/0!</v>
      </c>
      <c r="AI162" s="596" t="e">
        <f>スコア入力!AE162</f>
        <v>#DIV/0!</v>
      </c>
      <c r="AJ162" s="630">
        <f>スコア入力!U162</f>
        <v>0</v>
      </c>
      <c r="AK162" s="630">
        <f>スコア入力!W162</f>
        <v>0</v>
      </c>
      <c r="AL162" s="596" t="e">
        <f>スコア入力!AJ162</f>
        <v>#DIV/0!</v>
      </c>
      <c r="AM162" s="596" t="e">
        <f>スコア入力!AL162</f>
        <v>#DIV/0!</v>
      </c>
      <c r="AN162" s="582"/>
      <c r="AO162" s="582"/>
    </row>
    <row r="163" spans="1:41" ht="14.25" thickBot="1">
      <c r="A163" s="399"/>
      <c r="B163" s="478"/>
      <c r="C163" s="411">
        <v>2.2000000000000002</v>
      </c>
      <c r="D163" s="392" t="s">
        <v>780</v>
      </c>
      <c r="E163" s="412"/>
      <c r="F163" s="320"/>
      <c r="G163" s="320"/>
      <c r="H163" s="2966"/>
      <c r="I163" s="2967"/>
      <c r="J163" s="2967"/>
      <c r="K163" s="2967"/>
      <c r="L163" s="458" t="e">
        <f t="shared" si="74"/>
        <v>#DIV/0!</v>
      </c>
      <c r="M163" s="458" t="e">
        <f t="shared" si="75"/>
        <v>#DIV/0!</v>
      </c>
      <c r="N163" s="650" t="e">
        <f>スコア入力!AC163</f>
        <v>#DIV/0!</v>
      </c>
      <c r="O163" s="584" t="e">
        <f>スコア入力!AE163</f>
        <v>#DIV/0!</v>
      </c>
      <c r="P163" s="458" t="e">
        <f t="shared" si="76"/>
        <v>#DIV/0!</v>
      </c>
      <c r="Q163" s="458" t="e">
        <f t="shared" si="77"/>
        <v>#DIV/0!</v>
      </c>
      <c r="R163" s="650" t="e">
        <f>スコア入力!AJ163</f>
        <v>#DIV/0!</v>
      </c>
      <c r="S163" s="584" t="e">
        <f>スコア入力!AL163</f>
        <v>#DIV/0!</v>
      </c>
      <c r="T163" s="579"/>
      <c r="U163" s="579"/>
      <c r="W163" s="237">
        <f t="shared" si="79"/>
        <v>3</v>
      </c>
      <c r="X163" s="237">
        <f t="shared" si="78"/>
        <v>3</v>
      </c>
      <c r="Y163" s="236" t="e">
        <f>スコア入力!AA163</f>
        <v>#DIV/0!</v>
      </c>
      <c r="Z163" s="236" t="e">
        <f>スコア入力!AB163</f>
        <v>#DIV/0!</v>
      </c>
      <c r="AA163" s="237">
        <f t="shared" si="71"/>
        <v>0</v>
      </c>
      <c r="AB163" s="237">
        <f t="shared" si="72"/>
        <v>0</v>
      </c>
      <c r="AC163" s="236" t="e">
        <f>スコア入力!AH163</f>
        <v>#DIV/0!</v>
      </c>
      <c r="AD163" s="236" t="e">
        <f>スコア入力!AI163</f>
        <v>#DIV/0!</v>
      </c>
      <c r="AE163" s="6"/>
      <c r="AF163" s="600">
        <f>スコア入力!N163</f>
        <v>3</v>
      </c>
      <c r="AG163" s="600">
        <f>スコア入力!P163</f>
        <v>3</v>
      </c>
      <c r="AH163" s="578" t="e">
        <f>スコア入力!AC163</f>
        <v>#DIV/0!</v>
      </c>
      <c r="AI163" s="578" t="e">
        <f>スコア入力!AE163</f>
        <v>#DIV/0!</v>
      </c>
      <c r="AJ163" s="600">
        <f>スコア入力!U163</f>
        <v>0</v>
      </c>
      <c r="AK163" s="600">
        <f>スコア入力!W163</f>
        <v>0</v>
      </c>
      <c r="AL163" s="578" t="e">
        <f>スコア入力!AJ163</f>
        <v>#DIV/0!</v>
      </c>
      <c r="AM163" s="578" t="e">
        <f>スコア入力!AL163</f>
        <v>#DIV/0!</v>
      </c>
      <c r="AN163" s="579"/>
      <c r="AO163" s="579"/>
    </row>
    <row r="164" spans="1:41" ht="14.25" thickBot="1">
      <c r="A164" s="399"/>
      <c r="B164" s="478"/>
      <c r="C164" s="657">
        <v>2.2999999999999998</v>
      </c>
      <c r="D164" s="392" t="s">
        <v>781</v>
      </c>
      <c r="E164" s="412"/>
      <c r="F164" s="320"/>
      <c r="G164" s="320"/>
      <c r="H164" s="2966"/>
      <c r="I164" s="2967"/>
      <c r="J164" s="2967"/>
      <c r="K164" s="2967"/>
      <c r="L164" s="654" t="e">
        <f t="shared" si="74"/>
        <v>#DIV/0!</v>
      </c>
      <c r="M164" s="654" t="e">
        <f t="shared" si="75"/>
        <v>#DIV/0!</v>
      </c>
      <c r="N164" s="578" t="e">
        <f>スコア入力!AC164</f>
        <v>#DIV/0!</v>
      </c>
      <c r="O164" s="578" t="e">
        <f>スコア入力!AE164</f>
        <v>#DIV/0!</v>
      </c>
      <c r="P164" s="654" t="e">
        <f t="shared" si="76"/>
        <v>#DIV/0!</v>
      </c>
      <c r="Q164" s="654" t="e">
        <f t="shared" si="77"/>
        <v>#DIV/0!</v>
      </c>
      <c r="R164" s="578" t="e">
        <f>スコア入力!AJ164</f>
        <v>#DIV/0!</v>
      </c>
      <c r="S164" s="584" t="e">
        <f>スコア入力!AL164</f>
        <v>#DIV/0!</v>
      </c>
      <c r="T164" s="579"/>
      <c r="U164" s="579"/>
      <c r="W164" s="568" t="e">
        <f t="shared" si="79"/>
        <v>#DIV/0!</v>
      </c>
      <c r="X164" s="568" t="e">
        <f t="shared" si="78"/>
        <v>#DIV/0!</v>
      </c>
      <c r="Y164" s="236" t="e">
        <f>スコア入力!AA164</f>
        <v>#DIV/0!</v>
      </c>
      <c r="Z164" s="236" t="e">
        <f>スコア入力!AB164</f>
        <v>#DIV/0!</v>
      </c>
      <c r="AA164" s="568" t="e">
        <f t="shared" si="71"/>
        <v>#DIV/0!</v>
      </c>
      <c r="AB164" s="568" t="e">
        <f t="shared" si="72"/>
        <v>#DIV/0!</v>
      </c>
      <c r="AC164" s="236" t="e">
        <f>スコア入力!AH164</f>
        <v>#DIV/0!</v>
      </c>
      <c r="AD164" s="236" t="e">
        <f>スコア入力!AI164</f>
        <v>#DIV/0!</v>
      </c>
      <c r="AE164" s="6"/>
      <c r="AF164" s="588" t="e">
        <f>SUMPRODUCT(AF165:AF168,AH165:AH168)</f>
        <v>#DIV/0!</v>
      </c>
      <c r="AG164" s="597" t="e">
        <f>SUMPRODUCT(AG165:AG168,AI165:AI168)</f>
        <v>#DIV/0!</v>
      </c>
      <c r="AH164" s="578" t="e">
        <f>スコア入力!AC164</f>
        <v>#DIV/0!</v>
      </c>
      <c r="AI164" s="578" t="e">
        <f>スコア入力!AE164</f>
        <v>#DIV/0!</v>
      </c>
      <c r="AJ164" s="588" t="e">
        <f>SUMPRODUCT(AJ165:AJ168,AL165:AL168)</f>
        <v>#DIV/0!</v>
      </c>
      <c r="AK164" s="597" t="e">
        <f>SUMPRODUCT(AK165:AK168,AM165:AM168)</f>
        <v>#DIV/0!</v>
      </c>
      <c r="AL164" s="578" t="e">
        <f>スコア入力!AJ164</f>
        <v>#DIV/0!</v>
      </c>
      <c r="AM164" s="578" t="e">
        <f>スコア入力!AL164</f>
        <v>#DIV/0!</v>
      </c>
      <c r="AN164" s="579"/>
      <c r="AO164" s="579"/>
    </row>
    <row r="165" spans="1:41" ht="13.5">
      <c r="A165" s="399"/>
      <c r="B165" s="488"/>
      <c r="C165" s="666"/>
      <c r="D165" s="297">
        <v>1</v>
      </c>
      <c r="E165" s="317" t="s">
        <v>784</v>
      </c>
      <c r="F165" s="320"/>
      <c r="G165" s="320"/>
      <c r="H165" s="2966"/>
      <c r="I165" s="2967"/>
      <c r="J165" s="2967"/>
      <c r="K165" s="2967"/>
      <c r="L165" s="456" t="e">
        <f t="shared" si="74"/>
        <v>#DIV/0!</v>
      </c>
      <c r="M165" s="456" t="e">
        <f t="shared" si="75"/>
        <v>#DIV/0!</v>
      </c>
      <c r="N165" s="650" t="e">
        <f>スコア入力!AC165</f>
        <v>#DIV/0!</v>
      </c>
      <c r="O165" s="584" t="e">
        <f>スコア入力!AE165</f>
        <v>#DIV/0!</v>
      </c>
      <c r="P165" s="456" t="e">
        <f t="shared" si="76"/>
        <v>#DIV/0!</v>
      </c>
      <c r="Q165" s="456" t="e">
        <f t="shared" si="77"/>
        <v>#DIV/0!</v>
      </c>
      <c r="R165" s="650" t="e">
        <f>スコア入力!AJ165</f>
        <v>#DIV/0!</v>
      </c>
      <c r="S165" s="584" t="e">
        <f>スコア入力!AL165</f>
        <v>#DIV/0!</v>
      </c>
      <c r="T165" s="579"/>
      <c r="U165" s="667"/>
      <c r="W165" s="237">
        <f t="shared" si="79"/>
        <v>3</v>
      </c>
      <c r="X165" s="237">
        <f t="shared" si="78"/>
        <v>3</v>
      </c>
      <c r="Y165" s="236" t="e">
        <f>スコア入力!AA165</f>
        <v>#DIV/0!</v>
      </c>
      <c r="Z165" s="236" t="e">
        <f>スコア入力!AB165</f>
        <v>#DIV/0!</v>
      </c>
      <c r="AA165" s="237">
        <f t="shared" si="71"/>
        <v>0</v>
      </c>
      <c r="AB165" s="237">
        <f t="shared" si="72"/>
        <v>0</v>
      </c>
      <c r="AC165" s="236" t="e">
        <f>スコア入力!AH165</f>
        <v>#DIV/0!</v>
      </c>
      <c r="AD165" s="236" t="e">
        <f>スコア入力!AI165</f>
        <v>#DIV/0!</v>
      </c>
      <c r="AE165" s="6"/>
      <c r="AF165" s="630">
        <f>スコア入力!N165</f>
        <v>3</v>
      </c>
      <c r="AG165" s="630">
        <f>スコア入力!P165</f>
        <v>3</v>
      </c>
      <c r="AH165" s="584" t="e">
        <f>スコア入力!AC165</f>
        <v>#DIV/0!</v>
      </c>
      <c r="AI165" s="584" t="e">
        <f>スコア入力!AE165</f>
        <v>#DIV/0!</v>
      </c>
      <c r="AJ165" s="630">
        <f>スコア入力!U165</f>
        <v>0</v>
      </c>
      <c r="AK165" s="630">
        <f>スコア入力!W165</f>
        <v>0</v>
      </c>
      <c r="AL165" s="584" t="e">
        <f>スコア入力!AJ165</f>
        <v>#DIV/0!</v>
      </c>
      <c r="AM165" s="584" t="e">
        <f>スコア入力!AL165</f>
        <v>#DIV/0!</v>
      </c>
      <c r="AN165" s="579"/>
      <c r="AO165" s="667"/>
    </row>
    <row r="166" spans="1:41" ht="13.5">
      <c r="A166" s="399"/>
      <c r="B166" s="488"/>
      <c r="C166" s="296"/>
      <c r="D166" s="297">
        <v>2</v>
      </c>
      <c r="E166" s="317" t="s">
        <v>785</v>
      </c>
      <c r="F166" s="320"/>
      <c r="G166" s="320"/>
      <c r="H166" s="2966"/>
      <c r="I166" s="2967"/>
      <c r="J166" s="2967"/>
      <c r="K166" s="2967"/>
      <c r="L166" s="457" t="e">
        <f t="shared" si="74"/>
        <v>#DIV/0!</v>
      </c>
      <c r="M166" s="457" t="e">
        <f t="shared" si="75"/>
        <v>#DIV/0!</v>
      </c>
      <c r="N166" s="650" t="e">
        <f>スコア入力!AC166</f>
        <v>#DIV/0!</v>
      </c>
      <c r="O166" s="584" t="e">
        <f>スコア入力!AE166</f>
        <v>#DIV/0!</v>
      </c>
      <c r="P166" s="457" t="e">
        <f t="shared" si="76"/>
        <v>#DIV/0!</v>
      </c>
      <c r="Q166" s="457" t="e">
        <f t="shared" si="77"/>
        <v>#DIV/0!</v>
      </c>
      <c r="R166" s="650" t="e">
        <f>スコア入力!AJ166</f>
        <v>#DIV/0!</v>
      </c>
      <c r="S166" s="584" t="e">
        <f>スコア入力!AL166</f>
        <v>#DIV/0!</v>
      </c>
      <c r="T166" s="579"/>
      <c r="U166" s="667"/>
      <c r="W166" s="237">
        <f t="shared" si="79"/>
        <v>3</v>
      </c>
      <c r="X166" s="237">
        <f t="shared" si="78"/>
        <v>3</v>
      </c>
      <c r="Y166" s="236" t="e">
        <f>スコア入力!AA166</f>
        <v>#DIV/0!</v>
      </c>
      <c r="Z166" s="236" t="e">
        <f>スコア入力!AB166</f>
        <v>#DIV/0!</v>
      </c>
      <c r="AA166" s="237">
        <f t="shared" si="71"/>
        <v>0</v>
      </c>
      <c r="AB166" s="237">
        <f t="shared" si="72"/>
        <v>0</v>
      </c>
      <c r="AC166" s="236" t="e">
        <f>スコア入力!AH166</f>
        <v>#DIV/0!</v>
      </c>
      <c r="AD166" s="236" t="e">
        <f>スコア入力!AI166</f>
        <v>#DIV/0!</v>
      </c>
      <c r="AE166" s="6"/>
      <c r="AF166" s="649">
        <f>スコア入力!N166</f>
        <v>3</v>
      </c>
      <c r="AG166" s="649">
        <f>スコア入力!P166</f>
        <v>3</v>
      </c>
      <c r="AH166" s="584" t="e">
        <f>スコア入力!AC166</f>
        <v>#DIV/0!</v>
      </c>
      <c r="AI166" s="584" t="e">
        <f>スコア入力!AE166</f>
        <v>#DIV/0!</v>
      </c>
      <c r="AJ166" s="649">
        <f>スコア入力!U166</f>
        <v>0</v>
      </c>
      <c r="AK166" s="649">
        <f>スコア入力!W166</f>
        <v>0</v>
      </c>
      <c r="AL166" s="584" t="e">
        <f>スコア入力!AJ166</f>
        <v>#DIV/0!</v>
      </c>
      <c r="AM166" s="584" t="e">
        <f>スコア入力!AL166</f>
        <v>#DIV/0!</v>
      </c>
      <c r="AN166" s="579"/>
      <c r="AO166" s="667"/>
    </row>
    <row r="167" spans="1:41" ht="13.5">
      <c r="A167" s="399"/>
      <c r="B167" s="340"/>
      <c r="C167" s="296"/>
      <c r="D167" s="297">
        <v>3</v>
      </c>
      <c r="E167" s="317" t="s">
        <v>786</v>
      </c>
      <c r="F167" s="320"/>
      <c r="G167" s="320"/>
      <c r="H167" s="2966"/>
      <c r="I167" s="2967"/>
      <c r="J167" s="2967"/>
      <c r="K167" s="2967"/>
      <c r="L167" s="457" t="e">
        <f t="shared" si="74"/>
        <v>#DIV/0!</v>
      </c>
      <c r="M167" s="457" t="e">
        <f t="shared" si="75"/>
        <v>#DIV/0!</v>
      </c>
      <c r="N167" s="650" t="e">
        <f>スコア入力!AC167</f>
        <v>#DIV/0!</v>
      </c>
      <c r="O167" s="584" t="e">
        <f>スコア入力!AE167</f>
        <v>#DIV/0!</v>
      </c>
      <c r="P167" s="457" t="e">
        <f t="shared" si="76"/>
        <v>#DIV/0!</v>
      </c>
      <c r="Q167" s="457" t="e">
        <f t="shared" si="77"/>
        <v>#DIV/0!</v>
      </c>
      <c r="R167" s="650" t="e">
        <f>スコア入力!AJ167</f>
        <v>#DIV/0!</v>
      </c>
      <c r="S167" s="584" t="e">
        <f>スコア入力!AL167</f>
        <v>#DIV/0!</v>
      </c>
      <c r="T167" s="579"/>
      <c r="U167" s="667"/>
      <c r="W167" s="237">
        <f t="shared" si="79"/>
        <v>3</v>
      </c>
      <c r="X167" s="237">
        <f t="shared" si="78"/>
        <v>3</v>
      </c>
      <c r="Y167" s="236" t="e">
        <f>スコア入力!AA167</f>
        <v>#DIV/0!</v>
      </c>
      <c r="Z167" s="236" t="e">
        <f>スコア入力!AB167</f>
        <v>#DIV/0!</v>
      </c>
      <c r="AA167" s="237">
        <f t="shared" si="71"/>
        <v>0</v>
      </c>
      <c r="AB167" s="237">
        <f t="shared" si="72"/>
        <v>0</v>
      </c>
      <c r="AC167" s="236" t="e">
        <f>スコア入力!AH167</f>
        <v>#DIV/0!</v>
      </c>
      <c r="AD167" s="236" t="e">
        <f>スコア入力!AI167</f>
        <v>#DIV/0!</v>
      </c>
      <c r="AE167" s="6"/>
      <c r="AF167" s="649">
        <f>スコア入力!N167</f>
        <v>3</v>
      </c>
      <c r="AG167" s="649">
        <f>スコア入力!P167</f>
        <v>3</v>
      </c>
      <c r="AH167" s="584" t="e">
        <f>スコア入力!AC167</f>
        <v>#DIV/0!</v>
      </c>
      <c r="AI167" s="584" t="e">
        <f>スコア入力!AE167</f>
        <v>#DIV/0!</v>
      </c>
      <c r="AJ167" s="649">
        <f>スコア入力!U167</f>
        <v>0</v>
      </c>
      <c r="AK167" s="649">
        <f>スコア入力!W167</f>
        <v>0</v>
      </c>
      <c r="AL167" s="584" t="e">
        <f>スコア入力!AJ167</f>
        <v>#DIV/0!</v>
      </c>
      <c r="AM167" s="584" t="e">
        <f>スコア入力!AL167</f>
        <v>#DIV/0!</v>
      </c>
      <c r="AN167" s="579"/>
      <c r="AO167" s="667"/>
    </row>
    <row r="168" spans="1:41" ht="14.25" thickBot="1">
      <c r="A168" s="399"/>
      <c r="B168" s="477"/>
      <c r="C168" s="296"/>
      <c r="D168" s="297">
        <v>4</v>
      </c>
      <c r="E168" s="317" t="s">
        <v>787</v>
      </c>
      <c r="F168" s="320"/>
      <c r="G168" s="320"/>
      <c r="H168" s="2966"/>
      <c r="I168" s="2967"/>
      <c r="J168" s="2967"/>
      <c r="K168" s="2967"/>
      <c r="L168" s="458" t="e">
        <f t="shared" si="74"/>
        <v>#DIV/0!</v>
      </c>
      <c r="M168" s="458" t="e">
        <f t="shared" si="75"/>
        <v>#DIV/0!</v>
      </c>
      <c r="N168" s="650" t="e">
        <f>スコア入力!AC168</f>
        <v>#DIV/0!</v>
      </c>
      <c r="O168" s="584" t="e">
        <f>スコア入力!AE168</f>
        <v>#DIV/0!</v>
      </c>
      <c r="P168" s="458" t="e">
        <f t="shared" si="76"/>
        <v>#DIV/0!</v>
      </c>
      <c r="Q168" s="458" t="e">
        <f t="shared" si="77"/>
        <v>#DIV/0!</v>
      </c>
      <c r="R168" s="650" t="e">
        <f>スコア入力!AJ168</f>
        <v>#DIV/0!</v>
      </c>
      <c r="S168" s="584" t="e">
        <f>スコア入力!AL168</f>
        <v>#DIV/0!</v>
      </c>
      <c r="T168" s="579"/>
      <c r="U168" s="667"/>
      <c r="W168" s="237">
        <f t="shared" si="79"/>
        <v>3</v>
      </c>
      <c r="X168" s="237">
        <f t="shared" si="78"/>
        <v>3</v>
      </c>
      <c r="Y168" s="236" t="e">
        <f>スコア入力!AA168</f>
        <v>#DIV/0!</v>
      </c>
      <c r="Z168" s="236" t="e">
        <f>スコア入力!AB168</f>
        <v>#DIV/0!</v>
      </c>
      <c r="AA168" s="237">
        <f t="shared" si="71"/>
        <v>0</v>
      </c>
      <c r="AB168" s="237">
        <f t="shared" si="72"/>
        <v>0</v>
      </c>
      <c r="AC168" s="236" t="e">
        <f>スコア入力!AH168</f>
        <v>#DIV/0!</v>
      </c>
      <c r="AD168" s="236" t="e">
        <f>スコア入力!AI168</f>
        <v>#DIV/0!</v>
      </c>
      <c r="AE168" s="6"/>
      <c r="AF168" s="600">
        <f>スコア入力!N168</f>
        <v>3</v>
      </c>
      <c r="AG168" s="600">
        <f>スコア入力!P168</f>
        <v>3</v>
      </c>
      <c r="AH168" s="603" t="e">
        <f>スコア入力!AC168</f>
        <v>#DIV/0!</v>
      </c>
      <c r="AI168" s="603" t="e">
        <f>スコア入力!AE168</f>
        <v>#DIV/0!</v>
      </c>
      <c r="AJ168" s="600">
        <f>スコア入力!U168</f>
        <v>0</v>
      </c>
      <c r="AK168" s="600">
        <f>スコア入力!W168</f>
        <v>0</v>
      </c>
      <c r="AL168" s="603" t="e">
        <f>スコア入力!AJ168</f>
        <v>#DIV/0!</v>
      </c>
      <c r="AM168" s="603" t="e">
        <f>スコア入力!AL168</f>
        <v>#DIV/0!</v>
      </c>
      <c r="AN168" s="604"/>
      <c r="AO168" s="668"/>
    </row>
    <row r="169" spans="1:41" ht="13.5">
      <c r="A169" s="399"/>
      <c r="B169" s="652">
        <v>3</v>
      </c>
      <c r="C169" s="319" t="s">
        <v>788</v>
      </c>
      <c r="D169" s="278"/>
      <c r="E169" s="278"/>
      <c r="F169" s="577"/>
      <c r="G169" s="577"/>
      <c r="H169" s="2969"/>
      <c r="I169" s="2970"/>
      <c r="J169" s="2970"/>
      <c r="K169" s="2970"/>
      <c r="L169" s="669" t="e">
        <f t="shared" si="74"/>
        <v>#DIV/0!</v>
      </c>
      <c r="M169" s="669" t="e">
        <f t="shared" si="75"/>
        <v>#DIV/0!</v>
      </c>
      <c r="N169" s="592" t="e">
        <f>スコア入力!AC170</f>
        <v>#DIV/0!</v>
      </c>
      <c r="O169" s="592" t="e">
        <f>スコア入力!AE170</f>
        <v>#DIV/0!</v>
      </c>
      <c r="P169" s="669" t="e">
        <f t="shared" si="76"/>
        <v>#DIV/0!</v>
      </c>
      <c r="Q169" s="669" t="e">
        <f t="shared" si="77"/>
        <v>#DIV/0!</v>
      </c>
      <c r="R169" s="592"/>
      <c r="S169" s="595"/>
      <c r="T169" s="594" t="e">
        <f>ROUNDDOWN(AN169,1)</f>
        <v>#DIV/0!</v>
      </c>
      <c r="U169" s="594" t="e">
        <f>ROUNDDOWN(AO169,1)</f>
        <v>#DIV/0!</v>
      </c>
      <c r="W169" s="568" t="e">
        <f t="shared" si="79"/>
        <v>#DIV/0!</v>
      </c>
      <c r="X169" s="568" t="e">
        <f t="shared" si="78"/>
        <v>#DIV/0!</v>
      </c>
      <c r="Y169" s="236" t="e">
        <f>スコア入力!AA169</f>
        <v>#DIV/0!</v>
      </c>
      <c r="Z169" s="236" t="e">
        <f>スコア入力!AB169</f>
        <v>#DIV/0!</v>
      </c>
      <c r="AA169" s="568" t="e">
        <f t="shared" si="71"/>
        <v>#DIV/0!</v>
      </c>
      <c r="AB169" s="568" t="e">
        <f t="shared" si="72"/>
        <v>#DIV/0!</v>
      </c>
      <c r="AC169" s="236" t="e">
        <f>スコア入力!AH169</f>
        <v>#DIV/0!</v>
      </c>
      <c r="AD169" s="236" t="e">
        <f>スコア入力!AI169</f>
        <v>#DIV/0!</v>
      </c>
      <c r="AE169" s="6"/>
      <c r="AF169" s="670" t="e">
        <f>AF170*AH170+AF174*AH174+AF178*AH178</f>
        <v>#DIV/0!</v>
      </c>
      <c r="AG169" s="590" t="e">
        <f>AG170*AI170+AG174*AI174+AG178*AI178</f>
        <v>#DIV/0!</v>
      </c>
      <c r="AH169" s="671" t="e">
        <f>スコア入力!AC169</f>
        <v>#DIV/0!</v>
      </c>
      <c r="AI169" s="671" t="e">
        <f>スコア入力!AE169</f>
        <v>#DIV/0!</v>
      </c>
      <c r="AJ169" s="670" t="e">
        <f>AJ170*AL170+AJ174*AL174+AJ178*AL178</f>
        <v>#DIV/0!</v>
      </c>
      <c r="AK169" s="590" t="e">
        <f>AK170*AM170+AK174*AM174+AK178*AM178</f>
        <v>#DIV/0!</v>
      </c>
      <c r="AL169" s="671" t="e">
        <f>スコア入力!AJ169</f>
        <v>#DIV/0!</v>
      </c>
      <c r="AM169" s="671" t="e">
        <f>スコア入力!AL169</f>
        <v>#DIV/0!</v>
      </c>
      <c r="AN169" s="672" t="e">
        <f>IF(AJ169=0,AF169,IF(AF169=0,AJ169,AF169*AH$6+AJ169*AL$6))</f>
        <v>#DIV/0!</v>
      </c>
      <c r="AO169" s="672" t="e">
        <f>IF(AK169=0,AG169,IF(AG169=0,AK169,AG169*AI$6+AK169*AM$6))</f>
        <v>#DIV/0!</v>
      </c>
    </row>
    <row r="170" spans="1:41" ht="14.25" thickBot="1">
      <c r="A170" s="399"/>
      <c r="B170" s="493"/>
      <c r="C170" s="657">
        <v>3.1</v>
      </c>
      <c r="D170" s="392" t="s">
        <v>789</v>
      </c>
      <c r="E170" s="412"/>
      <c r="F170" s="320"/>
      <c r="G170" s="320"/>
      <c r="H170" s="2966"/>
      <c r="I170" s="2967"/>
      <c r="J170" s="2967"/>
      <c r="K170" s="2967"/>
      <c r="L170" s="654" t="e">
        <f t="shared" si="74"/>
        <v>#DIV/0!</v>
      </c>
      <c r="M170" s="654" t="e">
        <f t="shared" si="75"/>
        <v>#DIV/0!</v>
      </c>
      <c r="N170" s="578" t="e">
        <f>スコア入力!AC171</f>
        <v>#DIV/0!</v>
      </c>
      <c r="O170" s="578" t="e">
        <f>スコア入力!AE171</f>
        <v>#DIV/0!</v>
      </c>
      <c r="P170" s="654" t="e">
        <f t="shared" si="76"/>
        <v>#DIV/0!</v>
      </c>
      <c r="Q170" s="654" t="e">
        <f t="shared" si="77"/>
        <v>#DIV/0!</v>
      </c>
      <c r="R170" s="578" t="e">
        <f>スコア入力!AJ171</f>
        <v>#DIV/0!</v>
      </c>
      <c r="S170" s="584" t="e">
        <f>スコア入力!AL171</f>
        <v>#DIV/0!</v>
      </c>
      <c r="T170" s="579"/>
      <c r="U170" s="579"/>
      <c r="W170" s="568" t="e">
        <f t="shared" si="79"/>
        <v>#DIV/0!</v>
      </c>
      <c r="X170" s="568" t="e">
        <f t="shared" si="78"/>
        <v>#DIV/0!</v>
      </c>
      <c r="Y170" s="236" t="e">
        <f>スコア入力!AA170</f>
        <v>#DIV/0!</v>
      </c>
      <c r="Z170" s="236" t="e">
        <f>スコア入力!AB170</f>
        <v>#DIV/0!</v>
      </c>
      <c r="AA170" s="568" t="e">
        <f t="shared" si="71"/>
        <v>#DIV/0!</v>
      </c>
      <c r="AB170" s="568" t="e">
        <f t="shared" si="72"/>
        <v>#DIV/0!</v>
      </c>
      <c r="AC170" s="236" t="e">
        <f>スコア入力!AH170</f>
        <v>#DIV/0!</v>
      </c>
      <c r="AD170" s="236" t="e">
        <f>スコア入力!AI170</f>
        <v>#DIV/0!</v>
      </c>
      <c r="AE170" s="6"/>
      <c r="AF170" s="597" t="e">
        <f>SUMPRODUCT(AF171:AF173,AH171:AH173)</f>
        <v>#DIV/0!</v>
      </c>
      <c r="AG170" s="597" t="e">
        <f>SUMPRODUCT(AG171:AG173,AI171:AI173)</f>
        <v>#DIV/0!</v>
      </c>
      <c r="AH170" s="596" t="e">
        <f>スコア入力!AC170</f>
        <v>#DIV/0!</v>
      </c>
      <c r="AI170" s="596" t="e">
        <f>スコア入力!AE170</f>
        <v>#DIV/0!</v>
      </c>
      <c r="AJ170" s="597" t="e">
        <f>SUMPRODUCT(AJ171:AJ173,AL171:AL173)</f>
        <v>#DIV/0!</v>
      </c>
      <c r="AK170" s="597" t="e">
        <f>SUMPRODUCT(AK171:AK173,AM171:AM173)</f>
        <v>#DIV/0!</v>
      </c>
      <c r="AL170" s="596" t="e">
        <f>スコア入力!AJ170</f>
        <v>#DIV/0!</v>
      </c>
      <c r="AM170" s="596" t="e">
        <f>スコア入力!AL170</f>
        <v>#DIV/0!</v>
      </c>
      <c r="AN170" s="579"/>
      <c r="AO170" s="579"/>
    </row>
    <row r="171" spans="1:41" ht="13.5">
      <c r="A171" s="399"/>
      <c r="B171" s="488"/>
      <c r="C171" s="666"/>
      <c r="D171" s="297">
        <v>1</v>
      </c>
      <c r="E171" s="317" t="s">
        <v>790</v>
      </c>
      <c r="F171" s="320"/>
      <c r="G171" s="320"/>
      <c r="H171" s="2966"/>
      <c r="I171" s="2967"/>
      <c r="J171" s="2967"/>
      <c r="K171" s="2967"/>
      <c r="L171" s="456" t="e">
        <f t="shared" si="74"/>
        <v>#DIV/0!</v>
      </c>
      <c r="M171" s="456" t="e">
        <f t="shared" si="75"/>
        <v>#DIV/0!</v>
      </c>
      <c r="N171" s="650" t="e">
        <f>スコア入力!AC171</f>
        <v>#DIV/0!</v>
      </c>
      <c r="O171" s="584" t="e">
        <f>スコア入力!AE171</f>
        <v>#DIV/0!</v>
      </c>
      <c r="P171" s="456" t="e">
        <f t="shared" si="76"/>
        <v>#DIV/0!</v>
      </c>
      <c r="Q171" s="456" t="e">
        <f t="shared" si="77"/>
        <v>#DIV/0!</v>
      </c>
      <c r="R171" s="650" t="e">
        <f>スコア入力!AJ171</f>
        <v>#DIV/0!</v>
      </c>
      <c r="S171" s="584" t="e">
        <f>スコア入力!AL171</f>
        <v>#DIV/0!</v>
      </c>
      <c r="T171" s="579"/>
      <c r="U171" s="579"/>
      <c r="W171" s="237">
        <f t="shared" si="79"/>
        <v>3</v>
      </c>
      <c r="X171" s="237">
        <f t="shared" si="78"/>
        <v>3</v>
      </c>
      <c r="Y171" s="236" t="e">
        <f>スコア入力!AA171</f>
        <v>#DIV/0!</v>
      </c>
      <c r="Z171" s="236" t="e">
        <f>スコア入力!AB171</f>
        <v>#DIV/0!</v>
      </c>
      <c r="AA171" s="237">
        <f t="shared" si="71"/>
        <v>0</v>
      </c>
      <c r="AB171" s="237">
        <f t="shared" si="72"/>
        <v>0</v>
      </c>
      <c r="AC171" s="236" t="e">
        <f>スコア入力!AH171</f>
        <v>#DIV/0!</v>
      </c>
      <c r="AD171" s="236" t="e">
        <f>スコア入力!AI171</f>
        <v>#DIV/0!</v>
      </c>
      <c r="AE171" s="6"/>
      <c r="AF171" s="630">
        <f>スコア入力!N171</f>
        <v>3</v>
      </c>
      <c r="AG171" s="630">
        <f>スコア入力!P171</f>
        <v>3</v>
      </c>
      <c r="AH171" s="578" t="e">
        <f>スコア入力!AC171</f>
        <v>#DIV/0!</v>
      </c>
      <c r="AI171" s="578" t="e">
        <f>スコア入力!AE171</f>
        <v>#DIV/0!</v>
      </c>
      <c r="AJ171" s="630">
        <f>スコア入力!U171</f>
        <v>0</v>
      </c>
      <c r="AK171" s="630">
        <f>スコア入力!W171</f>
        <v>0</v>
      </c>
      <c r="AL171" s="578" t="e">
        <f>スコア入力!AJ171</f>
        <v>#DIV/0!</v>
      </c>
      <c r="AM171" s="578" t="e">
        <f>スコア入力!AL171</f>
        <v>#DIV/0!</v>
      </c>
      <c r="AN171" s="579"/>
      <c r="AO171" s="579"/>
    </row>
    <row r="172" spans="1:41" ht="13.5">
      <c r="A172" s="399"/>
      <c r="B172" s="488"/>
      <c r="C172" s="296"/>
      <c r="D172" s="297">
        <v>2</v>
      </c>
      <c r="E172" s="317" t="s">
        <v>791</v>
      </c>
      <c r="F172" s="320"/>
      <c r="G172" s="320"/>
      <c r="H172" s="2966"/>
      <c r="I172" s="2967"/>
      <c r="J172" s="2967"/>
      <c r="K172" s="2967"/>
      <c r="L172" s="457" t="e">
        <f t="shared" si="74"/>
        <v>#DIV/0!</v>
      </c>
      <c r="M172" s="457" t="e">
        <f t="shared" si="75"/>
        <v>#DIV/0!</v>
      </c>
      <c r="N172" s="650" t="e">
        <f>スコア入力!AC172</f>
        <v>#DIV/0!</v>
      </c>
      <c r="O172" s="584" t="e">
        <f>スコア入力!AE172</f>
        <v>#DIV/0!</v>
      </c>
      <c r="P172" s="457" t="e">
        <f t="shared" si="76"/>
        <v>#DIV/0!</v>
      </c>
      <c r="Q172" s="457" t="e">
        <f t="shared" si="77"/>
        <v>#DIV/0!</v>
      </c>
      <c r="R172" s="650" t="e">
        <f>スコア入力!AJ172</f>
        <v>#DIV/0!</v>
      </c>
      <c r="S172" s="584" t="e">
        <f>スコア入力!AL172</f>
        <v>#DIV/0!</v>
      </c>
      <c r="T172" s="579"/>
      <c r="U172" s="579"/>
      <c r="W172" s="237">
        <f t="shared" si="79"/>
        <v>3</v>
      </c>
      <c r="X172" s="237">
        <f t="shared" si="78"/>
        <v>3</v>
      </c>
      <c r="Y172" s="236" t="e">
        <f>スコア入力!AA172</f>
        <v>#DIV/0!</v>
      </c>
      <c r="Z172" s="236" t="e">
        <f>スコア入力!AB172</f>
        <v>#DIV/0!</v>
      </c>
      <c r="AA172" s="237">
        <f t="shared" si="71"/>
        <v>0</v>
      </c>
      <c r="AB172" s="237">
        <f t="shared" si="72"/>
        <v>0</v>
      </c>
      <c r="AC172" s="236" t="e">
        <f>スコア入力!AH172</f>
        <v>#DIV/0!</v>
      </c>
      <c r="AD172" s="236" t="e">
        <f>スコア入力!AI172</f>
        <v>#DIV/0!</v>
      </c>
      <c r="AE172" s="6"/>
      <c r="AF172" s="649">
        <f>スコア入力!N172</f>
        <v>3</v>
      </c>
      <c r="AG172" s="649">
        <f>スコア入力!P172</f>
        <v>3</v>
      </c>
      <c r="AH172" s="578" t="e">
        <f>スコア入力!AC172</f>
        <v>#DIV/0!</v>
      </c>
      <c r="AI172" s="578" t="e">
        <f>スコア入力!AE172</f>
        <v>#DIV/0!</v>
      </c>
      <c r="AJ172" s="649">
        <f>スコア入力!U172</f>
        <v>0</v>
      </c>
      <c r="AK172" s="649">
        <f>スコア入力!W172</f>
        <v>0</v>
      </c>
      <c r="AL172" s="578" t="e">
        <f>スコア入力!AJ172</f>
        <v>#DIV/0!</v>
      </c>
      <c r="AM172" s="578" t="e">
        <f>スコア入力!AL172</f>
        <v>#DIV/0!</v>
      </c>
      <c r="AN172" s="579"/>
      <c r="AO172" s="579"/>
    </row>
    <row r="173" spans="1:41" ht="14.25" thickBot="1">
      <c r="A173" s="399"/>
      <c r="B173" s="340"/>
      <c r="C173" s="296"/>
      <c r="D173" s="297">
        <v>3</v>
      </c>
      <c r="E173" s="317" t="s">
        <v>792</v>
      </c>
      <c r="F173" s="320"/>
      <c r="G173" s="320"/>
      <c r="H173" s="2966"/>
      <c r="I173" s="2967"/>
      <c r="J173" s="2967"/>
      <c r="K173" s="2967"/>
      <c r="L173" s="458" t="e">
        <f t="shared" si="74"/>
        <v>#DIV/0!</v>
      </c>
      <c r="M173" s="458" t="e">
        <f t="shared" si="75"/>
        <v>#DIV/0!</v>
      </c>
      <c r="N173" s="650" t="e">
        <f>スコア入力!AC173</f>
        <v>#DIV/0!</v>
      </c>
      <c r="O173" s="584" t="e">
        <f>スコア入力!AE173</f>
        <v>#DIV/0!</v>
      </c>
      <c r="P173" s="458" t="e">
        <f t="shared" si="76"/>
        <v>#DIV/0!</v>
      </c>
      <c r="Q173" s="458" t="e">
        <f t="shared" si="77"/>
        <v>#DIV/0!</v>
      </c>
      <c r="R173" s="650" t="e">
        <f>スコア入力!AJ173</f>
        <v>#DIV/0!</v>
      </c>
      <c r="S173" s="584" t="e">
        <f>スコア入力!AL173</f>
        <v>#DIV/0!</v>
      </c>
      <c r="T173" s="579"/>
      <c r="U173" s="579"/>
      <c r="W173" s="237">
        <f t="shared" si="79"/>
        <v>3</v>
      </c>
      <c r="X173" s="237">
        <f t="shared" si="78"/>
        <v>3</v>
      </c>
      <c r="Y173" s="236" t="e">
        <f>スコア入力!AA173</f>
        <v>#DIV/0!</v>
      </c>
      <c r="Z173" s="236" t="e">
        <f>スコア入力!AB173</f>
        <v>#DIV/0!</v>
      </c>
      <c r="AA173" s="237">
        <f t="shared" si="71"/>
        <v>0</v>
      </c>
      <c r="AB173" s="237">
        <f t="shared" si="72"/>
        <v>0</v>
      </c>
      <c r="AC173" s="236" t="e">
        <f>スコア入力!AH173</f>
        <v>#DIV/0!</v>
      </c>
      <c r="AD173" s="236" t="e">
        <f>スコア入力!AI173</f>
        <v>#DIV/0!</v>
      </c>
      <c r="AE173" s="6"/>
      <c r="AF173" s="600">
        <f>スコア入力!N173</f>
        <v>3</v>
      </c>
      <c r="AG173" s="600">
        <f>スコア入力!P173</f>
        <v>3</v>
      </c>
      <c r="AH173" s="578" t="e">
        <f>スコア入力!AC173</f>
        <v>#DIV/0!</v>
      </c>
      <c r="AI173" s="578" t="e">
        <f>スコア入力!AE173</f>
        <v>#DIV/0!</v>
      </c>
      <c r="AJ173" s="600">
        <f>スコア入力!U173</f>
        <v>0</v>
      </c>
      <c r="AK173" s="600">
        <f>スコア入力!W173</f>
        <v>0</v>
      </c>
      <c r="AL173" s="578" t="e">
        <f>スコア入力!AJ173</f>
        <v>#DIV/0!</v>
      </c>
      <c r="AM173" s="578" t="e">
        <f>スコア入力!AL173</f>
        <v>#DIV/0!</v>
      </c>
      <c r="AN173" s="579"/>
      <c r="AO173" s="579"/>
    </row>
    <row r="174" spans="1:41" ht="14.25" thickBot="1">
      <c r="A174" s="399"/>
      <c r="B174" s="493"/>
      <c r="C174" s="657">
        <v>3.2</v>
      </c>
      <c r="D174" s="392" t="s">
        <v>1838</v>
      </c>
      <c r="E174" s="407"/>
      <c r="F174" s="320"/>
      <c r="G174" s="320"/>
      <c r="H174" s="2966"/>
      <c r="I174" s="2967"/>
      <c r="J174" s="2967"/>
      <c r="K174" s="2967"/>
      <c r="L174" s="654" t="e">
        <f t="shared" si="74"/>
        <v>#DIV/0!</v>
      </c>
      <c r="M174" s="654" t="e">
        <f t="shared" si="75"/>
        <v>#DIV/0!</v>
      </c>
      <c r="N174" s="578" t="e">
        <f>スコア入力!AC174</f>
        <v>#DIV/0!</v>
      </c>
      <c r="O174" s="578" t="e">
        <f>スコア入力!AE174</f>
        <v>#DIV/0!</v>
      </c>
      <c r="P174" s="654" t="e">
        <f t="shared" si="76"/>
        <v>#DIV/0!</v>
      </c>
      <c r="Q174" s="654" t="e">
        <f t="shared" si="77"/>
        <v>#DIV/0!</v>
      </c>
      <c r="R174" s="578" t="e">
        <f>スコア入力!AJ174</f>
        <v>#DIV/0!</v>
      </c>
      <c r="S174" s="584" t="e">
        <f>スコア入力!AL174</f>
        <v>#DIV/0!</v>
      </c>
      <c r="T174" s="579"/>
      <c r="U174" s="579"/>
      <c r="W174" s="598" t="e">
        <f t="shared" si="79"/>
        <v>#DIV/0!</v>
      </c>
      <c r="X174" s="598" t="e">
        <f t="shared" si="78"/>
        <v>#DIV/0!</v>
      </c>
      <c r="Y174" s="236" t="e">
        <f>スコア入力!AA174</f>
        <v>#DIV/0!</v>
      </c>
      <c r="Z174" s="236" t="e">
        <f>スコア入力!AB174</f>
        <v>#DIV/0!</v>
      </c>
      <c r="AA174" s="598" t="e">
        <f t="shared" si="71"/>
        <v>#DIV/0!</v>
      </c>
      <c r="AB174" s="598" t="e">
        <f t="shared" si="72"/>
        <v>#DIV/0!</v>
      </c>
      <c r="AC174" s="236" t="e">
        <f>スコア入力!AH174</f>
        <v>#DIV/0!</v>
      </c>
      <c r="AD174" s="236" t="e">
        <f>スコア入力!AI174</f>
        <v>#DIV/0!</v>
      </c>
      <c r="AE174" s="6"/>
      <c r="AF174" s="597" t="e">
        <f>SUMPRODUCT(AF175:AF177,AH175:AH177)</f>
        <v>#DIV/0!</v>
      </c>
      <c r="AG174" s="597" t="e">
        <f>SUMPRODUCT(AG175:AG177,AI175:AI177)</f>
        <v>#DIV/0!</v>
      </c>
      <c r="AH174" s="578" t="e">
        <f>スコア入力!AC174</f>
        <v>#DIV/0!</v>
      </c>
      <c r="AI174" s="578" t="e">
        <f>スコア入力!AE174</f>
        <v>#DIV/0!</v>
      </c>
      <c r="AJ174" s="597" t="e">
        <f>SUMPRODUCT(AJ175:AJ177,AL175:AL177)</f>
        <v>#DIV/0!</v>
      </c>
      <c r="AK174" s="597" t="e">
        <f>SUMPRODUCT(AK175:AK177,AM175:AM177)</f>
        <v>#DIV/0!</v>
      </c>
      <c r="AL174" s="578" t="e">
        <f>スコア入力!AJ174</f>
        <v>#DIV/0!</v>
      </c>
      <c r="AM174" s="578" t="e">
        <f>スコア入力!AL174</f>
        <v>#DIV/0!</v>
      </c>
      <c r="AN174" s="579"/>
      <c r="AO174" s="579"/>
    </row>
    <row r="175" spans="1:41" ht="13.5">
      <c r="A175" s="399"/>
      <c r="B175" s="485"/>
      <c r="C175" s="666"/>
      <c r="D175" s="297">
        <v>1</v>
      </c>
      <c r="E175" s="392" t="s">
        <v>821</v>
      </c>
      <c r="F175" s="320"/>
      <c r="G175" s="320"/>
      <c r="H175" s="2966"/>
      <c r="I175" s="2967"/>
      <c r="J175" s="2967"/>
      <c r="K175" s="2967"/>
      <c r="L175" s="456" t="e">
        <f t="shared" ref="L175:M177" si="80">IF(Y175=0,0,ROUNDDOWN(AF175,1))</f>
        <v>#DIV/0!</v>
      </c>
      <c r="M175" s="456" t="e">
        <f t="shared" si="80"/>
        <v>#DIV/0!</v>
      </c>
      <c r="N175" s="650" t="e">
        <f>スコア入力!AC175</f>
        <v>#DIV/0!</v>
      </c>
      <c r="O175" s="584" t="e">
        <f>スコア入力!AE175</f>
        <v>#DIV/0!</v>
      </c>
      <c r="P175" s="456" t="e">
        <f t="shared" ref="P175:Q177" si="81">IF(AC175=0,0,ROUNDDOWN(AJ175,1))</f>
        <v>#DIV/0!</v>
      </c>
      <c r="Q175" s="456" t="e">
        <f t="shared" si="81"/>
        <v>#DIV/0!</v>
      </c>
      <c r="R175" s="650" t="e">
        <f>スコア入力!AJ175</f>
        <v>#DIV/0!</v>
      </c>
      <c r="S175" s="584" t="e">
        <f>スコア入力!AL175</f>
        <v>#DIV/0!</v>
      </c>
      <c r="T175" s="579"/>
      <c r="U175" s="579"/>
      <c r="W175" s="237">
        <f t="shared" si="79"/>
        <v>3</v>
      </c>
      <c r="X175" s="237">
        <f t="shared" si="78"/>
        <v>3</v>
      </c>
      <c r="Y175" s="236" t="e">
        <f>スコア入力!AA175</f>
        <v>#DIV/0!</v>
      </c>
      <c r="Z175" s="236" t="e">
        <f>スコア入力!AB175</f>
        <v>#DIV/0!</v>
      </c>
      <c r="AA175" s="237">
        <f t="shared" si="71"/>
        <v>0</v>
      </c>
      <c r="AB175" s="237">
        <f t="shared" si="72"/>
        <v>0</v>
      </c>
      <c r="AC175" s="236" t="e">
        <f>スコア入力!AH175</f>
        <v>#DIV/0!</v>
      </c>
      <c r="AD175" s="236" t="e">
        <f>スコア入力!AI175</f>
        <v>#DIV/0!</v>
      </c>
      <c r="AE175" s="6"/>
      <c r="AF175" s="630">
        <f>スコア入力!N175</f>
        <v>3</v>
      </c>
      <c r="AG175" s="630">
        <f>スコア入力!P175</f>
        <v>3</v>
      </c>
      <c r="AH175" s="578" t="e">
        <f>スコア入力!AC175</f>
        <v>#DIV/0!</v>
      </c>
      <c r="AI175" s="578" t="e">
        <f>スコア入力!AE175</f>
        <v>#DIV/0!</v>
      </c>
      <c r="AJ175" s="630">
        <f>スコア入力!U175</f>
        <v>0</v>
      </c>
      <c r="AK175" s="630">
        <f>スコア入力!W175</f>
        <v>0</v>
      </c>
      <c r="AL175" s="578" t="e">
        <f>スコア入力!AJ175</f>
        <v>#DIV/0!</v>
      </c>
      <c r="AM175" s="578" t="e">
        <f>スコア入力!AL175</f>
        <v>#DIV/0!</v>
      </c>
      <c r="AN175" s="579"/>
      <c r="AO175" s="579"/>
    </row>
    <row r="176" spans="1:41" ht="13.5">
      <c r="A176" s="399"/>
      <c r="B176" s="493"/>
      <c r="C176" s="296"/>
      <c r="D176" s="297">
        <v>2</v>
      </c>
      <c r="E176" s="392" t="s">
        <v>1110</v>
      </c>
      <c r="F176" s="320"/>
      <c r="G176" s="320"/>
      <c r="H176" s="2966"/>
      <c r="I176" s="2967"/>
      <c r="J176" s="2967"/>
      <c r="K176" s="2967"/>
      <c r="L176" s="457" t="e">
        <f t="shared" si="80"/>
        <v>#DIV/0!</v>
      </c>
      <c r="M176" s="457" t="e">
        <f t="shared" si="80"/>
        <v>#DIV/0!</v>
      </c>
      <c r="N176" s="650" t="e">
        <f>スコア入力!AC176</f>
        <v>#DIV/0!</v>
      </c>
      <c r="O176" s="584" t="e">
        <f>スコア入力!AE176</f>
        <v>#DIV/0!</v>
      </c>
      <c r="P176" s="457" t="e">
        <f t="shared" si="81"/>
        <v>#DIV/0!</v>
      </c>
      <c r="Q176" s="457" t="e">
        <f t="shared" si="81"/>
        <v>#DIV/0!</v>
      </c>
      <c r="R176" s="650" t="e">
        <f>スコア入力!AJ176</f>
        <v>#DIV/0!</v>
      </c>
      <c r="S176" s="584" t="e">
        <f>スコア入力!AL176</f>
        <v>#DIV/0!</v>
      </c>
      <c r="T176" s="579"/>
      <c r="U176" s="579"/>
      <c r="W176" s="237">
        <f t="shared" si="79"/>
        <v>3</v>
      </c>
      <c r="X176" s="237">
        <f t="shared" si="78"/>
        <v>3</v>
      </c>
      <c r="Y176" s="236" t="e">
        <f>スコア入力!AA176</f>
        <v>#DIV/0!</v>
      </c>
      <c r="Z176" s="236" t="e">
        <f>スコア入力!AB176</f>
        <v>#DIV/0!</v>
      </c>
      <c r="AA176" s="237">
        <f t="shared" si="71"/>
        <v>0</v>
      </c>
      <c r="AB176" s="237">
        <f t="shared" si="72"/>
        <v>0</v>
      </c>
      <c r="AC176" s="236" t="e">
        <f>スコア入力!AH176</f>
        <v>#DIV/0!</v>
      </c>
      <c r="AD176" s="236" t="e">
        <f>スコア入力!AI176</f>
        <v>#DIV/0!</v>
      </c>
      <c r="AE176" s="6"/>
      <c r="AF176" s="649">
        <f>スコア入力!N176</f>
        <v>3</v>
      </c>
      <c r="AG176" s="649">
        <f>スコア入力!P176</f>
        <v>3</v>
      </c>
      <c r="AH176" s="578" t="e">
        <f>スコア入力!AC176</f>
        <v>#DIV/0!</v>
      </c>
      <c r="AI176" s="578" t="e">
        <f>スコア入力!AE176</f>
        <v>#DIV/0!</v>
      </c>
      <c r="AJ176" s="649">
        <f>スコア入力!U176</f>
        <v>0</v>
      </c>
      <c r="AK176" s="649">
        <f>スコア入力!W176</f>
        <v>0</v>
      </c>
      <c r="AL176" s="578" t="e">
        <f>スコア入力!AJ176</f>
        <v>#DIV/0!</v>
      </c>
      <c r="AM176" s="578" t="e">
        <f>スコア入力!AL176</f>
        <v>#DIV/0!</v>
      </c>
      <c r="AN176" s="579"/>
      <c r="AO176" s="579"/>
    </row>
    <row r="177" spans="1:41" ht="14.25" thickBot="1">
      <c r="A177" s="399"/>
      <c r="B177" s="493"/>
      <c r="C177" s="296"/>
      <c r="D177" s="391">
        <v>3</v>
      </c>
      <c r="E177" s="392" t="s">
        <v>1111</v>
      </c>
      <c r="F177" s="320"/>
      <c r="G177" s="320"/>
      <c r="H177" s="2966"/>
      <c r="I177" s="2978"/>
      <c r="J177" s="2978"/>
      <c r="K177" s="2979"/>
      <c r="L177" s="458" t="e">
        <f t="shared" si="80"/>
        <v>#DIV/0!</v>
      </c>
      <c r="M177" s="458" t="e">
        <f t="shared" si="80"/>
        <v>#DIV/0!</v>
      </c>
      <c r="N177" s="650" t="e">
        <f>スコア入力!AC177</f>
        <v>#DIV/0!</v>
      </c>
      <c r="O177" s="584" t="e">
        <f>スコア入力!AE177</f>
        <v>#DIV/0!</v>
      </c>
      <c r="P177" s="458" t="e">
        <f t="shared" si="81"/>
        <v>#DIV/0!</v>
      </c>
      <c r="Q177" s="458" t="e">
        <f t="shared" si="81"/>
        <v>#DIV/0!</v>
      </c>
      <c r="R177" s="650" t="e">
        <f>スコア入力!AJ177</f>
        <v>#DIV/0!</v>
      </c>
      <c r="S177" s="584" t="e">
        <f>スコア入力!AL177</f>
        <v>#DIV/0!</v>
      </c>
      <c r="T177" s="579"/>
      <c r="U177" s="579"/>
      <c r="W177" s="237">
        <f>AF177</f>
        <v>3</v>
      </c>
      <c r="X177" s="237">
        <f>AG177</f>
        <v>3</v>
      </c>
      <c r="Y177" s="236" t="e">
        <f>スコア入力!AA177</f>
        <v>#DIV/0!</v>
      </c>
      <c r="Z177" s="236" t="e">
        <f>スコア入力!AB177</f>
        <v>#DIV/0!</v>
      </c>
      <c r="AA177" s="237">
        <f>AJ177</f>
        <v>0</v>
      </c>
      <c r="AB177" s="237">
        <f>AK177</f>
        <v>0</v>
      </c>
      <c r="AC177" s="236" t="e">
        <f>スコア入力!AH177</f>
        <v>#DIV/0!</v>
      </c>
      <c r="AD177" s="236" t="e">
        <f>スコア入力!AI177</f>
        <v>#DIV/0!</v>
      </c>
      <c r="AE177" s="6"/>
      <c r="AF177" s="600">
        <f>スコア入力!N177</f>
        <v>3</v>
      </c>
      <c r="AG177" s="600">
        <f>スコア入力!P177</f>
        <v>3</v>
      </c>
      <c r="AH177" s="578" t="e">
        <f>スコア入力!AC177</f>
        <v>#DIV/0!</v>
      </c>
      <c r="AI177" s="578" t="e">
        <f>スコア入力!AE177</f>
        <v>#DIV/0!</v>
      </c>
      <c r="AJ177" s="600">
        <f>スコア入力!U177</f>
        <v>0</v>
      </c>
      <c r="AK177" s="600">
        <f>スコア入力!W177</f>
        <v>0</v>
      </c>
      <c r="AL177" s="578" t="e">
        <f>スコア入力!AJ177</f>
        <v>#DIV/0!</v>
      </c>
      <c r="AM177" s="578" t="e">
        <f>スコア入力!AL177</f>
        <v>#DIV/0!</v>
      </c>
      <c r="AN177" s="579"/>
      <c r="AO177" s="579"/>
    </row>
    <row r="178" spans="1:41" ht="14.25" thickBot="1">
      <c r="A178" s="399"/>
      <c r="B178" s="478"/>
      <c r="C178" s="657">
        <v>3.3</v>
      </c>
      <c r="D178" s="392" t="s">
        <v>793</v>
      </c>
      <c r="E178" s="412"/>
      <c r="F178" s="320"/>
      <c r="G178" s="320"/>
      <c r="H178" s="2966"/>
      <c r="I178" s="2967"/>
      <c r="J178" s="2967"/>
      <c r="K178" s="2967"/>
      <c r="L178" s="654" t="e">
        <f t="shared" si="74"/>
        <v>#DIV/0!</v>
      </c>
      <c r="M178" s="654" t="e">
        <f t="shared" si="75"/>
        <v>#DIV/0!</v>
      </c>
      <c r="N178" s="578" t="e">
        <f>スコア入力!AC178</f>
        <v>#DIV/0!</v>
      </c>
      <c r="O178" s="578" t="e">
        <f>スコア入力!AE178</f>
        <v>#DIV/0!</v>
      </c>
      <c r="P178" s="654" t="e">
        <f t="shared" si="76"/>
        <v>#DIV/0!</v>
      </c>
      <c r="Q178" s="654" t="e">
        <f t="shared" si="77"/>
        <v>#DIV/0!</v>
      </c>
      <c r="R178" s="578" t="e">
        <f>スコア入力!AJ178</f>
        <v>#DIV/0!</v>
      </c>
      <c r="S178" s="584" t="e">
        <f>スコア入力!AL178</f>
        <v>#DIV/0!</v>
      </c>
      <c r="T178" s="579"/>
      <c r="U178" s="579"/>
      <c r="W178" s="598" t="e">
        <f t="shared" si="79"/>
        <v>#DIV/0!</v>
      </c>
      <c r="X178" s="598" t="e">
        <f t="shared" si="78"/>
        <v>#DIV/0!</v>
      </c>
      <c r="Y178" s="236" t="e">
        <f>スコア入力!AA178</f>
        <v>#DIV/0!</v>
      </c>
      <c r="Z178" s="236" t="e">
        <f>スコア入力!AB178</f>
        <v>#DIV/0!</v>
      </c>
      <c r="AA178" s="598" t="e">
        <f t="shared" si="71"/>
        <v>#DIV/0!</v>
      </c>
      <c r="AB178" s="598" t="e">
        <f t="shared" si="72"/>
        <v>#DIV/0!</v>
      </c>
      <c r="AC178" s="236" t="e">
        <f>スコア入力!AH178</f>
        <v>#DIV/0!</v>
      </c>
      <c r="AD178" s="236" t="e">
        <f>スコア入力!AI178</f>
        <v>#DIV/0!</v>
      </c>
      <c r="AE178" s="6"/>
      <c r="AF178" s="597" t="e">
        <f>SUMPRODUCT(AF179:AF180,AH179:AH180)</f>
        <v>#DIV/0!</v>
      </c>
      <c r="AG178" s="597" t="e">
        <f>SUMPRODUCT(AG179:AG180,AI179:AI180)</f>
        <v>#DIV/0!</v>
      </c>
      <c r="AH178" s="578" t="e">
        <f>スコア入力!AC178</f>
        <v>#DIV/0!</v>
      </c>
      <c r="AI178" s="578" t="e">
        <f>スコア入力!AE178</f>
        <v>#DIV/0!</v>
      </c>
      <c r="AJ178" s="597" t="e">
        <f>SUMPRODUCT(AJ179:AJ180,AL179:AL180)</f>
        <v>#DIV/0!</v>
      </c>
      <c r="AK178" s="597" t="e">
        <f>SUMPRODUCT(AK179:AK180,AM179:AM180)</f>
        <v>#DIV/0!</v>
      </c>
      <c r="AL178" s="578" t="e">
        <f>スコア入力!AJ178</f>
        <v>#DIV/0!</v>
      </c>
      <c r="AM178" s="578" t="e">
        <f>スコア入力!AL178</f>
        <v>#DIV/0!</v>
      </c>
      <c r="AN178" s="579"/>
      <c r="AO178" s="579"/>
    </row>
    <row r="179" spans="1:41" ht="13.5">
      <c r="A179" s="399"/>
      <c r="B179" s="485"/>
      <c r="C179" s="296"/>
      <c r="D179" s="297">
        <v>1</v>
      </c>
      <c r="E179" s="317" t="s">
        <v>796</v>
      </c>
      <c r="F179" s="320"/>
      <c r="G179" s="320"/>
      <c r="H179" s="2966"/>
      <c r="I179" s="2967"/>
      <c r="J179" s="2967"/>
      <c r="K179" s="2967"/>
      <c r="L179" s="456" t="e">
        <f t="shared" si="74"/>
        <v>#DIV/0!</v>
      </c>
      <c r="M179" s="456" t="e">
        <f t="shared" si="75"/>
        <v>#DIV/0!</v>
      </c>
      <c r="N179" s="650" t="e">
        <f>スコア入力!AC179</f>
        <v>#DIV/0!</v>
      </c>
      <c r="O179" s="584" t="e">
        <f>スコア入力!AE179</f>
        <v>#DIV/0!</v>
      </c>
      <c r="P179" s="456" t="e">
        <f t="shared" si="76"/>
        <v>#DIV/0!</v>
      </c>
      <c r="Q179" s="456" t="e">
        <f t="shared" si="77"/>
        <v>#DIV/0!</v>
      </c>
      <c r="R179" s="650" t="e">
        <f>スコア入力!AJ179</f>
        <v>#DIV/0!</v>
      </c>
      <c r="S179" s="584" t="e">
        <f>スコア入力!AL179</f>
        <v>#DIV/0!</v>
      </c>
      <c r="T179" s="579"/>
      <c r="U179" s="579"/>
      <c r="W179" s="237">
        <f t="shared" si="79"/>
        <v>3</v>
      </c>
      <c r="X179" s="237">
        <f t="shared" si="78"/>
        <v>3</v>
      </c>
      <c r="Y179" s="236" t="e">
        <f>スコア入力!AA179</f>
        <v>#DIV/0!</v>
      </c>
      <c r="Z179" s="236" t="e">
        <f>スコア入力!AB179</f>
        <v>#DIV/0!</v>
      </c>
      <c r="AA179" s="237">
        <f t="shared" si="71"/>
        <v>0</v>
      </c>
      <c r="AB179" s="237">
        <f t="shared" si="72"/>
        <v>0</v>
      </c>
      <c r="AC179" s="236" t="e">
        <f>スコア入力!AH179</f>
        <v>#DIV/0!</v>
      </c>
      <c r="AD179" s="236" t="e">
        <f>スコア入力!AI179</f>
        <v>#DIV/0!</v>
      </c>
      <c r="AE179" s="6"/>
      <c r="AF179" s="630">
        <f>スコア入力!N179</f>
        <v>3</v>
      </c>
      <c r="AG179" s="630">
        <f>スコア入力!P179</f>
        <v>3</v>
      </c>
      <c r="AH179" s="578" t="e">
        <f>スコア入力!AC179</f>
        <v>#DIV/0!</v>
      </c>
      <c r="AI179" s="578" t="e">
        <f>スコア入力!AE179</f>
        <v>#DIV/0!</v>
      </c>
      <c r="AJ179" s="630">
        <f>スコア入力!U179</f>
        <v>0</v>
      </c>
      <c r="AK179" s="630">
        <f>スコア入力!W179</f>
        <v>0</v>
      </c>
      <c r="AL179" s="578" t="e">
        <f>スコア入力!AJ179</f>
        <v>#DIV/0!</v>
      </c>
      <c r="AM179" s="578" t="e">
        <f>スコア入力!AL179</f>
        <v>#DIV/0!</v>
      </c>
      <c r="AN179" s="579"/>
      <c r="AO179" s="579"/>
    </row>
    <row r="180" spans="1:41" ht="14.25" thickBot="1">
      <c r="A180" s="399"/>
      <c r="B180" s="497"/>
      <c r="C180" s="348"/>
      <c r="D180" s="349">
        <v>2</v>
      </c>
      <c r="E180" s="2957" t="s">
        <v>797</v>
      </c>
      <c r="F180" s="2958"/>
      <c r="G180" s="602"/>
      <c r="H180" s="2964"/>
      <c r="I180" s="2965"/>
      <c r="J180" s="2965"/>
      <c r="K180" s="2965"/>
      <c r="L180" s="458" t="e">
        <f t="shared" si="74"/>
        <v>#DIV/0!</v>
      </c>
      <c r="M180" s="458" t="e">
        <f t="shared" si="75"/>
        <v>#DIV/0!</v>
      </c>
      <c r="N180" s="658" t="e">
        <f>スコア入力!AC180</f>
        <v>#DIV/0!</v>
      </c>
      <c r="O180" s="603" t="e">
        <f>スコア入力!AE180</f>
        <v>#DIV/0!</v>
      </c>
      <c r="P180" s="458" t="e">
        <f t="shared" si="76"/>
        <v>#DIV/0!</v>
      </c>
      <c r="Q180" s="458" t="e">
        <f t="shared" si="77"/>
        <v>#DIV/0!</v>
      </c>
      <c r="R180" s="658" t="e">
        <f>スコア入力!AJ180</f>
        <v>#DIV/0!</v>
      </c>
      <c r="S180" s="603" t="e">
        <f>スコア入力!AL180</f>
        <v>#DIV/0!</v>
      </c>
      <c r="T180" s="604"/>
      <c r="U180" s="604"/>
      <c r="W180" s="237">
        <f t="shared" si="79"/>
        <v>3</v>
      </c>
      <c r="X180" s="237">
        <f t="shared" si="78"/>
        <v>3</v>
      </c>
      <c r="Y180" s="236" t="e">
        <f>スコア入力!AA180</f>
        <v>#DIV/0!</v>
      </c>
      <c r="Z180" s="236" t="e">
        <f>スコア入力!AB180</f>
        <v>#DIV/0!</v>
      </c>
      <c r="AA180" s="237">
        <f t="shared" si="71"/>
        <v>0</v>
      </c>
      <c r="AB180" s="237">
        <f t="shared" si="72"/>
        <v>0</v>
      </c>
      <c r="AC180" s="236" t="e">
        <f>スコア入力!AH180</f>
        <v>#DIV/0!</v>
      </c>
      <c r="AD180" s="236" t="e">
        <f>スコア入力!AI180</f>
        <v>#DIV/0!</v>
      </c>
      <c r="AE180" s="6"/>
      <c r="AF180" s="600">
        <f>スコア入力!N180</f>
        <v>3</v>
      </c>
      <c r="AG180" s="600">
        <f>スコア入力!P180</f>
        <v>3</v>
      </c>
      <c r="AH180" s="627" t="e">
        <f>スコア入力!AC180</f>
        <v>#DIV/0!</v>
      </c>
      <c r="AI180" s="627" t="e">
        <f>スコア入力!AE180</f>
        <v>#DIV/0!</v>
      </c>
      <c r="AJ180" s="600">
        <f>スコア入力!U180</f>
        <v>0</v>
      </c>
      <c r="AK180" s="600">
        <f>スコア入力!W180</f>
        <v>0</v>
      </c>
      <c r="AL180" s="627" t="e">
        <f>スコア入力!AJ180</f>
        <v>#DIV/0!</v>
      </c>
      <c r="AM180" s="627" t="e">
        <f>スコア入力!AL180</f>
        <v>#DIV/0!</v>
      </c>
      <c r="AN180" s="604"/>
      <c r="AO180" s="604"/>
    </row>
    <row r="181" spans="1:41" ht="13.5">
      <c r="A181"/>
      <c r="B181"/>
      <c r="C181" s="502"/>
      <c r="D181" s="503"/>
      <c r="E181" s="504"/>
      <c r="F181" s="204"/>
      <c r="G181" s="187"/>
      <c r="H181" s="505"/>
      <c r="J181" s="505"/>
      <c r="K181" s="505"/>
      <c r="L181" s="505"/>
      <c r="M181" s="505"/>
      <c r="N181" s="505"/>
      <c r="O181" s="505"/>
      <c r="P181" s="505"/>
      <c r="Q181" s="505"/>
      <c r="R181" s="505"/>
      <c r="S181" s="505"/>
      <c r="T181" s="505"/>
      <c r="U181" s="505"/>
      <c r="V181" s="506"/>
      <c r="W181" s="506"/>
      <c r="X181" s="506"/>
      <c r="Y181" s="673"/>
      <c r="Z181" s="673"/>
      <c r="AA181" s="674"/>
      <c r="AB181" s="205"/>
      <c r="AC181" s="205"/>
      <c r="AD181" s="675"/>
      <c r="AE181" s="675"/>
      <c r="AF181" s="675"/>
      <c r="AH181" s="675"/>
      <c r="AI181" s="675"/>
      <c r="AJ181" s="675"/>
    </row>
    <row r="182" spans="1:41" ht="12" hidden="1" customHeight="1"/>
    <row r="183" spans="1:41" ht="12" hidden="1" customHeight="1"/>
  </sheetData>
  <sheetProtection password="CC47" sheet="1" objects="1" scenarios="1" formatRows="0"/>
  <mergeCells count="178">
    <mergeCell ref="H10:K10"/>
    <mergeCell ref="H11:K11"/>
    <mergeCell ref="H12:K12"/>
    <mergeCell ref="H13:K13"/>
    <mergeCell ref="H14:K14"/>
    <mergeCell ref="H30:K30"/>
    <mergeCell ref="H31:K31"/>
    <mergeCell ref="H32:K32"/>
    <mergeCell ref="H33:K33"/>
    <mergeCell ref="H22:K22"/>
    <mergeCell ref="H15:K15"/>
    <mergeCell ref="H26:K26"/>
    <mergeCell ref="H27:K27"/>
    <mergeCell ref="H16:K16"/>
    <mergeCell ref="H17:K17"/>
    <mergeCell ref="H23:K23"/>
    <mergeCell ref="H20:K20"/>
    <mergeCell ref="H18:K18"/>
    <mergeCell ref="H19:K19"/>
    <mergeCell ref="H21:K21"/>
    <mergeCell ref="H24:K24"/>
    <mergeCell ref="H25:K25"/>
    <mergeCell ref="H28:K28"/>
    <mergeCell ref="H29:K29"/>
    <mergeCell ref="H41:K41"/>
    <mergeCell ref="H40:K40"/>
    <mergeCell ref="H39:K39"/>
    <mergeCell ref="H38:K38"/>
    <mergeCell ref="H36:K36"/>
    <mergeCell ref="H35:K35"/>
    <mergeCell ref="H45:K45"/>
    <mergeCell ref="H44:K44"/>
    <mergeCell ref="H43:K43"/>
    <mergeCell ref="H37:K37"/>
    <mergeCell ref="H42:K42"/>
    <mergeCell ref="H34:K34"/>
    <mergeCell ref="H46:K46"/>
    <mergeCell ref="H62:K62"/>
    <mergeCell ref="H60:K60"/>
    <mergeCell ref="H61:K61"/>
    <mergeCell ref="H59:K59"/>
    <mergeCell ref="H58:K58"/>
    <mergeCell ref="H57:K57"/>
    <mergeCell ref="H68:K68"/>
    <mergeCell ref="H67:K67"/>
    <mergeCell ref="H66:K66"/>
    <mergeCell ref="H65:K65"/>
    <mergeCell ref="H64:K64"/>
    <mergeCell ref="H63:K63"/>
    <mergeCell ref="H50:K50"/>
    <mergeCell ref="H49:K49"/>
    <mergeCell ref="H48:K48"/>
    <mergeCell ref="H47:K47"/>
    <mergeCell ref="H56:K56"/>
    <mergeCell ref="H55:K55"/>
    <mergeCell ref="H54:K54"/>
    <mergeCell ref="H53:K53"/>
    <mergeCell ref="H52:K52"/>
    <mergeCell ref="H51:K51"/>
    <mergeCell ref="H70:K70"/>
    <mergeCell ref="H74:K74"/>
    <mergeCell ref="H69:K69"/>
    <mergeCell ref="H71:K71"/>
    <mergeCell ref="H72:K72"/>
    <mergeCell ref="H73:K73"/>
    <mergeCell ref="H80:K80"/>
    <mergeCell ref="H79:K79"/>
    <mergeCell ref="H78:K78"/>
    <mergeCell ref="H77:K77"/>
    <mergeCell ref="H76:K76"/>
    <mergeCell ref="H75:K75"/>
    <mergeCell ref="H86:K86"/>
    <mergeCell ref="H85:K85"/>
    <mergeCell ref="H83:K83"/>
    <mergeCell ref="H82:K82"/>
    <mergeCell ref="H94:K94"/>
    <mergeCell ref="H93:K93"/>
    <mergeCell ref="H92:K92"/>
    <mergeCell ref="H91:K91"/>
    <mergeCell ref="H90:K90"/>
    <mergeCell ref="H89:K89"/>
    <mergeCell ref="H95:K95"/>
    <mergeCell ref="H107:K107"/>
    <mergeCell ref="H106:K106"/>
    <mergeCell ref="H105:K105"/>
    <mergeCell ref="H104:K104"/>
    <mergeCell ref="H103:K103"/>
    <mergeCell ref="H102:K102"/>
    <mergeCell ref="H88:K88"/>
    <mergeCell ref="H87:K87"/>
    <mergeCell ref="H109:K109"/>
    <mergeCell ref="H115:K115"/>
    <mergeCell ref="H116:K116"/>
    <mergeCell ref="H111:K111"/>
    <mergeCell ref="H101:K101"/>
    <mergeCell ref="H100:K100"/>
    <mergeCell ref="H99:K99"/>
    <mergeCell ref="H98:K98"/>
    <mergeCell ref="H97:K97"/>
    <mergeCell ref="H110:K110"/>
    <mergeCell ref="H126:K126"/>
    <mergeCell ref="H127:K127"/>
    <mergeCell ref="H128:K128"/>
    <mergeCell ref="H148:K148"/>
    <mergeCell ref="H129:K129"/>
    <mergeCell ref="H141:K141"/>
    <mergeCell ref="H142:K142"/>
    <mergeCell ref="H133:K133"/>
    <mergeCell ref="H124:K124"/>
    <mergeCell ref="H123:K123"/>
    <mergeCell ref="T5:U5"/>
    <mergeCell ref="H173:K173"/>
    <mergeCell ref="H172:K172"/>
    <mergeCell ref="H171:K171"/>
    <mergeCell ref="H169:K169"/>
    <mergeCell ref="H160:K160"/>
    <mergeCell ref="H158:K158"/>
    <mergeCell ref="H157:K157"/>
    <mergeCell ref="H156:K156"/>
    <mergeCell ref="H149:K149"/>
    <mergeCell ref="T6:U6"/>
    <mergeCell ref="H147:K147"/>
    <mergeCell ref="H146:K146"/>
    <mergeCell ref="H145:K145"/>
    <mergeCell ref="H144:K144"/>
    <mergeCell ref="H143:K143"/>
    <mergeCell ref="H119:K119"/>
    <mergeCell ref="H118:K118"/>
    <mergeCell ref="H114:K114"/>
    <mergeCell ref="H113:K113"/>
    <mergeCell ref="H117:K117"/>
    <mergeCell ref="H108:K108"/>
    <mergeCell ref="H152:K152"/>
    <mergeCell ref="H167:K167"/>
    <mergeCell ref="H165:K165"/>
    <mergeCell ref="H166:K166"/>
    <mergeCell ref="H178:K178"/>
    <mergeCell ref="H174:K174"/>
    <mergeCell ref="H140:K140"/>
    <mergeCell ref="H130:K130"/>
    <mergeCell ref="H131:K131"/>
    <mergeCell ref="H132:K132"/>
    <mergeCell ref="H175:K175"/>
    <mergeCell ref="H176:K176"/>
    <mergeCell ref="H177:K177"/>
    <mergeCell ref="H164:K164"/>
    <mergeCell ref="H163:K163"/>
    <mergeCell ref="H153:K153"/>
    <mergeCell ref="H159:K159"/>
    <mergeCell ref="H154:K154"/>
    <mergeCell ref="H135:K135"/>
    <mergeCell ref="H136:K136"/>
    <mergeCell ref="H138:K138"/>
    <mergeCell ref="H139:K139"/>
    <mergeCell ref="B3:F3"/>
    <mergeCell ref="D46:E46"/>
    <mergeCell ref="H125:K125"/>
    <mergeCell ref="E180:F180"/>
    <mergeCell ref="E72:F72"/>
    <mergeCell ref="E73:F73"/>
    <mergeCell ref="E74:F74"/>
    <mergeCell ref="E144:F144"/>
    <mergeCell ref="E145:F145"/>
    <mergeCell ref="H180:K180"/>
    <mergeCell ref="H81:K81"/>
    <mergeCell ref="H84:K84"/>
    <mergeCell ref="H161:K161"/>
    <mergeCell ref="H162:K162"/>
    <mergeCell ref="H151:K151"/>
    <mergeCell ref="H150:K150"/>
    <mergeCell ref="H155:K155"/>
    <mergeCell ref="H96:K96"/>
    <mergeCell ref="H170:K170"/>
    <mergeCell ref="H112:K112"/>
    <mergeCell ref="H137:K137"/>
    <mergeCell ref="H134:K134"/>
    <mergeCell ref="H179:K179"/>
    <mergeCell ref="H168:K168"/>
  </mergeCells>
  <phoneticPr fontId="20"/>
  <conditionalFormatting sqref="H12:K13 H15:K19 H22:K30 H32:K33 H36:K38 I175:K176 H49:K52 H54:K57 H59:K60 H64:K66 H68:K70 H72:K74 H77:K78 H99:K101 H103:K108 H110:K111 H113:K114 H118:K118 H120:K120 H122:K123 H40:K46 H142:K142 H144:K145 H148:K152 H154:K154 H156:K158 H160:K160 H162:K163 H165:K168 H171:K173 H179:K180 H175:H177 H80:K95">
    <cfRule type="expression" dxfId="68" priority="12" stopIfTrue="1">
      <formula>OR(L12&gt;=4,M12&gt;=4,P12&gt;=4,Q12&gt;=4)</formula>
    </cfRule>
  </conditionalFormatting>
  <conditionalFormatting sqref="H125:K125">
    <cfRule type="expression" dxfId="67" priority="11" stopIfTrue="1">
      <formula>OR(L125&gt;=4,M125&gt;=4,P125&gt;=4,Q125&gt;=4)</formula>
    </cfRule>
  </conditionalFormatting>
  <conditionalFormatting sqref="H126:K126">
    <cfRule type="expression" dxfId="66" priority="10" stopIfTrue="1">
      <formula>OR(L126&gt;=4,M126&gt;=4,P126&gt;=4,Q126&gt;=4)</formula>
    </cfRule>
  </conditionalFormatting>
  <conditionalFormatting sqref="H121:K121">
    <cfRule type="expression" dxfId="65" priority="5" stopIfTrue="1">
      <formula>OR(L121&gt;=4,M121&gt;=4,P121&gt;=4,Q121&gt;=4)</formula>
    </cfRule>
  </conditionalFormatting>
  <conditionalFormatting sqref="H11:K11">
    <cfRule type="expression" dxfId="64" priority="4" stopIfTrue="1">
      <formula>OR(L11&gt;=4,M11&gt;=4,P11&gt;=4,Q11&gt;=4)</formula>
    </cfRule>
  </conditionalFormatting>
  <conditionalFormatting sqref="H135:K136">
    <cfRule type="expression" dxfId="63" priority="3" stopIfTrue="1">
      <formula>OR(L135&gt;=4,M135&gt;=4,P135&gt;=4,Q135&gt;=4)</formula>
    </cfRule>
  </conditionalFormatting>
  <conditionalFormatting sqref="H138:K139">
    <cfRule type="expression" dxfId="62" priority="2" stopIfTrue="1">
      <formula>OR(L138&gt;=4,M138&gt;=4,P138&gt;=4,Q138&gt;=4)</formula>
    </cfRule>
  </conditionalFormatting>
  <conditionalFormatting sqref="H119:K119">
    <cfRule type="expression" dxfId="61" priority="1" stopIfTrue="1">
      <formula>OR(L119&gt;=4,M119&gt;=4,P119&gt;=4,Q119&gt;=4)</formula>
    </cfRule>
  </conditionalFormatting>
  <dataValidations xWindow="1076" yWindow="324" count="1">
    <dataValidation allowBlank="1" showErrorMessage="1" sqref="AH152:AM180 AH9:AI151 AL9:AM151 AJ10:AK151 AF10:AG180"/>
  </dataValidations>
  <printOptions horizontalCentered="1"/>
  <pageMargins left="0.59055118110236227" right="0.59055118110236227" top="0.78740157480314965" bottom="0.59055118110236227" header="0.51181102362204722" footer="0.51181102362204722"/>
  <pageSetup paperSize="9" scale="61" fitToHeight="2" orientation="portrait" verticalDpi="4294967293" r:id="rId1"/>
  <headerFooter alignWithMargins="0">
    <oddHeader>&amp;L&amp;F&amp;R&amp;A</oddHeader>
    <oddFooter>&amp;C&amp;P/&amp;N</oddFooter>
  </headerFooter>
  <rowBreaks count="1" manualBreakCount="1">
    <brk id="95" max="21" man="1"/>
  </rowBreaks>
</worksheet>
</file>

<file path=xl/worksheets/sheet7.xml><?xml version="1.0" encoding="utf-8"?>
<worksheet xmlns="http://schemas.openxmlformats.org/spreadsheetml/2006/main" xmlns:r="http://schemas.openxmlformats.org/officeDocument/2006/relationships">
  <sheetPr codeName="Sheet7">
    <pageSetUpPr fitToPage="1"/>
  </sheetPr>
  <dimension ref="B1:G21"/>
  <sheetViews>
    <sheetView showGridLines="0" zoomScaleNormal="100" workbookViewId="0">
      <selection activeCell="E7" sqref="E7"/>
    </sheetView>
  </sheetViews>
  <sheetFormatPr defaultColWidth="0" defaultRowHeight="13.5" zeroHeight="1"/>
  <cols>
    <col min="1" max="1" width="0.875" style="185" customWidth="1"/>
    <col min="2" max="2" width="17.375" style="185" customWidth="1"/>
    <col min="3" max="3" width="38" style="186" customWidth="1"/>
    <col min="4" max="4" width="14.25" style="185" customWidth="1"/>
    <col min="5" max="5" width="21.25" style="185" customWidth="1"/>
    <col min="6" max="6" width="1.375" style="185" customWidth="1"/>
    <col min="7" max="16384" width="0" style="185" hidden="1"/>
  </cols>
  <sheetData>
    <row r="1" spans="2:7" s="21" customFormat="1" ht="21">
      <c r="B1" s="162" t="s">
        <v>553</v>
      </c>
      <c r="C1" s="163"/>
      <c r="D1" s="164"/>
      <c r="E1" s="164"/>
    </row>
    <row r="2" spans="2:7" s="50" customFormat="1" ht="12.75">
      <c r="B2" s="165" t="s">
        <v>462</v>
      </c>
      <c r="C2" s="2688">
        <f>メイン!H11</f>
        <v>0</v>
      </c>
      <c r="D2" s="166" t="s">
        <v>554</v>
      </c>
      <c r="E2" s="2690">
        <f>メイン!H39</f>
        <v>0</v>
      </c>
      <c r="F2" s="167"/>
      <c r="G2" s="167"/>
    </row>
    <row r="3" spans="2:7" s="50" customFormat="1" ht="12.75">
      <c r="B3" s="168" t="s">
        <v>555</v>
      </c>
      <c r="C3" s="2689" t="str">
        <f>メイン!H21</f>
        <v/>
      </c>
      <c r="D3" s="169" t="s">
        <v>556</v>
      </c>
      <c r="E3" s="2689">
        <f>メイン!H40</f>
        <v>0</v>
      </c>
      <c r="F3" s="170"/>
      <c r="G3" s="170"/>
    </row>
    <row r="4" spans="2:7" s="50" customFormat="1" ht="39.75" customHeight="1">
      <c r="B4" s="171" t="s">
        <v>557</v>
      </c>
      <c r="C4" s="3018">
        <f>メイン!H27</f>
        <v>0</v>
      </c>
      <c r="D4" s="3019"/>
      <c r="E4" s="3020"/>
      <c r="F4" s="170"/>
      <c r="G4" s="170"/>
    </row>
    <row r="5" spans="2:7" s="50" customFormat="1" ht="8.25" customHeight="1" thickBot="1">
      <c r="B5" s="45"/>
      <c r="C5" s="172"/>
      <c r="D5" s="172"/>
      <c r="E5" s="172"/>
      <c r="F5" s="170"/>
      <c r="G5" s="170"/>
    </row>
    <row r="6" spans="2:7" s="21" customFormat="1" ht="21" customHeight="1" thickBot="1">
      <c r="B6" s="173"/>
      <c r="C6" s="174" t="s">
        <v>558</v>
      </c>
      <c r="D6" s="174"/>
      <c r="E6" s="175" t="s">
        <v>559</v>
      </c>
    </row>
    <row r="7" spans="2:7" s="23" customFormat="1" ht="81" customHeight="1" thickTop="1">
      <c r="B7" s="176" t="s">
        <v>560</v>
      </c>
      <c r="C7" s="3021" t="s">
        <v>2059</v>
      </c>
      <c r="D7" s="3022"/>
      <c r="E7" s="177"/>
    </row>
    <row r="8" spans="2:7" s="21" customFormat="1" ht="81" customHeight="1">
      <c r="B8" s="178" t="s">
        <v>561</v>
      </c>
      <c r="C8" s="3012" t="s">
        <v>2060</v>
      </c>
      <c r="D8" s="3013"/>
      <c r="E8" s="179"/>
    </row>
    <row r="9" spans="2:7" s="21" customFormat="1" ht="81" customHeight="1">
      <c r="B9" s="178" t="s">
        <v>562</v>
      </c>
      <c r="C9" s="3012" t="s">
        <v>2061</v>
      </c>
      <c r="D9" s="3013"/>
      <c r="E9" s="179"/>
    </row>
    <row r="10" spans="2:7" s="21" customFormat="1" ht="81" customHeight="1">
      <c r="B10" s="178" t="s">
        <v>563</v>
      </c>
      <c r="C10" s="3012" t="s">
        <v>2062</v>
      </c>
      <c r="D10" s="3013"/>
      <c r="E10" s="179"/>
    </row>
    <row r="11" spans="2:7" s="21" customFormat="1" ht="81" customHeight="1">
      <c r="B11" s="178" t="s">
        <v>564</v>
      </c>
      <c r="C11" s="3012" t="s">
        <v>2063</v>
      </c>
      <c r="D11" s="3013"/>
      <c r="E11" s="179"/>
    </row>
    <row r="12" spans="2:7" s="21" customFormat="1" ht="81" customHeight="1">
      <c r="B12" s="178" t="s">
        <v>566</v>
      </c>
      <c r="C12" s="3012" t="s">
        <v>2064</v>
      </c>
      <c r="D12" s="3013"/>
      <c r="E12" s="179"/>
    </row>
    <row r="13" spans="2:7" s="21" customFormat="1" ht="81" customHeight="1" thickBot="1">
      <c r="B13" s="180" t="s">
        <v>567</v>
      </c>
      <c r="C13" s="3014" t="s">
        <v>2065</v>
      </c>
      <c r="D13" s="3015"/>
      <c r="E13" s="181"/>
    </row>
    <row r="14" spans="2:7" s="21" customFormat="1" ht="122.25" customHeight="1" thickTop="1" thickBot="1">
      <c r="B14" s="182" t="s">
        <v>568</v>
      </c>
      <c r="C14" s="3016" t="s">
        <v>2066</v>
      </c>
      <c r="D14" s="3017"/>
      <c r="E14" s="183"/>
    </row>
    <row r="15" spans="2:7" s="21" customFormat="1">
      <c r="C15" s="184"/>
    </row>
    <row r="16" spans="2:7" hidden="1"/>
    <row r="17" hidden="1"/>
    <row r="18" hidden="1"/>
    <row r="19" hidden="1"/>
    <row r="20" hidden="1"/>
    <row r="21" hidden="1"/>
  </sheetData>
  <sheetProtection password="CC47" sheet="1" objects="1" scenarios="1"/>
  <mergeCells count="9">
    <mergeCell ref="C12:D12"/>
    <mergeCell ref="C13:D13"/>
    <mergeCell ref="C14:D14"/>
    <mergeCell ref="C4:E4"/>
    <mergeCell ref="C7:D7"/>
    <mergeCell ref="C8:D8"/>
    <mergeCell ref="C9:D9"/>
    <mergeCell ref="C10:D10"/>
    <mergeCell ref="C11:D11"/>
  </mergeCells>
  <phoneticPr fontId="20"/>
  <printOptions horizontalCentered="1"/>
  <pageMargins left="0.59055118110236227" right="0.59055118110236227" top="0.78740157480314965" bottom="0.59055118110236227" header="0.51181102362204722" footer="0.51181102362204722"/>
  <pageSetup paperSize="9" orientation="portrait" verticalDpi="300" r:id="rId1"/>
  <headerFooter alignWithMargins="0">
    <oddHeader>&amp;L&amp;F&amp;R&amp;A</oddHeader>
    <oddFooter>&amp;C&amp;P/&amp;N</oddFooter>
  </headerFooter>
</worksheet>
</file>

<file path=xl/worksheets/sheet8.xml><?xml version="1.0" encoding="utf-8"?>
<worksheet xmlns="http://schemas.openxmlformats.org/spreadsheetml/2006/main" xmlns:r="http://schemas.openxmlformats.org/officeDocument/2006/relationships">
  <sheetPr codeName="Sheet6">
    <pageSetUpPr fitToPage="1"/>
  </sheetPr>
  <dimension ref="B1:AC88"/>
  <sheetViews>
    <sheetView showGridLines="0" zoomScaleNormal="100" workbookViewId="0">
      <selection activeCell="E21" sqref="E21"/>
    </sheetView>
  </sheetViews>
  <sheetFormatPr defaultColWidth="0" defaultRowHeight="13.5" customHeight="1" zeroHeight="1"/>
  <cols>
    <col min="1" max="1" width="1.25" customWidth="1"/>
    <col min="2" max="2" width="5.875" style="1745" customWidth="1"/>
    <col min="3" max="3" width="28.125" style="1745" customWidth="1"/>
    <col min="4" max="4" width="15" style="1745" customWidth="1"/>
    <col min="5" max="5" width="13.125" style="1745" customWidth="1"/>
    <col min="6" max="6" width="9.875" customWidth="1"/>
    <col min="7" max="7" width="3" customWidth="1"/>
    <col min="8" max="8" width="4.125" customWidth="1"/>
    <col min="9" max="9" width="29.375" bestFit="1" customWidth="1"/>
    <col min="10" max="10" width="10.75" bestFit="1" customWidth="1"/>
    <col min="11" max="11" width="12.5" bestFit="1" customWidth="1"/>
    <col min="12" max="12" width="4.375" customWidth="1"/>
    <col min="13" max="13" width="2.875" customWidth="1"/>
    <col min="14" max="14" width="5.625" hidden="1" customWidth="1"/>
    <col min="15" max="16" width="14.125" hidden="1" customWidth="1"/>
    <col min="17" max="17" width="2.125" hidden="1" customWidth="1"/>
    <col min="18" max="19" width="14.125" hidden="1" customWidth="1"/>
  </cols>
  <sheetData>
    <row r="1" spans="2:29" s="60" customFormat="1" ht="9.75" customHeight="1" thickBot="1"/>
    <row r="2" spans="2:29" s="1877" customFormat="1" ht="18.75">
      <c r="B2" s="1873" t="s">
        <v>1024</v>
      </c>
      <c r="C2" s="1874"/>
      <c r="D2" s="1875"/>
      <c r="E2" s="1874"/>
      <c r="F2" s="1876"/>
      <c r="G2" s="60"/>
      <c r="M2" s="60"/>
      <c r="N2" s="60"/>
      <c r="O2" s="60"/>
      <c r="P2" s="60"/>
      <c r="Q2" s="60"/>
      <c r="R2" s="60"/>
      <c r="S2" s="60"/>
      <c r="T2" s="60"/>
      <c r="U2" s="60"/>
      <c r="V2" s="60"/>
      <c r="W2" s="60"/>
      <c r="X2" s="60"/>
      <c r="Y2" s="60"/>
      <c r="Z2" s="60"/>
      <c r="AA2" s="60"/>
      <c r="AB2" s="60"/>
      <c r="AC2" s="60"/>
    </row>
    <row r="3" spans="2:29" s="1877" customFormat="1" ht="21" customHeight="1">
      <c r="B3" s="1878" t="s">
        <v>1025</v>
      </c>
      <c r="C3" s="1879"/>
      <c r="D3" s="1880"/>
      <c r="E3" s="1881"/>
      <c r="F3" s="1882"/>
      <c r="G3" s="60"/>
      <c r="H3" s="1883" t="s">
        <v>1269</v>
      </c>
      <c r="I3" s="1884"/>
      <c r="J3" s="1884"/>
      <c r="K3" s="1884"/>
      <c r="L3" s="1885"/>
      <c r="M3" s="60"/>
      <c r="O3" s="1886">
        <v>0</v>
      </c>
      <c r="P3" s="60" t="s">
        <v>1026</v>
      </c>
      <c r="Q3" s="60"/>
      <c r="R3" s="60"/>
      <c r="S3" s="60"/>
      <c r="T3" s="60"/>
      <c r="U3" s="60"/>
      <c r="V3" s="60"/>
      <c r="W3" s="60"/>
      <c r="X3" s="60"/>
      <c r="Y3" s="60"/>
      <c r="Z3" s="60"/>
      <c r="AA3" s="60"/>
      <c r="AB3" s="60"/>
      <c r="AC3" s="60"/>
    </row>
    <row r="4" spans="2:29">
      <c r="B4" s="1887"/>
      <c r="C4" s="1888" t="s">
        <v>1027</v>
      </c>
      <c r="D4" s="1888" t="s">
        <v>228</v>
      </c>
      <c r="E4" s="1889"/>
      <c r="F4" s="1890"/>
      <c r="H4" s="1891" t="s">
        <v>1270</v>
      </c>
      <c r="I4" s="1889"/>
      <c r="J4" s="1889"/>
      <c r="K4" s="1889"/>
      <c r="L4" s="1892"/>
    </row>
    <row r="5" spans="2:29">
      <c r="B5" s="1887"/>
      <c r="C5" s="1893" t="str">
        <f>IF($O$7=0,"根拠を記入してください",$O$7)</f>
        <v>根拠を記入してください</v>
      </c>
      <c r="D5" s="1894" t="str">
        <f>IF($P$7=0,O9,$P$7)</f>
        <v>N.A.</v>
      </c>
      <c r="E5" s="1889" t="s">
        <v>1271</v>
      </c>
      <c r="F5" s="1890"/>
      <c r="H5" s="1891" t="s">
        <v>1272</v>
      </c>
      <c r="I5" s="1889"/>
      <c r="J5" s="1889"/>
      <c r="K5" s="1889"/>
      <c r="L5" s="1892"/>
    </row>
    <row r="6" spans="2:29">
      <c r="B6" s="1887"/>
      <c r="C6" s="1889"/>
      <c r="D6" s="1889"/>
      <c r="E6" s="1889"/>
      <c r="F6" s="1890"/>
      <c r="H6" s="1891"/>
      <c r="I6" s="1895" t="str">
        <f>CO2データ!D105</f>
        <v>北海道電力株式会社</v>
      </c>
      <c r="J6" s="1896">
        <f>CO2データ!I105</f>
        <v>6.8800000000000003E-4</v>
      </c>
      <c r="K6" s="1891"/>
      <c r="L6" s="1897"/>
      <c r="O6" t="s">
        <v>1028</v>
      </c>
      <c r="P6" t="s">
        <v>1029</v>
      </c>
    </row>
    <row r="7" spans="2:29">
      <c r="B7" s="1887"/>
      <c r="C7" s="1889"/>
      <c r="D7" s="1889"/>
      <c r="E7" s="1889"/>
      <c r="F7" s="1890"/>
      <c r="H7" s="1891"/>
      <c r="I7" s="1895" t="str">
        <f>CO2データ!D106</f>
        <v>東北電力株式会社</v>
      </c>
      <c r="J7" s="1896">
        <f>CO2データ!I106</f>
        <v>5.9999999999999995E-4</v>
      </c>
      <c r="K7" s="1891"/>
      <c r="L7" s="1897"/>
      <c r="O7">
        <f>IF($O$3=1,C10,IF($O$3=2,C16,IF($O$3=3,C20,IF($O$3=4,C24,C28))))</f>
        <v>0</v>
      </c>
      <c r="P7">
        <f>IF($O$3=1,D10,IF($O$3=2,D16,IF($O$3=3,D20,IF($O$3=4,D24,D28))))</f>
        <v>0</v>
      </c>
    </row>
    <row r="8" spans="2:29">
      <c r="B8" s="1887" t="s">
        <v>1825</v>
      </c>
      <c r="C8" s="1889"/>
      <c r="D8" s="1898"/>
      <c r="E8" s="1889"/>
      <c r="F8" s="1890"/>
      <c r="H8" s="1891"/>
      <c r="I8" s="1895" t="str">
        <f>CO2データ!D107</f>
        <v>東京電力株式会社</v>
      </c>
      <c r="J8" s="1896">
        <f>CO2データ!I107</f>
        <v>5.2499999999999997E-4</v>
      </c>
      <c r="K8" s="1891"/>
      <c r="L8" s="1897"/>
    </row>
    <row r="9" spans="2:29">
      <c r="B9" s="1887"/>
      <c r="C9" s="1888" t="s">
        <v>1027</v>
      </c>
      <c r="D9" s="1899" t="s">
        <v>1030</v>
      </c>
      <c r="E9" s="1898"/>
      <c r="F9" s="1890"/>
      <c r="H9" s="1891"/>
      <c r="I9" s="1895" t="str">
        <f>CO2データ!D108</f>
        <v>中部電力株式会社</v>
      </c>
      <c r="J9" s="1896">
        <f>CO2データ!I108</f>
        <v>5.1599999999999997E-4</v>
      </c>
      <c r="K9" s="1891"/>
      <c r="L9" s="1897"/>
      <c r="O9" t="s">
        <v>1013</v>
      </c>
    </row>
    <row r="10" spans="2:29">
      <c r="B10" s="1887"/>
      <c r="C10" s="1900"/>
      <c r="D10" s="1901"/>
      <c r="E10" s="1889" t="s">
        <v>1031</v>
      </c>
      <c r="F10" s="1890"/>
      <c r="H10" s="1891"/>
      <c r="I10" s="1895" t="str">
        <f>CO2データ!D109</f>
        <v>北陸電力株式会社</v>
      </c>
      <c r="J10" s="1896">
        <f>CO2データ!I109</f>
        <v>6.6299999999999996E-4</v>
      </c>
      <c r="K10" s="1891"/>
      <c r="L10" s="1897"/>
    </row>
    <row r="11" spans="2:29">
      <c r="B11" s="1887"/>
      <c r="C11" s="1889"/>
      <c r="D11" s="1889"/>
      <c r="E11" s="1889"/>
      <c r="F11" s="1890"/>
      <c r="H11" s="1891"/>
      <c r="I11" s="1895" t="str">
        <f>CO2データ!D110</f>
        <v>関西電力株式会社</v>
      </c>
      <c r="J11" s="1896">
        <f>CO2データ!I110</f>
        <v>5.1400000000000003E-4</v>
      </c>
      <c r="K11" s="1891"/>
      <c r="L11" s="1897"/>
    </row>
    <row r="12" spans="2:29">
      <c r="B12" s="1887" t="s">
        <v>1032</v>
      </c>
      <c r="C12" s="1889"/>
      <c r="D12" s="1889"/>
      <c r="E12" s="1889"/>
      <c r="F12" s="1890"/>
      <c r="H12" s="1891"/>
      <c r="I12" s="1895" t="str">
        <f>CO2データ!D111</f>
        <v>中国電力株式会社</v>
      </c>
      <c r="J12" s="1896">
        <f>CO2データ!I111</f>
        <v>7.3800000000000005E-4</v>
      </c>
      <c r="K12" s="1891"/>
      <c r="L12" s="1897"/>
    </row>
    <row r="13" spans="2:29">
      <c r="B13" s="1902" t="s">
        <v>1033</v>
      </c>
      <c r="C13" s="3023" t="s">
        <v>1034</v>
      </c>
      <c r="D13" s="3023"/>
      <c r="E13" s="3023"/>
      <c r="F13" s="1890"/>
      <c r="H13" s="1891"/>
      <c r="I13" s="1895" t="str">
        <f>CO2データ!D112</f>
        <v>四国電力株式会社</v>
      </c>
      <c r="J13" s="1896">
        <f>CO2データ!I112</f>
        <v>6.9999999999999999E-4</v>
      </c>
      <c r="K13" s="1891"/>
      <c r="L13" s="1897"/>
    </row>
    <row r="14" spans="2:29">
      <c r="B14" s="1902"/>
      <c r="C14" s="3023"/>
      <c r="D14" s="3023"/>
      <c r="E14" s="3023"/>
      <c r="F14" s="1890"/>
      <c r="H14" s="1891"/>
      <c r="I14" s="1895" t="str">
        <f>CO2データ!D113</f>
        <v>九州電力株式会社</v>
      </c>
      <c r="J14" s="1896">
        <f>CO2データ!I113</f>
        <v>6.1200000000000002E-4</v>
      </c>
      <c r="K14" s="1891"/>
      <c r="L14" s="1897"/>
    </row>
    <row r="15" spans="2:29">
      <c r="B15" s="1887"/>
      <c r="C15" s="1888" t="s">
        <v>1035</v>
      </c>
      <c r="D15" s="1899" t="s">
        <v>1030</v>
      </c>
      <c r="E15" s="1898"/>
      <c r="F15" s="1890"/>
      <c r="H15" s="1891"/>
      <c r="I15" s="1895" t="str">
        <f>CO2データ!D114</f>
        <v>沖縄電力株式会社</v>
      </c>
      <c r="J15" s="1896">
        <f>CO2データ!I114</f>
        <v>9.0300000000000005E-4</v>
      </c>
      <c r="K15" s="1891"/>
      <c r="L15" s="1897"/>
    </row>
    <row r="16" spans="2:29">
      <c r="B16" s="1887"/>
      <c r="C16" s="1901"/>
      <c r="D16" s="1903" t="e">
        <f>VLOOKUP(C16,C50:D88,2)</f>
        <v>#N/A</v>
      </c>
      <c r="E16" s="1889" t="s">
        <v>1037</v>
      </c>
      <c r="F16" s="1890"/>
      <c r="H16" s="1891"/>
      <c r="I16" s="1895" t="str">
        <f>CO2データ!D115</f>
        <v>イーレックス株式会社</v>
      </c>
      <c r="J16" s="1896">
        <f>CO2データ!I115</f>
        <v>6.0300000000000002E-4</v>
      </c>
      <c r="K16" s="1891"/>
      <c r="L16" s="1897"/>
    </row>
    <row r="17" spans="2:12" ht="15" customHeight="1">
      <c r="B17" s="1887"/>
      <c r="C17" s="46"/>
      <c r="D17" s="46"/>
      <c r="E17" s="46"/>
      <c r="F17" s="1890"/>
      <c r="H17" s="1891"/>
      <c r="I17" s="1895" t="str">
        <f>CO2データ!D116</f>
        <v>出光グリーンパワー株式会社</v>
      </c>
      <c r="J17" s="1896">
        <f>CO2データ!I116</f>
        <v>8.6000000000000003E-5</v>
      </c>
      <c r="K17" s="1891"/>
      <c r="L17" s="1897"/>
    </row>
    <row r="18" spans="2:12" ht="15" customHeight="1">
      <c r="B18" s="1902" t="s">
        <v>1038</v>
      </c>
      <c r="C18" s="1889" t="s">
        <v>843</v>
      </c>
      <c r="D18" s="1898"/>
      <c r="E18" s="1889"/>
      <c r="F18" s="1890"/>
      <c r="H18" s="1891"/>
      <c r="I18" s="1895" t="str">
        <f>CO2データ!D117</f>
        <v>伊藤忠エネクス株式会社</v>
      </c>
      <c r="J18" s="1896">
        <f>CO2データ!I117</f>
        <v>6.7599999999999995E-4</v>
      </c>
      <c r="K18" s="1891"/>
      <c r="L18" s="1897"/>
    </row>
    <row r="19" spans="2:12" ht="15" customHeight="1">
      <c r="B19" s="1887"/>
      <c r="C19" s="1888" t="s">
        <v>1027</v>
      </c>
      <c r="D19" s="1899" t="s">
        <v>1273</v>
      </c>
      <c r="E19" s="1898"/>
      <c r="F19" s="1890"/>
      <c r="H19" s="1891"/>
      <c r="I19" s="1895" t="str">
        <f>CO2データ!D118</f>
        <v>エネサーブ株式会社</v>
      </c>
      <c r="J19" s="1896">
        <f>CO2データ!I118</f>
        <v>6.1600000000000001E-4</v>
      </c>
      <c r="K19" s="1891"/>
      <c r="L19" s="1897"/>
    </row>
    <row r="20" spans="2:12" ht="15" customHeight="1">
      <c r="B20" s="1887"/>
      <c r="C20" s="1900"/>
      <c r="D20" s="1901"/>
      <c r="E20" s="1889" t="s">
        <v>1274</v>
      </c>
      <c r="F20" s="1890"/>
      <c r="H20" s="1891"/>
      <c r="I20" s="1895" t="str">
        <f>CO2データ!D119</f>
        <v>荏原環境プラント株式会社</v>
      </c>
      <c r="J20" s="1896">
        <f>CO2データ!I119</f>
        <v>4.5600000000000003E-4</v>
      </c>
      <c r="K20" s="1891"/>
      <c r="L20" s="1897"/>
    </row>
    <row r="21" spans="2:12" ht="15" customHeight="1">
      <c r="B21" s="1887"/>
      <c r="C21" s="46"/>
      <c r="D21" s="46"/>
      <c r="E21" s="46"/>
      <c r="F21" s="1890"/>
      <c r="H21" s="1891"/>
      <c r="I21" s="1895" t="str">
        <f>CO2データ!D120</f>
        <v>王子製紙株式会社</v>
      </c>
      <c r="J21" s="1896">
        <f>CO2データ!I120</f>
        <v>4.75E-4</v>
      </c>
      <c r="K21" s="1891"/>
      <c r="L21" s="1897"/>
    </row>
    <row r="22" spans="2:12" ht="15" customHeight="1">
      <c r="B22" s="1902" t="s">
        <v>1275</v>
      </c>
      <c r="C22" s="1889" t="s">
        <v>1276</v>
      </c>
      <c r="D22" s="1889"/>
      <c r="E22" s="1889"/>
      <c r="F22" s="1890"/>
      <c r="H22" s="1891"/>
      <c r="I22" s="1895" t="str">
        <f>CO2データ!D121</f>
        <v>オリックス株式会社</v>
      </c>
      <c r="J22" s="1896">
        <f>CO2データ!I121</f>
        <v>7.6199999999999998E-4</v>
      </c>
      <c r="K22" s="1891"/>
      <c r="L22" s="1897"/>
    </row>
    <row r="23" spans="2:12" ht="15" customHeight="1">
      <c r="B23" s="1902"/>
      <c r="C23" s="1888" t="s">
        <v>1039</v>
      </c>
      <c r="D23" s="1899" t="s">
        <v>1030</v>
      </c>
      <c r="E23" s="1889"/>
      <c r="F23" s="1890"/>
      <c r="H23" s="1891"/>
      <c r="I23" s="1895" t="str">
        <f>CO2データ!D122</f>
        <v>株式会社イーセル</v>
      </c>
      <c r="J23" s="1896">
        <f>CO2データ!I122</f>
        <v>0</v>
      </c>
      <c r="K23" s="1891"/>
      <c r="L23" s="1897"/>
    </row>
    <row r="24" spans="2:12" ht="15" customHeight="1">
      <c r="B24" s="1887"/>
      <c r="C24" s="2181" t="s">
        <v>1276</v>
      </c>
      <c r="D24" s="1903" t="str">
        <f>IF($O$3=4,J46,"")</f>
        <v/>
      </c>
      <c r="E24" s="1889" t="s">
        <v>1274</v>
      </c>
      <c r="F24" s="1890"/>
      <c r="H24" s="1891"/>
      <c r="I24" s="1895" t="str">
        <f>CO2データ!D123</f>
        <v>株式会社エネット</v>
      </c>
      <c r="J24" s="1896">
        <f>CO2データ!I123</f>
        <v>4.2900000000000002E-4</v>
      </c>
      <c r="K24" s="1891"/>
      <c r="L24" s="1897"/>
    </row>
    <row r="25" spans="2:12" ht="15" customHeight="1">
      <c r="B25" s="1887"/>
      <c r="C25" s="1889"/>
      <c r="D25" s="1889"/>
      <c r="E25" s="1889"/>
      <c r="F25" s="1890"/>
      <c r="H25" s="1891"/>
      <c r="I25" s="1895" t="str">
        <f>CO2データ!D124</f>
        <v>株式会社Ｆ－Ｐｏｗｅｒ</v>
      </c>
      <c r="J25" s="1896">
        <f>CO2データ!I124</f>
        <v>5.2499999999999997E-4</v>
      </c>
      <c r="K25" s="1891"/>
      <c r="L25" s="1897"/>
    </row>
    <row r="26" spans="2:12" ht="15" customHeight="1">
      <c r="B26" s="1887" t="s">
        <v>1277</v>
      </c>
      <c r="C26" s="1889"/>
      <c r="D26" s="1898"/>
      <c r="E26" s="1889"/>
      <c r="F26" s="1890"/>
      <c r="H26" s="1891"/>
      <c r="I26" s="1895" t="str">
        <f>CO2データ!D125</f>
        <v>株式会社Ｇ－Ｐｏｗｅｒ</v>
      </c>
      <c r="J26" s="1896">
        <f>CO2データ!I125</f>
        <v>4.4099999999999999E-4</v>
      </c>
      <c r="K26" s="1891"/>
      <c r="L26" s="1897"/>
    </row>
    <row r="27" spans="2:12" ht="15" customHeight="1">
      <c r="B27" s="1887"/>
      <c r="C27" s="1888" t="s">
        <v>1027</v>
      </c>
      <c r="D27" s="1899" t="s">
        <v>1030</v>
      </c>
      <c r="E27" s="1898"/>
      <c r="F27" s="1890"/>
      <c r="H27" s="1891"/>
      <c r="I27" s="1895" t="str">
        <f>CO2データ!D126</f>
        <v>株式会社日本セレモニー</v>
      </c>
      <c r="J27" s="1896">
        <f>CO2データ!I126</f>
        <v>7.9699999999999997E-4</v>
      </c>
      <c r="K27" s="1891"/>
      <c r="L27" s="1897"/>
    </row>
    <row r="28" spans="2:12" ht="15" customHeight="1">
      <c r="B28" s="1887"/>
      <c r="C28" s="1900"/>
      <c r="D28" s="1901"/>
      <c r="E28" s="1889" t="s">
        <v>1031</v>
      </c>
      <c r="F28" s="1890"/>
      <c r="H28" s="1891"/>
      <c r="I28" s="1895" t="str">
        <f>CO2データ!D127</f>
        <v>サミットエナジー株式会社</v>
      </c>
      <c r="J28" s="1896">
        <f>CO2データ!I127</f>
        <v>4.3800000000000002E-4</v>
      </c>
      <c r="K28" s="1891"/>
      <c r="L28" s="1897"/>
    </row>
    <row r="29" spans="2:12" ht="15" customHeight="1">
      <c r="B29" s="1887"/>
      <c r="C29" s="2182"/>
      <c r="D29" s="2182"/>
      <c r="E29" s="1889"/>
      <c r="F29" s="1890"/>
      <c r="H29" s="1891"/>
      <c r="I29" s="1895" t="str">
        <f>CO2データ!D128</f>
        <v>ＪＸ日鉱日石エネルギー株式会社</v>
      </c>
      <c r="J29" s="1896">
        <f>CO2データ!I128</f>
        <v>3.6699999999999998E-4</v>
      </c>
      <c r="K29" s="1891"/>
      <c r="L29" s="1897"/>
    </row>
    <row r="30" spans="2:12" ht="15" customHeight="1">
      <c r="B30" s="1887"/>
      <c r="C30" s="2182"/>
      <c r="D30" s="2182"/>
      <c r="E30" s="1889"/>
      <c r="F30" s="1890"/>
      <c r="H30" s="1891"/>
      <c r="I30" s="1895" t="str">
        <f>CO2データ!D129</f>
        <v>ＪＥＮホールディングス株式会社</v>
      </c>
      <c r="J30" s="1896">
        <f>CO2データ!I129</f>
        <v>4.9399999999999997E-4</v>
      </c>
      <c r="K30" s="1891"/>
      <c r="L30" s="1897"/>
    </row>
    <row r="31" spans="2:12" ht="15" customHeight="1">
      <c r="B31" s="1887"/>
      <c r="C31" s="2182"/>
      <c r="D31" s="2182"/>
      <c r="E31" s="1889"/>
      <c r="F31" s="1890"/>
      <c r="H31" s="1891"/>
      <c r="I31" s="1895" t="str">
        <f>CO2データ!D130</f>
        <v>志賀高原リゾート開発株式会社</v>
      </c>
      <c r="J31" s="1896">
        <f>CO2データ!I130</f>
        <v>3.1199999999999999E-4</v>
      </c>
      <c r="K31" s="1891"/>
      <c r="L31" s="1897"/>
    </row>
    <row r="32" spans="2:12" ht="15" customHeight="1">
      <c r="B32" s="1887"/>
      <c r="C32" s="2182"/>
      <c r="D32" s="2182"/>
      <c r="E32" s="1889"/>
      <c r="F32" s="1890"/>
      <c r="H32" s="1891"/>
      <c r="I32" s="1895" t="str">
        <f>CO2データ!D131</f>
        <v>昭和シェル石油株式会社</v>
      </c>
      <c r="J32" s="1896">
        <f>CO2データ!I131</f>
        <v>3.6699999999999998E-4</v>
      </c>
      <c r="K32" s="1891"/>
      <c r="L32" s="1897"/>
    </row>
    <row r="33" spans="2:12" ht="15" customHeight="1">
      <c r="B33" s="1887"/>
      <c r="C33" s="2182"/>
      <c r="D33" s="2182"/>
      <c r="E33" s="1889"/>
      <c r="F33" s="1890"/>
      <c r="H33" s="1891"/>
      <c r="I33" s="1895" t="str">
        <f>CO2データ!D132</f>
        <v>新日鉄住金エンジニアリング株式会社</v>
      </c>
      <c r="J33" s="1896">
        <f>CO2データ!I132</f>
        <v>6.5499999999999998E-4</v>
      </c>
      <c r="K33" s="1891"/>
      <c r="L33" s="1897"/>
    </row>
    <row r="34" spans="2:12" ht="15" customHeight="1">
      <c r="B34" s="1887"/>
      <c r="C34" s="2182"/>
      <c r="D34" s="2182"/>
      <c r="E34" s="1889"/>
      <c r="F34" s="1890"/>
      <c r="H34" s="1891"/>
      <c r="I34" s="1895" t="str">
        <f>CO2データ!D133</f>
        <v>泉北天然ガス発電株式会社</v>
      </c>
      <c r="J34" s="1896">
        <f>CO2データ!I133</f>
        <v>3.88E-4</v>
      </c>
      <c r="K34" s="1891"/>
      <c r="L34" s="1897"/>
    </row>
    <row r="35" spans="2:12" ht="15" customHeight="1">
      <c r="B35" s="1887"/>
      <c r="C35" s="2182"/>
      <c r="D35" s="2182"/>
      <c r="E35" s="1889"/>
      <c r="F35" s="1890"/>
      <c r="H35" s="1891"/>
      <c r="I35" s="1895" t="str">
        <f>CO2データ!D134</f>
        <v>ダイヤモンドパワー株式会社</v>
      </c>
      <c r="J35" s="1896">
        <f>CO2データ!I134</f>
        <v>4.3100000000000001E-4</v>
      </c>
      <c r="K35" s="1891"/>
      <c r="L35" s="1897"/>
    </row>
    <row r="36" spans="2:12" ht="15" customHeight="1">
      <c r="B36" s="1887"/>
      <c r="C36" s="2182"/>
      <c r="D36" s="2182"/>
      <c r="E36" s="1889"/>
      <c r="F36" s="1890"/>
      <c r="H36" s="1891"/>
      <c r="I36" s="1895" t="str">
        <f>CO2データ!D135</f>
        <v>テス・エンジニアリング株式会社</v>
      </c>
      <c r="J36" s="1896">
        <f>CO2データ!I135</f>
        <v>4.9399999999999997E-4</v>
      </c>
      <c r="K36" s="1891"/>
      <c r="L36" s="1897"/>
    </row>
    <row r="37" spans="2:12" ht="15" customHeight="1">
      <c r="B37" s="1887"/>
      <c r="C37" s="2182"/>
      <c r="D37" s="2182"/>
      <c r="E37" s="1889"/>
      <c r="F37" s="1890"/>
      <c r="H37" s="1891"/>
      <c r="I37" s="1895" t="str">
        <f>CO2データ!D136</f>
        <v>東京エコサービス株式会社</v>
      </c>
      <c r="J37" s="1896">
        <f>CO2データ!I136</f>
        <v>9.2E-5</v>
      </c>
      <c r="K37" s="1891"/>
      <c r="L37" s="1897"/>
    </row>
    <row r="38" spans="2:12" ht="15" customHeight="1">
      <c r="B38" s="1887"/>
      <c r="C38" s="2182"/>
      <c r="D38" s="2182"/>
      <c r="E38" s="1889"/>
      <c r="F38" s="1890"/>
      <c r="H38" s="1891"/>
      <c r="I38" s="1895" t="str">
        <f>CO2データ!D137</f>
        <v>日本テクノ株式会社</v>
      </c>
      <c r="J38" s="1896">
        <f>CO2データ!I137</f>
        <v>5.0799999999999999E-4</v>
      </c>
      <c r="K38" s="1891"/>
      <c r="L38" s="1897"/>
    </row>
    <row r="39" spans="2:12" ht="15" customHeight="1">
      <c r="B39" s="1887"/>
      <c r="C39" s="2182"/>
      <c r="D39" s="2182"/>
      <c r="E39" s="1889"/>
      <c r="F39" s="1890"/>
      <c r="H39" s="1891"/>
      <c r="I39" s="1895" t="str">
        <f>CO2データ!D138</f>
        <v>日本ロジテック協同組合</v>
      </c>
      <c r="J39" s="1896">
        <f>CO2データ!I138</f>
        <v>4.86E-4</v>
      </c>
      <c r="K39" s="1891"/>
      <c r="L39" s="1897"/>
    </row>
    <row r="40" spans="2:12" ht="15" customHeight="1">
      <c r="B40" s="1887"/>
      <c r="C40" s="2182"/>
      <c r="D40" s="2182"/>
      <c r="E40" s="1889"/>
      <c r="F40" s="1890"/>
      <c r="H40" s="1891"/>
      <c r="I40" s="1895" t="str">
        <f>CO2データ!D139</f>
        <v>パナソニック株式会社</v>
      </c>
      <c r="J40" s="1896">
        <f>CO2データ!I139</f>
        <v>4.9799999999999996E-4</v>
      </c>
      <c r="K40" s="1891"/>
      <c r="L40" s="1897"/>
    </row>
    <row r="41" spans="2:12" ht="15" customHeight="1">
      <c r="B41" s="1887"/>
      <c r="C41" s="2182"/>
      <c r="D41" s="2182"/>
      <c r="E41" s="1889"/>
      <c r="F41" s="1890"/>
      <c r="H41" s="1891"/>
      <c r="I41" s="1895" t="str">
        <f>CO2データ!D140</f>
        <v>プレミアムグリーンパワー株式会社</v>
      </c>
      <c r="J41" s="1896">
        <f>CO2データ!I140</f>
        <v>1.8E-5</v>
      </c>
      <c r="K41" s="1891"/>
      <c r="L41" s="1897"/>
    </row>
    <row r="42" spans="2:12" ht="15" customHeight="1">
      <c r="B42" s="1887"/>
      <c r="C42" s="2182"/>
      <c r="D42" s="2182"/>
      <c r="E42" s="1889"/>
      <c r="F42" s="1890"/>
      <c r="H42" s="1891"/>
      <c r="I42" s="1895" t="str">
        <f>CO2データ!D141</f>
        <v>丸紅株式会社</v>
      </c>
      <c r="J42" s="1896">
        <f>CO2データ!I141</f>
        <v>3.7800000000000003E-4</v>
      </c>
      <c r="K42" s="1891"/>
      <c r="L42" s="1897"/>
    </row>
    <row r="43" spans="2:12" ht="15" customHeight="1">
      <c r="B43" s="1887"/>
      <c r="C43" s="2182"/>
      <c r="D43" s="2182"/>
      <c r="E43" s="1889"/>
      <c r="F43" s="1890"/>
      <c r="H43" s="1891"/>
      <c r="I43" s="1895" t="str">
        <f>CO2データ!D142</f>
        <v>ミツウロコグリーンエネルギー株式会社</v>
      </c>
      <c r="J43" s="1896">
        <f>CO2データ!I142</f>
        <v>3.6600000000000001E-4</v>
      </c>
      <c r="K43" s="1891"/>
      <c r="L43" s="1897"/>
    </row>
    <row r="44" spans="2:12">
      <c r="B44" s="1904"/>
      <c r="C44" s="1889"/>
      <c r="D44" s="1889"/>
      <c r="E44" s="1889"/>
      <c r="F44" s="1890"/>
      <c r="H44" s="1891"/>
      <c r="I44" s="1895" t="str">
        <f>CO2データ!D143</f>
        <v>リエスパワー株式会社</v>
      </c>
      <c r="J44" s="1896">
        <f>CO2データ!I143</f>
        <v>4.2000000000000002E-4</v>
      </c>
      <c r="K44" s="1891" t="s">
        <v>1278</v>
      </c>
      <c r="L44" s="1897"/>
    </row>
    <row r="45" spans="2:12">
      <c r="B45" s="1904"/>
      <c r="C45" s="1889"/>
      <c r="D45" s="1889"/>
      <c r="E45" s="1889"/>
      <c r="F45" s="1890"/>
      <c r="H45" s="1891" t="s">
        <v>1129</v>
      </c>
      <c r="I45" s="1889"/>
      <c r="J45" s="1889"/>
      <c r="K45" s="1889"/>
      <c r="L45" s="1897"/>
    </row>
    <row r="46" spans="2:12">
      <c r="B46" s="1904"/>
      <c r="C46" s="1889"/>
      <c r="D46" s="1889"/>
      <c r="E46" s="1889"/>
      <c r="F46" s="1890"/>
      <c r="H46" s="1891"/>
      <c r="I46" s="1905">
        <f>CO2データ!D145</f>
        <v>0</v>
      </c>
      <c r="J46" s="1896">
        <f>CO2データ!I145</f>
        <v>5.5000000000000003E-4</v>
      </c>
      <c r="K46" s="1891" t="s">
        <v>1037</v>
      </c>
      <c r="L46" s="1897"/>
    </row>
    <row r="47" spans="2:12" ht="14.25" thickBot="1">
      <c r="B47" s="1906"/>
      <c r="C47" s="1907"/>
      <c r="D47" s="1907"/>
      <c r="E47" s="1907"/>
      <c r="F47" s="1908"/>
      <c r="H47" s="1909"/>
      <c r="I47" s="1910"/>
      <c r="J47" s="1910"/>
      <c r="K47" s="1910"/>
      <c r="L47" s="1911"/>
    </row>
    <row r="48" spans="2:12">
      <c r="H48" s="1745"/>
      <c r="I48" s="1745"/>
      <c r="J48" s="1745"/>
      <c r="K48" s="1745"/>
    </row>
    <row r="49" spans="2:10" hidden="1">
      <c r="B49" s="1745" t="s">
        <v>1040</v>
      </c>
      <c r="D49" s="1745" t="str">
        <f>CO2データ!I104</f>
        <v>実排出係数及び代替値</v>
      </c>
      <c r="F49" s="1745" t="str">
        <f>CO2データ!K104</f>
        <v>調整後排出係数</v>
      </c>
      <c r="G49" s="1745"/>
      <c r="H49" s="1745"/>
    </row>
    <row r="50" spans="2:10" hidden="1">
      <c r="C50" s="1457" t="s">
        <v>1194</v>
      </c>
      <c r="D50" s="1745">
        <f>CO2データ!I129</f>
        <v>4.9399999999999997E-4</v>
      </c>
      <c r="F50" s="1745">
        <f>CO2データ!K129</f>
        <v>4.8999999999999998E-4</v>
      </c>
      <c r="I50" s="1912" t="s">
        <v>893</v>
      </c>
      <c r="J50" t="str">
        <f>IF(C5=C16,VLOOKUP(C5,C50:F88,4),"N.A.")</f>
        <v>N.A.</v>
      </c>
    </row>
    <row r="51" spans="2:10" hidden="1">
      <c r="C51" s="1457" t="s">
        <v>1193</v>
      </c>
      <c r="D51" s="1745">
        <f>CO2データ!I128</f>
        <v>3.6699999999999998E-4</v>
      </c>
      <c r="F51" s="1745">
        <f>CO2データ!K128</f>
        <v>3.6400000000000001E-4</v>
      </c>
      <c r="I51" s="1912" t="s">
        <v>1042</v>
      </c>
      <c r="J51" t="e">
        <f>D16-J50</f>
        <v>#N/A</v>
      </c>
    </row>
    <row r="52" spans="2:10" hidden="1">
      <c r="C52" s="1457" t="s">
        <v>1041</v>
      </c>
      <c r="D52" s="1745">
        <f>CO2データ!I115</f>
        <v>6.0300000000000002E-4</v>
      </c>
      <c r="F52" s="1745">
        <f>CO2データ!K115</f>
        <v>4.28E-4</v>
      </c>
    </row>
    <row r="53" spans="2:10" hidden="1">
      <c r="C53" s="1457" t="s">
        <v>1043</v>
      </c>
      <c r="D53" s="1745">
        <f>CO2データ!I118</f>
        <v>6.1600000000000001E-4</v>
      </c>
      <c r="F53" s="1745">
        <f>CO2データ!K118</f>
        <v>4.8200000000000001E-4</v>
      </c>
    </row>
    <row r="54" spans="2:10" hidden="1">
      <c r="C54" s="1457" t="s">
        <v>1189</v>
      </c>
      <c r="D54" s="1745">
        <f>CO2データ!I121</f>
        <v>7.6199999999999998E-4</v>
      </c>
      <c r="F54" s="1745">
        <f>CO2データ!K121</f>
        <v>7.5699999999999997E-4</v>
      </c>
    </row>
    <row r="55" spans="2:10" hidden="1">
      <c r="C55" s="1457" t="s">
        <v>1044</v>
      </c>
      <c r="D55" s="1745">
        <f>CO2データ!I127</f>
        <v>4.3800000000000002E-4</v>
      </c>
      <c r="F55" s="1745">
        <f>CO2データ!K127</f>
        <v>2.5900000000000001E-4</v>
      </c>
    </row>
    <row r="56" spans="2:10" hidden="1">
      <c r="C56" s="1457" t="s">
        <v>1045</v>
      </c>
      <c r="D56" s="1745">
        <f>CO2データ!I134</f>
        <v>4.3100000000000001E-4</v>
      </c>
      <c r="F56" s="1745">
        <f>CO2データ!K134</f>
        <v>4.2700000000000002E-4</v>
      </c>
    </row>
    <row r="57" spans="2:10" hidden="1">
      <c r="C57" s="1457" t="s">
        <v>1198</v>
      </c>
      <c r="D57" s="1745">
        <f>CO2データ!I135</f>
        <v>4.9399999999999997E-4</v>
      </c>
      <c r="F57" s="1745">
        <f>CO2データ!K135</f>
        <v>4.8999999999999998E-4</v>
      </c>
    </row>
    <row r="58" spans="2:10" hidden="1">
      <c r="C58" s="1457" t="s">
        <v>1046</v>
      </c>
      <c r="D58" s="1745">
        <f>CO2データ!I139</f>
        <v>4.9799999999999996E-4</v>
      </c>
      <c r="F58" s="1745">
        <f>CO2データ!K139</f>
        <v>4.9200000000000003E-4</v>
      </c>
    </row>
    <row r="59" spans="2:10" hidden="1">
      <c r="C59" s="1457" t="s">
        <v>1202</v>
      </c>
      <c r="D59" s="1745">
        <f>CO2データ!I140</f>
        <v>1.8E-5</v>
      </c>
      <c r="F59" s="1745">
        <f>CO2データ!K140</f>
        <v>2.1999999999999999E-5</v>
      </c>
    </row>
    <row r="60" spans="2:10" hidden="1">
      <c r="C60" s="1457" t="s">
        <v>1203</v>
      </c>
      <c r="D60" s="1745">
        <f>CO2データ!I142</f>
        <v>3.6600000000000001E-4</v>
      </c>
      <c r="F60" s="1745">
        <f>CO2データ!K142</f>
        <v>4.4499999999999997E-4</v>
      </c>
    </row>
    <row r="61" spans="2:10" hidden="1">
      <c r="C61" s="1457" t="s">
        <v>1204</v>
      </c>
      <c r="D61" s="1745">
        <f>CO2データ!I143</f>
        <v>4.2000000000000002E-4</v>
      </c>
      <c r="F61" s="1745">
        <f>CO2データ!K143</f>
        <v>0</v>
      </c>
    </row>
    <row r="62" spans="2:10" hidden="1">
      <c r="C62" s="1457" t="s">
        <v>1187</v>
      </c>
      <c r="D62" s="1745">
        <f>CO2データ!I117</f>
        <v>6.7599999999999995E-4</v>
      </c>
      <c r="F62" s="1745">
        <f>CO2データ!K117</f>
        <v>2.9300000000000002E-4</v>
      </c>
    </row>
    <row r="63" spans="2:10" hidden="1">
      <c r="C63" s="1457" t="s">
        <v>1188</v>
      </c>
      <c r="D63" s="1745">
        <f>CO2データ!I119</f>
        <v>4.5600000000000003E-4</v>
      </c>
      <c r="F63" s="1745">
        <f>CO2データ!K119</f>
        <v>4.5600000000000003E-4</v>
      </c>
    </row>
    <row r="64" spans="2:10" hidden="1">
      <c r="C64" s="1457" t="s">
        <v>1047</v>
      </c>
      <c r="D64" s="1745">
        <f>CO2データ!I120</f>
        <v>4.75E-4</v>
      </c>
      <c r="F64" s="1745">
        <f>CO2データ!K120</f>
        <v>4.7100000000000001E-4</v>
      </c>
    </row>
    <row r="65" spans="3:6" hidden="1">
      <c r="C65" s="1457" t="s">
        <v>1048</v>
      </c>
      <c r="D65" s="1745">
        <f>CO2データ!I114</f>
        <v>9.0300000000000005E-4</v>
      </c>
      <c r="F65" s="1745">
        <f>CO2データ!K114</f>
        <v>6.9200000000000002E-4</v>
      </c>
    </row>
    <row r="66" spans="3:6" hidden="1">
      <c r="C66" s="1457" t="s">
        <v>1049</v>
      </c>
      <c r="D66" s="1745">
        <f>CO2データ!I124</f>
        <v>5.2499999999999997E-4</v>
      </c>
      <c r="F66" s="1745">
        <f>CO2データ!K124</f>
        <v>4.4499999999999997E-4</v>
      </c>
    </row>
    <row r="67" spans="3:6" hidden="1">
      <c r="C67" s="1457" t="s">
        <v>1191</v>
      </c>
      <c r="D67" s="1745">
        <f>CO2データ!I125</f>
        <v>4.4099999999999999E-4</v>
      </c>
      <c r="F67" s="1745">
        <f>CO2データ!K125</f>
        <v>0</v>
      </c>
    </row>
    <row r="68" spans="3:6" hidden="1">
      <c r="C68" s="1457" t="s">
        <v>1190</v>
      </c>
      <c r="D68" s="1745">
        <f>CO2データ!I122</f>
        <v>0</v>
      </c>
      <c r="F68" s="1745">
        <f>CO2データ!K122</f>
        <v>0</v>
      </c>
    </row>
    <row r="69" spans="3:6" hidden="1">
      <c r="C69" s="1457" t="s">
        <v>1050</v>
      </c>
      <c r="D69" s="1745">
        <f>CO2データ!I123</f>
        <v>4.2900000000000002E-4</v>
      </c>
      <c r="F69" s="1745">
        <f>CO2データ!K123</f>
        <v>4.2700000000000002E-4</v>
      </c>
    </row>
    <row r="70" spans="3:6" hidden="1">
      <c r="C70" s="1457" t="s">
        <v>1192</v>
      </c>
      <c r="D70" s="1745">
        <f>CO2データ!I126</f>
        <v>7.9699999999999997E-4</v>
      </c>
      <c r="F70" s="1745">
        <f>CO2データ!K126</f>
        <v>7.8899999999999999E-4</v>
      </c>
    </row>
    <row r="71" spans="3:6" hidden="1">
      <c r="C71" s="1457" t="s">
        <v>1051</v>
      </c>
      <c r="D71" s="1745">
        <f>CO2データ!I110</f>
        <v>5.1400000000000003E-4</v>
      </c>
      <c r="F71" s="1745">
        <f>CO2データ!K110</f>
        <v>4.75E-4</v>
      </c>
    </row>
    <row r="72" spans="3:6" hidden="1">
      <c r="C72" s="1457" t="s">
        <v>1052</v>
      </c>
      <c r="D72" s="1745">
        <f>CO2データ!I141</f>
        <v>3.7800000000000003E-4</v>
      </c>
      <c r="F72" s="1745">
        <f>CO2データ!K141</f>
        <v>3.2400000000000001E-4</v>
      </c>
    </row>
    <row r="73" spans="3:6" hidden="1">
      <c r="C73" s="1457" t="s">
        <v>1053</v>
      </c>
      <c r="D73" s="1745">
        <f>CO2データ!I113</f>
        <v>6.1200000000000002E-4</v>
      </c>
      <c r="F73" s="1745">
        <f>CO2データ!K113</f>
        <v>5.9900000000000003E-4</v>
      </c>
    </row>
    <row r="74" spans="3:6" hidden="1">
      <c r="C74" s="1457" t="s">
        <v>1054</v>
      </c>
      <c r="D74" s="1745">
        <f>CO2データ!I112</f>
        <v>6.9999999999999999E-4</v>
      </c>
      <c r="F74" s="1745">
        <f>CO2データ!K112</f>
        <v>6.5600000000000001E-4</v>
      </c>
    </row>
    <row r="75" spans="3:6" hidden="1">
      <c r="C75" s="1457" t="s">
        <v>1195</v>
      </c>
      <c r="D75" s="1745">
        <f>CO2データ!I130</f>
        <v>3.1199999999999999E-4</v>
      </c>
      <c r="F75" s="1745">
        <f>CO2データ!K130</f>
        <v>3.0899999999999998E-4</v>
      </c>
    </row>
    <row r="76" spans="3:6" hidden="1">
      <c r="C76" s="1457" t="s">
        <v>1186</v>
      </c>
      <c r="D76" s="1745">
        <f>CO2データ!I116</f>
        <v>8.6000000000000003E-5</v>
      </c>
      <c r="F76" s="1745">
        <f>CO2データ!K116</f>
        <v>1.06E-4</v>
      </c>
    </row>
    <row r="77" spans="3:6" hidden="1">
      <c r="C77" s="1457" t="s">
        <v>1055</v>
      </c>
      <c r="D77" s="1745">
        <f>CO2データ!I131</f>
        <v>3.6699999999999998E-4</v>
      </c>
      <c r="F77" s="1745">
        <f>CO2データ!K131</f>
        <v>3.6400000000000001E-4</v>
      </c>
    </row>
    <row r="78" spans="3:6" hidden="1">
      <c r="C78" s="1457" t="s">
        <v>1196</v>
      </c>
      <c r="D78" s="1745">
        <f>CO2データ!I132</f>
        <v>6.5499999999999998E-4</v>
      </c>
      <c r="F78" s="1745">
        <f>CO2データ!K132</f>
        <v>6.5399999999999996E-4</v>
      </c>
    </row>
    <row r="79" spans="3:6" hidden="1">
      <c r="C79" s="1457" t="s">
        <v>1197</v>
      </c>
      <c r="D79" s="1745">
        <f>CO2データ!I133</f>
        <v>3.88E-4</v>
      </c>
      <c r="F79" s="1745">
        <f>CO2データ!K133</f>
        <v>3.8499999999999998E-4</v>
      </c>
    </row>
    <row r="80" spans="3:6" hidden="1">
      <c r="C80" s="1457" t="s">
        <v>1056</v>
      </c>
      <c r="D80" s="1745">
        <f>CO2データ!I111</f>
        <v>7.3800000000000005E-4</v>
      </c>
      <c r="F80" s="1745">
        <f>CO2データ!K111</f>
        <v>6.7199999999999996E-4</v>
      </c>
    </row>
    <row r="81" spans="3:6" hidden="1">
      <c r="C81" s="1457" t="s">
        <v>1057</v>
      </c>
      <c r="D81" s="1745">
        <f>CO2データ!I108</f>
        <v>5.1599999999999997E-4</v>
      </c>
      <c r="F81" s="1745">
        <f>CO2データ!K108</f>
        <v>3.7300000000000001E-4</v>
      </c>
    </row>
    <row r="82" spans="3:6" hidden="1">
      <c r="C82" s="1457" t="s">
        <v>1199</v>
      </c>
      <c r="D82" s="1745">
        <f>CO2データ!I136</f>
        <v>9.2E-5</v>
      </c>
      <c r="F82" s="1745">
        <f>CO2データ!K136</f>
        <v>9.1000000000000003E-5</v>
      </c>
    </row>
    <row r="83" spans="3:6" hidden="1">
      <c r="C83" s="1457" t="s">
        <v>1036</v>
      </c>
      <c r="D83" s="1745">
        <f>CO2データ!I107</f>
        <v>5.2499999999999997E-4</v>
      </c>
      <c r="F83" s="1745">
        <f>CO2データ!K107</f>
        <v>4.06E-4</v>
      </c>
    </row>
    <row r="84" spans="3:6" hidden="1">
      <c r="C84" s="1457" t="s">
        <v>1058</v>
      </c>
      <c r="D84" s="1745">
        <f>CO2データ!I106</f>
        <v>5.9999999999999995E-4</v>
      </c>
      <c r="F84" s="1745">
        <f>CO2データ!K106</f>
        <v>5.5999999999999995E-4</v>
      </c>
    </row>
    <row r="85" spans="3:6" hidden="1">
      <c r="C85" s="1457" t="s">
        <v>1200</v>
      </c>
      <c r="D85" s="1745">
        <f>CO2データ!I137</f>
        <v>5.0799999999999999E-4</v>
      </c>
      <c r="F85" s="1745">
        <f>CO2データ!K137</f>
        <v>5.0900000000000001E-4</v>
      </c>
    </row>
    <row r="86" spans="3:6" hidden="1">
      <c r="C86" s="1457" t="s">
        <v>1201</v>
      </c>
      <c r="D86" s="1745">
        <f>CO2データ!I138</f>
        <v>4.86E-4</v>
      </c>
      <c r="F86" s="1745">
        <f>CO2データ!K138</f>
        <v>2.5599999999999999E-4</v>
      </c>
    </row>
    <row r="87" spans="3:6" hidden="1">
      <c r="C87" s="1457" t="s">
        <v>1059</v>
      </c>
      <c r="D87" s="1745">
        <f>CO2データ!I105</f>
        <v>6.8800000000000003E-4</v>
      </c>
      <c r="F87" s="1745">
        <f>CO2データ!K105</f>
        <v>6.8000000000000005E-4</v>
      </c>
    </row>
    <row r="88" spans="3:6" hidden="1">
      <c r="C88" s="1457" t="s">
        <v>1060</v>
      </c>
      <c r="D88" s="1745">
        <f>CO2データ!I109</f>
        <v>6.6299999999999996E-4</v>
      </c>
      <c r="F88" s="1745">
        <f>CO2データ!K109</f>
        <v>4.9399999999999997E-4</v>
      </c>
    </row>
  </sheetData>
  <sheetProtection password="CC47" sheet="1" objects="1" scenarios="1"/>
  <mergeCells count="1">
    <mergeCell ref="C13:E14"/>
  </mergeCells>
  <phoneticPr fontId="20"/>
  <conditionalFormatting sqref="C16">
    <cfRule type="expression" dxfId="60" priority="1" stopIfTrue="1">
      <formula>$O$3=2</formula>
    </cfRule>
  </conditionalFormatting>
  <conditionalFormatting sqref="C10:D10">
    <cfRule type="expression" dxfId="59" priority="2" stopIfTrue="1">
      <formula>$O$3=1</formula>
    </cfRule>
  </conditionalFormatting>
  <conditionalFormatting sqref="C20:D20">
    <cfRule type="expression" dxfId="58" priority="3" stopIfTrue="1">
      <formula>$O$3=3</formula>
    </cfRule>
  </conditionalFormatting>
  <conditionalFormatting sqref="C28:D43">
    <cfRule type="expression" dxfId="57" priority="4" stopIfTrue="1">
      <formula>$O$3=5</formula>
    </cfRule>
  </conditionalFormatting>
  <dataValidations count="1">
    <dataValidation type="list" allowBlank="1" showInputMessage="1" showErrorMessage="1" sqref="C16">
      <formula1>$I$6:$I$44</formula1>
    </dataValidation>
  </dataValidations>
  <pageMargins left="0.75" right="0.75" top="1" bottom="1" header="0.51200000000000001" footer="0.51200000000000001"/>
  <pageSetup paperSize="9" scale="64" orientation="portrait" verticalDpi="360" r:id="rId1"/>
  <headerFooter alignWithMargins="0">
    <oddHeader>&amp;L&amp;F&amp;R&amp;A</oddHeader>
    <oddFooter>&amp;C&amp;P/&amp;N</oddFooter>
  </headerFooter>
  <legacyDrawing r:id="rId2"/>
</worksheet>
</file>

<file path=xl/worksheets/sheet9.xml><?xml version="1.0" encoding="utf-8"?>
<worksheet xmlns="http://schemas.openxmlformats.org/spreadsheetml/2006/main" xmlns:r="http://schemas.openxmlformats.org/officeDocument/2006/relationships">
  <sheetPr codeName="Sheet8">
    <pageSetUpPr fitToPage="1"/>
  </sheetPr>
  <dimension ref="A1:AC118"/>
  <sheetViews>
    <sheetView showGridLines="0" zoomScaleNormal="100" zoomScaleSheetLayoutView="100" workbookViewId="0">
      <selection activeCell="E6" sqref="E6:G6"/>
    </sheetView>
  </sheetViews>
  <sheetFormatPr defaultColWidth="0" defaultRowHeight="13.5" zeroHeight="1"/>
  <cols>
    <col min="1" max="2" width="1.375" customWidth="1"/>
    <col min="3" max="3" width="2.125" customWidth="1"/>
    <col min="4" max="4" width="2.5" customWidth="1"/>
    <col min="5" max="8" width="9.5" customWidth="1"/>
    <col min="9" max="9" width="11.375" customWidth="1"/>
    <col min="10" max="13" width="9.5" customWidth="1"/>
    <col min="14" max="14" width="10.75" customWidth="1"/>
    <col min="15" max="15" width="3.25" customWidth="1"/>
    <col min="16" max="16" width="9.5" customWidth="1"/>
    <col min="17" max="17" width="10.75" customWidth="1"/>
    <col min="18" max="18" width="1" customWidth="1"/>
    <col min="19" max="19" width="26.875" hidden="1" customWidth="1"/>
    <col min="20" max="20" width="23.5" hidden="1" customWidth="1"/>
    <col min="21" max="21" width="23.25" hidden="1" customWidth="1"/>
    <col min="22" max="23" width="9.125" hidden="1" customWidth="1"/>
    <col min="24" max="24" width="13.875" hidden="1" customWidth="1"/>
    <col min="25" max="25" width="12.75" hidden="1" customWidth="1"/>
    <col min="26" max="26" width="8.375" hidden="1" customWidth="1"/>
    <col min="27" max="27" width="10.375" hidden="1" customWidth="1"/>
    <col min="28" max="28" width="13.875" hidden="1" customWidth="1"/>
    <col min="29" max="29" width="12.75" hidden="1" customWidth="1"/>
    <col min="30" max="16384" width="9" hidden="1"/>
  </cols>
  <sheetData>
    <row r="1" spans="2:29" ht="9.75" customHeight="1" thickBot="1"/>
    <row r="2" spans="2:29" ht="25.5" customHeight="1">
      <c r="B2" s="2196"/>
      <c r="C2" s="2197" t="s">
        <v>1289</v>
      </c>
      <c r="D2" s="2198"/>
      <c r="E2" s="2198"/>
      <c r="F2" s="2199"/>
      <c r="G2" s="2199"/>
      <c r="H2" s="2200"/>
      <c r="I2" s="2198"/>
      <c r="J2" s="2201"/>
      <c r="K2" s="2201"/>
      <c r="L2" s="2201"/>
      <c r="M2" s="2202" t="s">
        <v>798</v>
      </c>
      <c r="N2" s="3031">
        <f>メイン!H11</f>
        <v>0</v>
      </c>
      <c r="O2" s="3031"/>
      <c r="P2" s="3031"/>
      <c r="Q2" s="2203"/>
    </row>
    <row r="3" spans="2:29">
      <c r="B3" s="2204"/>
      <c r="C3" s="2205"/>
      <c r="D3" s="2205"/>
      <c r="E3" s="2205"/>
      <c r="F3" s="2205"/>
      <c r="G3" s="2205"/>
      <c r="H3" s="2205"/>
      <c r="I3" s="2205"/>
      <c r="J3" s="2205"/>
      <c r="K3" s="2205"/>
      <c r="L3" s="2205"/>
      <c r="M3" s="2205"/>
      <c r="N3" s="2205"/>
      <c r="O3" s="2205"/>
      <c r="P3" s="2205"/>
      <c r="Q3" s="2206"/>
      <c r="S3" t="s">
        <v>1290</v>
      </c>
      <c r="U3" s="2207" t="s">
        <v>1291</v>
      </c>
      <c r="V3" s="2168">
        <f>IF($I$6&lt;=W9,V10,IF($I$6&lt;=W8,V9,IF($I$6&lt;=W7,V8,IF($I$6&lt;=W6,V7,1))))</f>
        <v>5</v>
      </c>
      <c r="X3">
        <f>VLOOKUP($V$3,V6:Y10,3)</f>
        <v>-10.000000000000002</v>
      </c>
      <c r="Y3">
        <f>VLOOKUP($V$3,V6:Y10,4)</f>
        <v>13.000000000000002</v>
      </c>
      <c r="Z3" s="2168">
        <f>IF($I$6&lt;=AA9,Z10,IF($I$6&lt;=AA8,Z9,IF($I$6&lt;=AA7,Z8,IF($I$6&lt;=AA6,Z7,1))))</f>
        <v>5</v>
      </c>
      <c r="AB3">
        <f>VLOOKUP($Z$3,Z6:AC10,3)</f>
        <v>-12.499999999999989</v>
      </c>
      <c r="AC3">
        <f>VLOOKUP($Z$3,Z6:AC10,4)</f>
        <v>15.624999999999991</v>
      </c>
    </row>
    <row r="4" spans="2:29">
      <c r="B4" s="2204"/>
      <c r="C4" s="2205"/>
      <c r="D4" s="2205"/>
      <c r="E4" s="2205"/>
      <c r="F4" s="2205"/>
      <c r="G4" s="2205"/>
      <c r="H4" s="2205"/>
      <c r="I4" s="2208" t="s">
        <v>1292</v>
      </c>
      <c r="J4" s="2205"/>
      <c r="K4" s="2205"/>
      <c r="L4" s="2205"/>
      <c r="M4" s="2208" t="s">
        <v>1293</v>
      </c>
      <c r="N4" s="2205"/>
      <c r="O4" s="2205"/>
      <c r="P4" s="2205"/>
      <c r="Q4" s="2206"/>
      <c r="S4" t="s">
        <v>1294</v>
      </c>
      <c r="U4" s="2207" t="s">
        <v>1295</v>
      </c>
      <c r="V4" s="2168">
        <f>IF($I$6&lt;=W16,V16,IF($I$6&lt;=W15,V15,IF($I$6&lt;=W14,V14,1)))</f>
        <v>4</v>
      </c>
      <c r="Z4" s="2168">
        <f>IF($I$6&lt;=AA16,Z16,IF($I$6&lt;=AA15,Z15,IF($I$6&lt;=AA14,Z14,IF($I$6&lt;=AA13,Z13,1))))</f>
        <v>4</v>
      </c>
    </row>
    <row r="5" spans="2:29" ht="14.25" thickBot="1">
      <c r="B5" s="2204"/>
      <c r="C5" s="2209" t="s">
        <v>1296</v>
      </c>
      <c r="D5" s="2208" t="s">
        <v>1297</v>
      </c>
      <c r="E5" s="2205"/>
      <c r="F5" s="2205"/>
      <c r="G5" s="2205"/>
      <c r="H5" s="2205"/>
      <c r="I5" s="2205"/>
      <c r="J5" s="2205"/>
      <c r="K5" s="2205"/>
      <c r="L5" s="2205"/>
      <c r="M5" s="2205"/>
      <c r="N5" s="2205"/>
      <c r="O5" s="2205"/>
      <c r="P5" s="2205"/>
      <c r="Q5" s="2206"/>
      <c r="T5" t="s">
        <v>823</v>
      </c>
      <c r="U5" t="s">
        <v>1298</v>
      </c>
      <c r="V5" s="1" t="s">
        <v>1299</v>
      </c>
      <c r="W5" s="1" t="s">
        <v>1300</v>
      </c>
      <c r="X5" t="s">
        <v>1123</v>
      </c>
      <c r="Y5" t="s">
        <v>1124</v>
      </c>
      <c r="Z5" s="1" t="s">
        <v>1299</v>
      </c>
      <c r="AA5" s="1" t="s">
        <v>1799</v>
      </c>
      <c r="AB5" t="s">
        <v>1123</v>
      </c>
      <c r="AC5" t="s">
        <v>1124</v>
      </c>
    </row>
    <row r="6" spans="2:29" ht="14.25" thickBot="1">
      <c r="B6" s="2204"/>
      <c r="C6" s="2205"/>
      <c r="D6" s="2208"/>
      <c r="E6" s="3024" t="s">
        <v>1290</v>
      </c>
      <c r="F6" s="3025"/>
      <c r="G6" s="3026"/>
      <c r="H6" s="2210" t="str">
        <f>IF(E6=S3,U3,U4)</f>
        <v>BPI=</v>
      </c>
      <c r="I6" s="2211"/>
      <c r="J6" s="2205"/>
      <c r="K6" s="2205"/>
      <c r="L6" s="2212" t="s">
        <v>1301</v>
      </c>
      <c r="M6" s="2213"/>
      <c r="N6" s="2205"/>
      <c r="O6" s="2205"/>
      <c r="P6" s="2205"/>
      <c r="Q6" s="2206"/>
      <c r="T6" t="s">
        <v>229</v>
      </c>
      <c r="V6" s="1">
        <v>1</v>
      </c>
      <c r="W6" s="1">
        <v>1.03</v>
      </c>
      <c r="X6" s="2168">
        <v>0</v>
      </c>
      <c r="Y6" s="2168">
        <v>1</v>
      </c>
      <c r="Z6" s="1">
        <v>1</v>
      </c>
      <c r="AA6" s="1">
        <v>1.03</v>
      </c>
      <c r="AB6" s="2168">
        <v>0</v>
      </c>
      <c r="AC6" s="2168">
        <v>1</v>
      </c>
    </row>
    <row r="7" spans="2:29" ht="5.25" customHeight="1">
      <c r="B7" s="2204"/>
      <c r="C7" s="2205"/>
      <c r="D7" s="2205"/>
      <c r="E7" s="2205"/>
      <c r="F7" s="2205"/>
      <c r="G7" s="2205"/>
      <c r="H7" s="2205"/>
      <c r="I7" s="2205"/>
      <c r="J7" s="2205"/>
      <c r="K7" s="2205"/>
      <c r="L7" s="2205"/>
      <c r="M7" s="2205"/>
      <c r="N7" s="2205"/>
      <c r="O7" s="2205"/>
      <c r="P7" s="2205"/>
      <c r="Q7" s="2206"/>
      <c r="T7" t="s">
        <v>230</v>
      </c>
      <c r="V7" s="1">
        <v>2</v>
      </c>
      <c r="W7" s="1">
        <v>1</v>
      </c>
      <c r="X7">
        <f>(V7-V6)/(W7-W6)</f>
        <v>-33.333333333333307</v>
      </c>
      <c r="Y7">
        <f>V7-X7*W7</f>
        <v>35.333333333333307</v>
      </c>
      <c r="Z7" s="1">
        <v>2</v>
      </c>
      <c r="AA7" s="1">
        <v>1</v>
      </c>
      <c r="AB7">
        <f>(Z7-Z6)/(AA7-AA6)</f>
        <v>-33.333333333333307</v>
      </c>
      <c r="AC7">
        <f>Z7-AB7*AA7</f>
        <v>35.333333333333307</v>
      </c>
    </row>
    <row r="8" spans="2:29">
      <c r="B8" s="2204"/>
      <c r="C8" s="2205"/>
      <c r="D8" s="2205"/>
      <c r="E8" s="2205"/>
      <c r="F8" s="2205"/>
      <c r="G8" s="2205"/>
      <c r="H8" s="2205"/>
      <c r="I8" s="2214" t="str">
        <f>W5</f>
        <v>1～7地域</v>
      </c>
      <c r="J8" s="2214" t="str">
        <f>AA5</f>
        <v>８地域</v>
      </c>
      <c r="K8" s="2205"/>
      <c r="L8" s="2205"/>
      <c r="M8" s="2205"/>
      <c r="N8" s="2205"/>
      <c r="O8" s="2205"/>
      <c r="P8" s="2205"/>
      <c r="Q8" s="2206"/>
      <c r="T8" t="s">
        <v>231</v>
      </c>
      <c r="V8" s="1">
        <v>3</v>
      </c>
      <c r="W8" s="1">
        <v>0.97</v>
      </c>
      <c r="X8">
        <f>(V8-V7)/(W8-W7)</f>
        <v>-33.333333333333307</v>
      </c>
      <c r="Y8">
        <f>V8-X8*W8</f>
        <v>35.333333333333307</v>
      </c>
      <c r="Z8" s="1">
        <v>3</v>
      </c>
      <c r="AA8" s="1">
        <v>0.97</v>
      </c>
      <c r="AB8">
        <f>(Z8-Z7)/(AA8-AA7)</f>
        <v>-33.333333333333307</v>
      </c>
      <c r="AC8">
        <f>Z8-AB8*AA8</f>
        <v>35.333333333333307</v>
      </c>
    </row>
    <row r="9" spans="2:29">
      <c r="B9" s="2204"/>
      <c r="C9" s="2205"/>
      <c r="D9" s="2205"/>
      <c r="E9" s="2205"/>
      <c r="F9" s="2205" t="s">
        <v>1299</v>
      </c>
      <c r="G9" s="2205"/>
      <c r="H9" s="2212" t="s">
        <v>1302</v>
      </c>
      <c r="I9" s="2215">
        <f>IF(I6&lt;=0.8,5,I6*X3+Y3)</f>
        <v>5</v>
      </c>
      <c r="J9" s="2215">
        <f>IF(I6&lt;=0.85,5,I6*AB3+AC3)</f>
        <v>5</v>
      </c>
      <c r="K9" s="2205"/>
      <c r="L9" s="2205"/>
      <c r="M9" s="2205"/>
      <c r="N9" s="2205"/>
      <c r="O9" s="2205"/>
      <c r="P9" s="2205"/>
      <c r="Q9" s="2206"/>
      <c r="T9" t="s">
        <v>232</v>
      </c>
      <c r="V9" s="1">
        <v>4</v>
      </c>
      <c r="W9" s="1">
        <v>0.9</v>
      </c>
      <c r="X9">
        <f>(V9-V8)/(W9-W8)</f>
        <v>-14.285714285714295</v>
      </c>
      <c r="Y9">
        <f>V9-X9*W9</f>
        <v>16.857142857142868</v>
      </c>
      <c r="Z9" s="1">
        <v>4</v>
      </c>
      <c r="AA9" s="1">
        <v>0.93</v>
      </c>
      <c r="AB9">
        <f>(Z9-Z8)/(AA9-AA8)</f>
        <v>-25.000000000000046</v>
      </c>
      <c r="AC9">
        <f>Z9-AB9*AA9</f>
        <v>27.250000000000043</v>
      </c>
    </row>
    <row r="10" spans="2:29">
      <c r="B10" s="2204"/>
      <c r="C10" s="2205"/>
      <c r="D10" s="2205"/>
      <c r="E10" s="2205"/>
      <c r="F10" s="2205"/>
      <c r="G10" s="2205"/>
      <c r="H10" s="2212" t="s">
        <v>1303</v>
      </c>
      <c r="I10" s="2215">
        <f>V4</f>
        <v>4</v>
      </c>
      <c r="J10" s="2215">
        <f>Z4</f>
        <v>4</v>
      </c>
      <c r="K10" s="2205"/>
      <c r="L10" s="2205"/>
      <c r="M10" s="2205"/>
      <c r="N10" s="2205"/>
      <c r="O10" s="2205"/>
      <c r="P10" s="2205"/>
      <c r="Q10" s="2206"/>
      <c r="T10" t="s">
        <v>822</v>
      </c>
      <c r="V10" s="1">
        <v>5</v>
      </c>
      <c r="W10" s="1">
        <v>0.8</v>
      </c>
      <c r="X10">
        <f>(V10-V9)/(W10-W9)</f>
        <v>-10.000000000000002</v>
      </c>
      <c r="Y10">
        <f>V10-X10*W10</f>
        <v>13.000000000000002</v>
      </c>
      <c r="Z10" s="1">
        <v>5</v>
      </c>
      <c r="AA10" s="1">
        <v>0.85</v>
      </c>
      <c r="AB10">
        <f>(Z10-Z9)/(AA10-AA9)</f>
        <v>-12.499999999999989</v>
      </c>
      <c r="AC10">
        <f>Z10-AB10*AA10</f>
        <v>15.624999999999991</v>
      </c>
    </row>
    <row r="11" spans="2:29" ht="5.25" customHeight="1" thickBot="1">
      <c r="B11" s="2204"/>
      <c r="C11" s="2205"/>
      <c r="D11" s="2205"/>
      <c r="E11" s="2205"/>
      <c r="F11" s="2205"/>
      <c r="G11" s="2205"/>
      <c r="H11" s="2212"/>
      <c r="I11" s="2216"/>
      <c r="J11" s="2216"/>
      <c r="K11" s="2205"/>
      <c r="L11" s="2205"/>
      <c r="M11" s="2217"/>
      <c r="N11" s="2205"/>
      <c r="O11" s="2205"/>
      <c r="P11" s="2205"/>
      <c r="Q11" s="2206"/>
    </row>
    <row r="12" spans="2:29" ht="14.25" thickBot="1">
      <c r="B12" s="2204"/>
      <c r="C12" s="2205"/>
      <c r="D12" s="2205"/>
      <c r="E12" s="2208"/>
      <c r="F12" s="2205" t="s">
        <v>1304</v>
      </c>
      <c r="G12" s="2214" t="str">
        <f>メイン!H13</f>
        <v>６地域</v>
      </c>
      <c r="H12" s="2205"/>
      <c r="I12" s="2218">
        <f>IF(I6="",0,IF(E6=S3,IF(G12=AA5,J9,I9),IF(G12=AA5,J10,I10)))</f>
        <v>0</v>
      </c>
      <c r="J12" s="2205"/>
      <c r="K12" s="2205"/>
      <c r="L12" s="2205"/>
      <c r="M12" s="2218" t="str">
        <f>IF(M6="",$T10,IF(M6=T9,5,IF(M6=T8,3,IF(M6=T7,2,1))))</f>
        <v>等級未入力</v>
      </c>
      <c r="N12" s="2205"/>
      <c r="O12" s="2205"/>
      <c r="P12" s="2205"/>
      <c r="Q12" s="2206"/>
      <c r="U12" t="s">
        <v>1305</v>
      </c>
      <c r="V12" s="1" t="s">
        <v>1299</v>
      </c>
      <c r="W12" s="1" t="s">
        <v>1300</v>
      </c>
      <c r="Z12" s="1" t="s">
        <v>1299</v>
      </c>
      <c r="AA12" s="1" t="s">
        <v>1799</v>
      </c>
    </row>
    <row r="13" spans="2:29" ht="6.75" customHeight="1">
      <c r="B13" s="2204"/>
      <c r="C13" s="2205"/>
      <c r="D13" s="2205"/>
      <c r="E13" s="2208"/>
      <c r="F13" s="2205"/>
      <c r="G13" s="2205"/>
      <c r="H13" s="2205"/>
      <c r="I13" s="2205"/>
      <c r="J13" s="2205"/>
      <c r="K13" s="2205"/>
      <c r="L13" s="2205"/>
      <c r="M13" s="2205"/>
      <c r="N13" s="2205"/>
      <c r="O13" s="2205"/>
      <c r="P13" s="2205"/>
      <c r="Q13" s="2206"/>
      <c r="V13" s="1">
        <v>1</v>
      </c>
      <c r="W13" s="1"/>
      <c r="Z13" s="1">
        <v>1</v>
      </c>
      <c r="AA13" s="1"/>
    </row>
    <row r="14" spans="2:29">
      <c r="B14" s="2204"/>
      <c r="C14" s="2205"/>
      <c r="D14" s="2205"/>
      <c r="E14" s="2208"/>
      <c r="F14" s="2205"/>
      <c r="G14" s="2205"/>
      <c r="H14" s="2212" t="s">
        <v>1306</v>
      </c>
      <c r="I14" s="1971">
        <f>H94-H91</f>
        <v>0</v>
      </c>
      <c r="J14" s="2205" t="s">
        <v>1307</v>
      </c>
      <c r="K14" s="2205"/>
      <c r="L14" s="2205"/>
      <c r="M14" s="1971">
        <f>M29+N29</f>
        <v>0</v>
      </c>
      <c r="N14" s="2205" t="s">
        <v>1308</v>
      </c>
      <c r="O14" s="2205"/>
      <c r="P14" s="2205"/>
      <c r="Q14" s="2206"/>
      <c r="V14" s="1">
        <v>2</v>
      </c>
      <c r="W14" s="1">
        <v>1</v>
      </c>
      <c r="Z14" s="1">
        <v>2</v>
      </c>
      <c r="AA14" s="1">
        <v>1</v>
      </c>
    </row>
    <row r="15" spans="2:29">
      <c r="B15" s="2204"/>
      <c r="C15" s="2205"/>
      <c r="D15" s="2205"/>
      <c r="E15" s="2208"/>
      <c r="F15" s="2205"/>
      <c r="G15" s="2205"/>
      <c r="H15" s="2212" t="s">
        <v>1309</v>
      </c>
      <c r="I15" s="2219">
        <f>IF(I14+M14=0,0,I14/(I14+M14))</f>
        <v>0</v>
      </c>
      <c r="J15" s="2205"/>
      <c r="K15" s="2205"/>
      <c r="L15" s="2212"/>
      <c r="M15" s="2219">
        <f>IF(I14+M14=0,0,M14/(I14+M14))</f>
        <v>0</v>
      </c>
      <c r="N15" s="2205"/>
      <c r="O15" s="2205"/>
      <c r="P15" s="2205"/>
      <c r="Q15" s="2206"/>
      <c r="V15" s="1">
        <v>3</v>
      </c>
      <c r="W15" s="1">
        <v>0.97</v>
      </c>
      <c r="Z15" s="1">
        <v>3</v>
      </c>
      <c r="AA15" s="1">
        <v>0.97</v>
      </c>
    </row>
    <row r="16" spans="2:29" ht="4.5" customHeight="1" thickBot="1">
      <c r="B16" s="2204"/>
      <c r="C16" s="2205"/>
      <c r="D16" s="2205"/>
      <c r="E16" s="2208"/>
      <c r="F16" s="2205"/>
      <c r="G16" s="2205"/>
      <c r="H16" s="2205"/>
      <c r="I16" s="2205"/>
      <c r="J16" s="2205"/>
      <c r="K16" s="2205"/>
      <c r="L16" s="2205"/>
      <c r="M16" s="2205"/>
      <c r="N16" s="2205"/>
      <c r="O16" s="2205"/>
      <c r="P16" s="2205"/>
      <c r="Q16" s="2206"/>
      <c r="V16" s="1">
        <v>4</v>
      </c>
      <c r="W16" s="1">
        <v>0.9</v>
      </c>
      <c r="Z16" s="1">
        <v>4</v>
      </c>
      <c r="AA16" s="1">
        <v>0.93</v>
      </c>
    </row>
    <row r="17" spans="2:29" ht="14.25" thickBot="1">
      <c r="B17" s="2204"/>
      <c r="C17" s="2205"/>
      <c r="D17" s="2205"/>
      <c r="E17" s="2208" t="s">
        <v>1310</v>
      </c>
      <c r="F17" s="2205"/>
      <c r="G17" s="2205"/>
      <c r="H17" s="2212" t="s">
        <v>818</v>
      </c>
      <c r="I17" s="2220" t="e">
        <f>I12*I15+M12*M15</f>
        <v>#VALUE!</v>
      </c>
      <c r="J17" s="2205"/>
      <c r="K17" s="2205"/>
      <c r="L17" s="2205"/>
      <c r="M17" s="2205"/>
      <c r="N17" s="2205"/>
      <c r="O17" s="2205"/>
      <c r="P17" s="2205"/>
      <c r="Q17" s="2206"/>
      <c r="V17" s="1">
        <v>5</v>
      </c>
      <c r="W17" s="1"/>
      <c r="Z17" s="1">
        <v>5</v>
      </c>
      <c r="AA17" s="1"/>
    </row>
    <row r="18" spans="2:29">
      <c r="B18" s="2204"/>
      <c r="C18" s="2205"/>
      <c r="D18" s="2205"/>
      <c r="E18" s="2205"/>
      <c r="F18" s="2205"/>
      <c r="G18" s="2205"/>
      <c r="H18" s="2205"/>
      <c r="I18" s="2205"/>
      <c r="J18" s="2205"/>
      <c r="K18" s="2205"/>
      <c r="L18" s="2205"/>
      <c r="M18" s="2205"/>
      <c r="N18" s="2205"/>
      <c r="O18" s="2205"/>
      <c r="P18" s="2205"/>
      <c r="Q18" s="2206"/>
    </row>
    <row r="19" spans="2:29" hidden="1">
      <c r="B19" s="2204"/>
      <c r="C19" s="2205"/>
      <c r="D19" s="2221"/>
      <c r="E19" s="2208" t="s">
        <v>1311</v>
      </c>
      <c r="F19" s="2205"/>
      <c r="G19" s="2205"/>
      <c r="H19" s="2205"/>
      <c r="I19" s="2214">
        <f>IF(G12=W20,W25,V25)</f>
        <v>195</v>
      </c>
      <c r="J19" s="2205" t="s">
        <v>1312</v>
      </c>
      <c r="K19" s="2205"/>
      <c r="L19" s="2205"/>
      <c r="M19" s="2205"/>
      <c r="N19" s="2205"/>
      <c r="O19" s="2205"/>
      <c r="P19" s="2205"/>
      <c r="Q19" s="2206"/>
      <c r="T19" t="s">
        <v>1313</v>
      </c>
      <c r="V19" s="2222">
        <f>(1-I6)*100</f>
        <v>100</v>
      </c>
      <c r="Z19">
        <f>IF($I$19&gt;=AA25,Z25,IF($I$19&gt;=AA24,Z24,IF($I$19&gt;=AA23,Z23,IF($I$19&gt;=AA22,Z22,Z21))))</f>
        <v>5</v>
      </c>
      <c r="AB19">
        <f>VLOOKUP($Z$19,Z21:AC25,3)</f>
        <v>0</v>
      </c>
      <c r="AC19">
        <f>VLOOKUP($Z$19,Z21:AC25,4)</f>
        <v>0</v>
      </c>
    </row>
    <row r="20" spans="2:29" ht="13.5" hidden="1" customHeight="1">
      <c r="B20" s="2204"/>
      <c r="C20" s="2205"/>
      <c r="D20" s="2221"/>
      <c r="E20" s="2205"/>
      <c r="F20" s="2205"/>
      <c r="G20" s="2205"/>
      <c r="H20" s="2205"/>
      <c r="I20" s="2205"/>
      <c r="J20" s="2205"/>
      <c r="K20" s="2205"/>
      <c r="L20" s="2205"/>
      <c r="M20" s="2205"/>
      <c r="N20" s="2205"/>
      <c r="O20" s="2205"/>
      <c r="P20" s="2205"/>
      <c r="Q20" s="2206"/>
      <c r="V20" s="1" t="s">
        <v>1300</v>
      </c>
      <c r="W20" s="1" t="s">
        <v>1286</v>
      </c>
      <c r="Z20" s="1" t="s">
        <v>1299</v>
      </c>
      <c r="AA20" s="1" t="s">
        <v>1314</v>
      </c>
      <c r="AB20" t="s">
        <v>1123</v>
      </c>
      <c r="AC20" t="s">
        <v>1124</v>
      </c>
    </row>
    <row r="21" spans="2:29" ht="14.25" hidden="1" thickBot="1">
      <c r="B21" s="2204"/>
      <c r="C21" s="2205"/>
      <c r="D21" s="2221"/>
      <c r="E21" s="2205"/>
      <c r="F21" s="2205"/>
      <c r="G21" s="2205"/>
      <c r="H21" s="2205"/>
      <c r="I21" s="2218">
        <f>IF(I19&gt;=35,5,I19*AB19+AC19)</f>
        <v>5</v>
      </c>
      <c r="J21" s="2205"/>
      <c r="K21" s="2205"/>
      <c r="L21" s="2205"/>
      <c r="M21" s="2205"/>
      <c r="N21" s="2205"/>
      <c r="O21" s="2205"/>
      <c r="P21" s="2205"/>
      <c r="Q21" s="2206"/>
      <c r="U21" s="1912" t="s">
        <v>1315</v>
      </c>
      <c r="V21" s="1">
        <f>2*V19</f>
        <v>200</v>
      </c>
      <c r="W21" s="2223">
        <f>2*V19</f>
        <v>200</v>
      </c>
      <c r="Z21" s="1">
        <v>1</v>
      </c>
      <c r="AA21" s="1">
        <v>-5</v>
      </c>
      <c r="AB21">
        <f>(Z22-Z21)/(AA22-AA21)</f>
        <v>0.2</v>
      </c>
      <c r="AC21">
        <f>Z22-AB21*AA22</f>
        <v>2</v>
      </c>
    </row>
    <row r="22" spans="2:29" ht="13.5" hidden="1" customHeight="1">
      <c r="B22" s="2204"/>
      <c r="C22" s="2205"/>
      <c r="D22" s="2205"/>
      <c r="E22" s="2205"/>
      <c r="F22" s="2205"/>
      <c r="G22" s="2205"/>
      <c r="H22" s="2205"/>
      <c r="I22" s="2205"/>
      <c r="J22" s="2205"/>
      <c r="K22" s="2205"/>
      <c r="L22" s="2205"/>
      <c r="M22" s="2205"/>
      <c r="N22" s="2205"/>
      <c r="O22" s="2205"/>
      <c r="P22" s="2205"/>
      <c r="Q22" s="2206"/>
      <c r="U22" s="1912" t="s">
        <v>1316</v>
      </c>
      <c r="V22" s="2223">
        <f>1.3*V19+1.7</f>
        <v>131.69999999999999</v>
      </c>
      <c r="W22" s="2194">
        <f>2*V19</f>
        <v>200</v>
      </c>
      <c r="Z22" s="1">
        <v>2</v>
      </c>
      <c r="AA22" s="1">
        <v>0</v>
      </c>
      <c r="AB22">
        <f>(Z23-Z22)/(AA23-AA22)</f>
        <v>0.2</v>
      </c>
      <c r="AC22">
        <f>Z23-AB22*AA23</f>
        <v>2</v>
      </c>
    </row>
    <row r="23" spans="2:29" ht="14.25" thickBot="1">
      <c r="B23" s="2204"/>
      <c r="C23" s="2209" t="s">
        <v>1317</v>
      </c>
      <c r="D23" s="2208" t="s">
        <v>1318</v>
      </c>
      <c r="E23" s="2205"/>
      <c r="F23" s="2205"/>
      <c r="G23" s="2205"/>
      <c r="H23" s="2205"/>
      <c r="I23" s="2205"/>
      <c r="J23" s="2205"/>
      <c r="K23" s="2205"/>
      <c r="L23" s="2205"/>
      <c r="M23" s="2205"/>
      <c r="N23" s="2205"/>
      <c r="O23" s="2205"/>
      <c r="P23" s="2205"/>
      <c r="Q23" s="2206"/>
      <c r="U23" s="1912" t="s">
        <v>1319</v>
      </c>
      <c r="V23" s="2194">
        <f>1.3*V19+1.7</f>
        <v>131.69999999999999</v>
      </c>
      <c r="W23" s="2223">
        <f>2.7*V19-5.2</f>
        <v>264.8</v>
      </c>
      <c r="Z23" s="1">
        <v>3</v>
      </c>
      <c r="AA23" s="1">
        <v>5</v>
      </c>
      <c r="AB23">
        <f>(Z24-Z23)/(AA24-AA23)</f>
        <v>0.1</v>
      </c>
      <c r="AC23">
        <f>Z24-AB23*AA24</f>
        <v>2.5</v>
      </c>
    </row>
    <row r="24" spans="2:29" ht="14.25" thickBot="1">
      <c r="B24" s="2204"/>
      <c r="C24" s="2209"/>
      <c r="D24" s="2208"/>
      <c r="E24" s="3024" t="s">
        <v>1327</v>
      </c>
      <c r="F24" s="3025"/>
      <c r="G24" s="3026"/>
      <c r="H24" s="2205"/>
      <c r="I24" s="2208" t="s">
        <v>1292</v>
      </c>
      <c r="J24" s="2205"/>
      <c r="K24" s="2205"/>
      <c r="L24" s="2205"/>
      <c r="M24" s="2208" t="s">
        <v>1232</v>
      </c>
      <c r="N24" s="2208" t="s">
        <v>1321</v>
      </c>
      <c r="O24" s="2205"/>
      <c r="P24" s="2205"/>
      <c r="Q24" s="2224"/>
      <c r="U24" s="1912" t="s">
        <v>1322</v>
      </c>
      <c r="V24" s="1">
        <f>2*V19-5</f>
        <v>195</v>
      </c>
      <c r="W24" s="2194">
        <f>2.7*V19-5.2</f>
        <v>264.8</v>
      </c>
      <c r="Z24" s="1">
        <v>4</v>
      </c>
      <c r="AA24" s="1">
        <v>15</v>
      </c>
      <c r="AB24">
        <f>(Z25-Z24)/(AA25-AA24)</f>
        <v>0.05</v>
      </c>
      <c r="AC24">
        <f>Z25-AB24*AA25</f>
        <v>3.25</v>
      </c>
    </row>
    <row r="25" spans="2:29" ht="14.25" thickBot="1">
      <c r="B25" s="2204"/>
      <c r="C25" s="2205"/>
      <c r="D25" s="2208"/>
      <c r="E25" s="2208"/>
      <c r="F25" s="2208"/>
      <c r="G25" s="2208"/>
      <c r="H25" s="2225" t="s">
        <v>1323</v>
      </c>
      <c r="I25" s="2211"/>
      <c r="J25" s="2205"/>
      <c r="K25" s="2205"/>
      <c r="L25" s="2225" t="s">
        <v>1324</v>
      </c>
      <c r="M25" s="2219" t="str">
        <f>M44</f>
        <v>-</v>
      </c>
      <c r="N25" s="2226">
        <f>IF(N39=0,0,(N41-N40)/(N39-N40))</f>
        <v>0</v>
      </c>
      <c r="O25" s="2205" t="s">
        <v>1325</v>
      </c>
      <c r="P25" s="2205"/>
      <c r="Q25" s="2206"/>
      <c r="V25">
        <f>IF($V$19&lt;2.5,V21,IF($V$19&lt;7.5,V22,IF($V$19&lt;10,V23,V24)))</f>
        <v>195</v>
      </c>
      <c r="W25">
        <f>IF($V$19&lt;2.5,W21,IF($V$19&lt;7.5,W22,IF($V$19&lt;10,W23,W24)))</f>
        <v>264.8</v>
      </c>
      <c r="Z25" s="1">
        <v>5</v>
      </c>
      <c r="AA25" s="1">
        <v>35</v>
      </c>
    </row>
    <row r="26" spans="2:29" ht="14.25" thickBot="1">
      <c r="B26" s="2204"/>
      <c r="C26" s="2205"/>
      <c r="D26" s="2208"/>
      <c r="E26" s="2205"/>
      <c r="F26" s="2208"/>
      <c r="G26" s="2205"/>
      <c r="H26" s="2225" t="s">
        <v>1326</v>
      </c>
      <c r="I26" s="2211"/>
      <c r="J26" s="2208"/>
      <c r="K26" s="2205"/>
      <c r="L26" s="2208"/>
      <c r="M26" s="2205"/>
      <c r="N26" s="2208"/>
      <c r="O26" s="2205"/>
      <c r="P26" s="2208"/>
      <c r="Q26" s="2206"/>
    </row>
    <row r="27" spans="2:29" ht="14.25" thickBot="1">
      <c r="B27" s="2204"/>
      <c r="C27" s="2205"/>
      <c r="D27" s="2208"/>
      <c r="E27" s="2208"/>
      <c r="F27" s="2205"/>
      <c r="G27" s="2205"/>
      <c r="H27" s="2205"/>
      <c r="I27" s="2218">
        <f>IF($I$25&lt;=W39,V39,IF($I$25&lt;=W38,V38,IF($I$25&lt;=W37,V37,V36)))</f>
        <v>4</v>
      </c>
      <c r="J27" s="2205"/>
      <c r="K27" s="2205"/>
      <c r="L27" s="2205"/>
      <c r="M27" s="2218">
        <f>IF(OR(M25=0,M25="-"),0,IF(M25&lt;=W40,5,IF(M25&gt;W36,1,M25*X42+Y42)))</f>
        <v>0</v>
      </c>
      <c r="N27" s="2218">
        <f>IF(N61=T59,IF(N25=0,0,IF(N25&lt;=AA40,5,IF(N25&gt;AA36,1,N25*AB27+AC27))),N61)</f>
        <v>0</v>
      </c>
      <c r="O27" s="2205"/>
      <c r="P27" s="2208"/>
      <c r="Q27" s="2206"/>
      <c r="S27" t="s">
        <v>1327</v>
      </c>
      <c r="V27" s="2227">
        <f>IF($I$44&lt;=W40,V40,IF($I$44&lt;=W39,V39,IF($I$44&lt;=W38,V38,IF($I$44&lt;=W37,V37,V36))))</f>
        <v>1</v>
      </c>
      <c r="X27">
        <f>VLOOKUP($V$27,V36:Y40,3)</f>
        <v>-19.999999999999982</v>
      </c>
      <c r="Y27">
        <f>VLOOKUP($V$27,V36:Y40,4)</f>
        <v>22.999999999999982</v>
      </c>
      <c r="Z27">
        <f>IF($N$25&lt;=AA40,Z40,IF($N$25&lt;=AA39,Z39,IF($N$25&lt;=AA38,Z38,IF($N$25&lt;=AA37,Z37))))</f>
        <v>5</v>
      </c>
      <c r="AB27">
        <f>VLOOKUP($Z$27,Z36:AC40,3)</f>
        <v>0</v>
      </c>
      <c r="AC27">
        <f>VLOOKUP($Z$27,Z36:AC40,4)</f>
        <v>0</v>
      </c>
    </row>
    <row r="28" spans="2:29">
      <c r="B28" s="2204"/>
      <c r="C28" s="2205"/>
      <c r="D28" s="2208"/>
      <c r="E28" s="2205"/>
      <c r="F28" s="2208"/>
      <c r="G28" s="2205"/>
      <c r="H28" s="2208"/>
      <c r="I28" s="2205"/>
      <c r="J28" s="2208"/>
      <c r="K28" s="2205"/>
      <c r="L28" s="2208"/>
      <c r="M28" s="2205"/>
      <c r="N28" s="2208"/>
      <c r="O28" s="2205"/>
      <c r="P28" s="2208"/>
      <c r="Q28" s="2206"/>
      <c r="S28" t="s">
        <v>1320</v>
      </c>
    </row>
    <row r="29" spans="2:29">
      <c r="B29" s="2204"/>
      <c r="C29" s="2205"/>
      <c r="D29" s="2208"/>
      <c r="E29" s="2208"/>
      <c r="F29" s="2208"/>
      <c r="G29" s="2205"/>
      <c r="H29" s="2212" t="s">
        <v>1306</v>
      </c>
      <c r="I29" s="1971">
        <f>H94</f>
        <v>0</v>
      </c>
      <c r="J29" s="2205" t="s">
        <v>1308</v>
      </c>
      <c r="K29" s="2205"/>
      <c r="L29" s="2205"/>
      <c r="M29" s="1971">
        <f>メイン!J65</f>
        <v>0</v>
      </c>
      <c r="N29" s="1971">
        <f>メイン!J64</f>
        <v>0</v>
      </c>
      <c r="O29" s="2205"/>
      <c r="P29" s="2208"/>
      <c r="Q29" s="2206"/>
    </row>
    <row r="30" spans="2:29" ht="14.25" thickBot="1">
      <c r="B30" s="2204"/>
      <c r="C30" s="2205"/>
      <c r="D30" s="2208"/>
      <c r="E30" s="2205"/>
      <c r="F30" s="2208"/>
      <c r="G30" s="2205"/>
      <c r="H30" s="2208"/>
      <c r="I30" s="2205"/>
      <c r="J30" s="2208"/>
      <c r="K30" s="2205"/>
      <c r="L30" s="2208"/>
      <c r="M30" s="2205"/>
      <c r="N30" s="2208"/>
      <c r="O30" s="2205"/>
      <c r="P30" s="2208"/>
      <c r="Q30" s="2206"/>
    </row>
    <row r="31" spans="2:29" ht="14.25" thickBot="1">
      <c r="B31" s="2204"/>
      <c r="C31" s="2205"/>
      <c r="D31" s="2208"/>
      <c r="E31" s="2208" t="s">
        <v>1328</v>
      </c>
      <c r="F31" s="2208"/>
      <c r="G31" s="2205"/>
      <c r="H31" s="2208"/>
      <c r="I31" s="2218">
        <f>IF(AND(I25=0,I44="-"),0,IF(E24=S28,I27,IF(I44&lt;=W40,5,IF(I44&gt;W36,1,I44*X27+Y27))))</f>
        <v>0</v>
      </c>
      <c r="J31" s="2208"/>
      <c r="K31" s="2205"/>
      <c r="L31" s="2208"/>
      <c r="M31" s="2218">
        <f>IF(M29+N29=0,0,M27*M29/M14+N27*N29/M14)</f>
        <v>0</v>
      </c>
      <c r="N31" s="2208"/>
      <c r="O31" s="2205"/>
      <c r="P31" s="2208"/>
      <c r="Q31" s="2206"/>
    </row>
    <row r="32" spans="2:29" ht="14.25" hidden="1" thickBot="1">
      <c r="B32" s="2204"/>
      <c r="C32" s="2205"/>
      <c r="D32" s="2208"/>
      <c r="E32" s="2205" t="s">
        <v>1329</v>
      </c>
      <c r="F32" s="2208"/>
      <c r="G32" s="2205"/>
      <c r="H32" s="2205" t="s">
        <v>1330</v>
      </c>
      <c r="I32" s="2218"/>
      <c r="J32" s="2208"/>
      <c r="K32" s="2205"/>
      <c r="L32" s="2208"/>
      <c r="M32" s="2217"/>
      <c r="N32" s="2208"/>
      <c r="O32" s="2205"/>
      <c r="P32" s="2208"/>
      <c r="Q32" s="2206"/>
    </row>
    <row r="33" spans="2:29" ht="14.25" hidden="1" thickBot="1">
      <c r="B33" s="2204"/>
      <c r="C33" s="2205"/>
      <c r="D33" s="2208"/>
      <c r="E33" s="2205"/>
      <c r="F33" s="2208"/>
      <c r="G33" s="2205"/>
      <c r="H33" s="2205" t="s">
        <v>1331</v>
      </c>
      <c r="I33" s="2218">
        <f>I31</f>
        <v>0</v>
      </c>
      <c r="J33" s="2208"/>
      <c r="K33" s="2205"/>
      <c r="L33" s="2208"/>
      <c r="M33" s="2205"/>
      <c r="N33" s="2208"/>
      <c r="O33" s="2205"/>
      <c r="P33" s="2208"/>
      <c r="Q33" s="2206"/>
    </row>
    <row r="34" spans="2:29" ht="14.25" thickBot="1">
      <c r="B34" s="2204"/>
      <c r="C34" s="2205"/>
      <c r="D34" s="2208"/>
      <c r="E34" s="2205"/>
      <c r="F34" s="2208"/>
      <c r="G34" s="2205"/>
      <c r="H34" s="2208"/>
      <c r="I34" s="2220" t="e">
        <f>I31*I29/($I$29+$M$29+$N$29)+M31*(M29+N29)/($I$29+$M$29+$N$29)</f>
        <v>#DIV/0!</v>
      </c>
      <c r="J34" s="2208"/>
      <c r="K34" s="2205"/>
      <c r="L34" s="2208"/>
      <c r="M34" s="2205"/>
      <c r="N34" s="2208"/>
      <c r="O34" s="2205"/>
      <c r="P34" s="2208"/>
      <c r="Q34" s="2206"/>
    </row>
    <row r="35" spans="2:29" hidden="1">
      <c r="B35" s="2204"/>
      <c r="C35" s="2205"/>
      <c r="D35" s="2208"/>
      <c r="E35" s="2205"/>
      <c r="F35" s="2208"/>
      <c r="G35" s="2205"/>
      <c r="H35" s="2208"/>
      <c r="I35" s="2205"/>
      <c r="J35" s="2208"/>
      <c r="K35" s="2205"/>
      <c r="L35" s="2208"/>
      <c r="M35" s="2205"/>
      <c r="N35" s="2208"/>
      <c r="O35" s="2205"/>
      <c r="P35" s="2208"/>
      <c r="Q35" s="2206"/>
      <c r="V35" s="1" t="s">
        <v>1299</v>
      </c>
      <c r="W35" s="1" t="s">
        <v>817</v>
      </c>
      <c r="X35" t="s">
        <v>1123</v>
      </c>
      <c r="Y35" t="s">
        <v>1124</v>
      </c>
      <c r="Z35" s="1" t="s">
        <v>1299</v>
      </c>
      <c r="AA35" s="1" t="s">
        <v>1231</v>
      </c>
      <c r="AB35" t="s">
        <v>1123</v>
      </c>
      <c r="AC35" t="s">
        <v>1124</v>
      </c>
    </row>
    <row r="36" spans="2:29" hidden="1">
      <c r="B36" s="2204"/>
      <c r="C36" s="2205"/>
      <c r="D36" s="2228"/>
      <c r="E36" s="2208" t="s">
        <v>1332</v>
      </c>
      <c r="F36" s="2208"/>
      <c r="G36" s="2208"/>
      <c r="H36" s="2208"/>
      <c r="I36" s="2229">
        <f>-100*I25+105</f>
        <v>105</v>
      </c>
      <c r="J36" s="2208" t="s">
        <v>1312</v>
      </c>
      <c r="K36" s="2205"/>
      <c r="L36" s="2208"/>
      <c r="M36" s="2229" t="e">
        <f>-100*M25+105</f>
        <v>#VALUE!</v>
      </c>
      <c r="N36" s="2208" t="s">
        <v>1312</v>
      </c>
      <c r="O36" s="2205"/>
      <c r="P36" s="2208"/>
      <c r="Q36" s="2206"/>
      <c r="V36" s="1">
        <v>1</v>
      </c>
      <c r="W36" s="1">
        <v>1.1000000000000001</v>
      </c>
      <c r="X36">
        <f>(V37-V36)/(W37-W36)</f>
        <v>-19.999999999999982</v>
      </c>
      <c r="Y36">
        <f>V37-X36*W37</f>
        <v>22.999999999999982</v>
      </c>
      <c r="Z36" s="1">
        <v>1</v>
      </c>
      <c r="AA36" s="1">
        <v>1.3</v>
      </c>
      <c r="AB36">
        <f>(Z37-Z36)/(AA37-AA36)</f>
        <v>-9.9999999999999911</v>
      </c>
      <c r="AC36">
        <f>Z37-AB36*AA37</f>
        <v>13.999999999999989</v>
      </c>
    </row>
    <row r="37" spans="2:29" ht="14.25" hidden="1" thickBot="1">
      <c r="B37" s="2204"/>
      <c r="C37" s="2205"/>
      <c r="D37" s="2228"/>
      <c r="E37" s="2205"/>
      <c r="F37" s="2208"/>
      <c r="G37" s="2205"/>
      <c r="H37" s="2208"/>
      <c r="I37" s="2218" t="str">
        <f>IF(I25=0,"-",IF(I36&gt;=W50,5,I36*X44+Y44))</f>
        <v>-</v>
      </c>
      <c r="J37" s="2208"/>
      <c r="K37" s="2205"/>
      <c r="L37" s="2208"/>
      <c r="M37" s="2218" t="e">
        <f>IF(M25=0,"-",IF(M36&gt;=AA50,5,M36*AB44+AC44))</f>
        <v>#VALUE!</v>
      </c>
      <c r="N37" s="2230"/>
      <c r="O37" s="2205"/>
      <c r="P37" s="2208"/>
      <c r="Q37" s="2206"/>
      <c r="S37">
        <v>1</v>
      </c>
      <c r="V37" s="1">
        <v>2</v>
      </c>
      <c r="W37" s="1">
        <v>1.05</v>
      </c>
      <c r="X37">
        <f>(V38-V37)/(W38-W37)</f>
        <v>-19.999999999999982</v>
      </c>
      <c r="Y37">
        <f>V38-X37*W38</f>
        <v>22.999999999999982</v>
      </c>
      <c r="Z37" s="1">
        <v>2</v>
      </c>
      <c r="AA37" s="1">
        <v>1.2</v>
      </c>
      <c r="AB37">
        <f>(Z38-Z37)/(AA38-AA37)</f>
        <v>-10.000000000000014</v>
      </c>
      <c r="AC37">
        <f>Z38-AB37*AA38</f>
        <v>14.000000000000016</v>
      </c>
    </row>
    <row r="38" spans="2:29" ht="14.25" thickBot="1">
      <c r="B38" s="2204"/>
      <c r="C38" s="2205"/>
      <c r="D38" s="2208"/>
      <c r="E38" s="2205"/>
      <c r="F38" s="2208"/>
      <c r="G38" s="2205"/>
      <c r="H38" s="2208"/>
      <c r="I38" s="2205"/>
      <c r="J38" s="2208"/>
      <c r="K38" s="2205"/>
      <c r="L38" s="2208"/>
      <c r="M38" s="2205"/>
      <c r="N38" s="2208"/>
      <c r="O38" s="2205"/>
      <c r="P38" s="2208"/>
      <c r="Q38" s="2206"/>
      <c r="S38">
        <v>2</v>
      </c>
      <c r="V38" s="1">
        <v>3</v>
      </c>
      <c r="W38" s="1">
        <v>1</v>
      </c>
      <c r="X38">
        <f>(V39-V38)/(W39-W38)</f>
        <v>-10.000000000000002</v>
      </c>
      <c r="Y38">
        <f>V39-X38*W39</f>
        <v>13.000000000000002</v>
      </c>
      <c r="Z38" s="1">
        <v>3</v>
      </c>
      <c r="AA38" s="1">
        <v>1.1000000000000001</v>
      </c>
      <c r="AB38">
        <f>(Z39-Z38)/(AA39-AA38)</f>
        <v>-9.9999999999999911</v>
      </c>
      <c r="AC38">
        <f>Z39-AB38*AA39</f>
        <v>13.999999999999991</v>
      </c>
    </row>
    <row r="39" spans="2:29">
      <c r="B39" s="2204"/>
      <c r="C39" s="2205"/>
      <c r="D39" s="92" t="s">
        <v>1333</v>
      </c>
      <c r="E39" s="2205"/>
      <c r="F39" s="2205"/>
      <c r="G39" s="2205"/>
      <c r="H39" s="2205"/>
      <c r="I39" s="2231"/>
      <c r="J39" s="2205" t="s">
        <v>1334</v>
      </c>
      <c r="K39" s="2205"/>
      <c r="L39" s="2205"/>
      <c r="M39" s="2231"/>
      <c r="N39" s="2231"/>
      <c r="O39" s="2205" t="s">
        <v>1334</v>
      </c>
      <c r="P39" s="2205"/>
      <c r="Q39" s="2206"/>
      <c r="S39">
        <v>3</v>
      </c>
      <c r="V39" s="1">
        <v>4</v>
      </c>
      <c r="W39" s="1">
        <v>0.9</v>
      </c>
      <c r="X39">
        <f>(V40-V39)/(W40-W39)</f>
        <v>-4.9999999999999982</v>
      </c>
      <c r="Y39">
        <f>V40-X39*W40</f>
        <v>8.4999999999999982</v>
      </c>
      <c r="Z39" s="1">
        <v>4</v>
      </c>
      <c r="AA39" s="1">
        <v>1</v>
      </c>
      <c r="AB39">
        <f>(Z40-Z39)/(AA40-AA39)</f>
        <v>-10.000000000000002</v>
      </c>
      <c r="AC39">
        <f>Z40-AB39*AA40</f>
        <v>14.000000000000002</v>
      </c>
    </row>
    <row r="40" spans="2:29">
      <c r="B40" s="2204"/>
      <c r="C40" s="2205"/>
      <c r="D40" s="92"/>
      <c r="E40" s="2205" t="s">
        <v>1828</v>
      </c>
      <c r="F40" s="2205"/>
      <c r="G40" s="2205"/>
      <c r="H40" s="2205"/>
      <c r="I40" s="2232"/>
      <c r="J40" s="2205"/>
      <c r="K40" s="2205"/>
      <c r="L40" s="2205"/>
      <c r="M40" s="2232"/>
      <c r="N40" s="2233">
        <f>N52</f>
        <v>0</v>
      </c>
      <c r="O40" s="2205" t="s">
        <v>1335</v>
      </c>
      <c r="P40" s="2205"/>
      <c r="Q40" s="2206"/>
      <c r="S40">
        <v>4</v>
      </c>
      <c r="V40" s="1">
        <v>5</v>
      </c>
      <c r="W40" s="1">
        <v>0.7</v>
      </c>
      <c r="Z40" s="1">
        <v>5</v>
      </c>
      <c r="AA40" s="1">
        <v>0.9</v>
      </c>
    </row>
    <row r="41" spans="2:29">
      <c r="B41" s="2204"/>
      <c r="C41" s="2205"/>
      <c r="D41" s="92" t="s">
        <v>1336</v>
      </c>
      <c r="E41" s="2205"/>
      <c r="F41" s="2205"/>
      <c r="G41" s="2205"/>
      <c r="H41" s="2205"/>
      <c r="I41" s="2234"/>
      <c r="J41" s="2205"/>
      <c r="K41" s="2205"/>
      <c r="L41" s="2205"/>
      <c r="M41" s="2234"/>
      <c r="N41" s="2234"/>
      <c r="O41" s="2205"/>
      <c r="P41" s="2205"/>
      <c r="Q41" s="2206"/>
      <c r="S41">
        <v>5</v>
      </c>
    </row>
    <row r="42" spans="2:29">
      <c r="B42" s="2204"/>
      <c r="C42" s="2205"/>
      <c r="D42" s="92" t="s">
        <v>1337</v>
      </c>
      <c r="E42" s="2205"/>
      <c r="F42" s="2205"/>
      <c r="G42" s="2205"/>
      <c r="H42" s="2205"/>
      <c r="I42" s="2234"/>
      <c r="J42" s="2205"/>
      <c r="K42" s="2205"/>
      <c r="L42" s="2205"/>
      <c r="M42" s="2234"/>
      <c r="N42" s="2234"/>
      <c r="O42" s="2205"/>
      <c r="P42" s="2205"/>
      <c r="Q42" s="2206"/>
      <c r="U42" t="s">
        <v>827</v>
      </c>
      <c r="V42">
        <f>IF($M$25&lt;=W40,V40,IF($M$25&lt;=W39,V39,IF($M$25&lt;=W38,V38,IF($M$25&lt;=W37,V37,V36))))</f>
        <v>1</v>
      </c>
      <c r="X42">
        <f>VLOOKUP($V$42,V36:Y40,3)</f>
        <v>-19.999999999999982</v>
      </c>
      <c r="Y42">
        <f>VLOOKUP($V$42,V36:Y40,4)</f>
        <v>22.999999999999982</v>
      </c>
    </row>
    <row r="43" spans="2:29" ht="14.25" thickBot="1">
      <c r="B43" s="2204"/>
      <c r="C43" s="2205"/>
      <c r="D43" s="92" t="s">
        <v>1338</v>
      </c>
      <c r="E43" s="2205"/>
      <c r="F43" s="2205"/>
      <c r="G43" s="2205"/>
      <c r="H43" s="2205"/>
      <c r="I43" s="2235"/>
      <c r="J43" s="2205" t="s">
        <v>1334</v>
      </c>
      <c r="K43" s="2205"/>
      <c r="L43" s="2205"/>
      <c r="M43" s="2235"/>
      <c r="N43" s="2235"/>
      <c r="O43" s="2205" t="s">
        <v>1334</v>
      </c>
      <c r="P43" s="2205"/>
      <c r="Q43" s="2206"/>
    </row>
    <row r="44" spans="2:29">
      <c r="B44" s="2204"/>
      <c r="C44" s="2205"/>
      <c r="D44" s="2205"/>
      <c r="E44" s="2236"/>
      <c r="F44" s="2205"/>
      <c r="G44" s="2205"/>
      <c r="H44" s="1439" t="s">
        <v>1339</v>
      </c>
      <c r="I44" s="2237" t="str">
        <f>IF(I41=0,"-",ROUND(I41/I39,5))</f>
        <v>-</v>
      </c>
      <c r="J44" s="2205"/>
      <c r="K44" s="2205"/>
      <c r="L44" s="2205"/>
      <c r="M44" s="2237" t="str">
        <f>IF(M41=0,"-",ROUND(M41/M39,5))</f>
        <v>-</v>
      </c>
      <c r="N44" s="2205"/>
      <c r="O44" s="2205"/>
      <c r="P44" s="2205"/>
      <c r="Q44" s="2206"/>
      <c r="V44">
        <f>IF($I$36&gt;=W50,V50,IF($I$36&gt;=W49,V49,IF($I$36&gt;=W48,V48,IF($I$36&gt;=W47,V47,V46))))</f>
        <v>5</v>
      </c>
      <c r="X44">
        <f>VLOOKUP($V$44,V46:Y50,3)</f>
        <v>0</v>
      </c>
      <c r="Y44">
        <f>VLOOKUP($V$44,V46:Y50,4)</f>
        <v>0</v>
      </c>
      <c r="Z44" t="e">
        <f>IF($M$36&gt;=AA50,Z50,IF($M$36&gt;=AA49,Z49,IF($M$36&gt;=AA48,Z48,IF($M$36&gt;=AA47,Z47,Z46))))</f>
        <v>#VALUE!</v>
      </c>
      <c r="AB44">
        <f>VLOOKUP($Z$19,Z46:AC50,3)</f>
        <v>0</v>
      </c>
      <c r="AC44">
        <f>VLOOKUP($Z$19,Z46:AC50,4)</f>
        <v>0</v>
      </c>
    </row>
    <row r="45" spans="2:29">
      <c r="B45" s="2204"/>
      <c r="C45" s="2205"/>
      <c r="D45" s="2205"/>
      <c r="E45" s="2236"/>
      <c r="F45" s="2205"/>
      <c r="G45" s="2205"/>
      <c r="H45" s="1439" t="s">
        <v>1340</v>
      </c>
      <c r="I45" s="2237" t="str">
        <f>IF(I42=0,"-",ROUND(I42/I39,5))</f>
        <v>-</v>
      </c>
      <c r="J45" s="2205"/>
      <c r="K45" s="2205"/>
      <c r="L45" s="2205"/>
      <c r="M45" s="2237" t="str">
        <f>IF(M42=0,"-",ROUND(M42/M39,5))</f>
        <v>-</v>
      </c>
      <c r="N45" s="2205"/>
      <c r="O45" s="2205"/>
      <c r="P45" s="2205"/>
      <c r="Q45" s="2206"/>
      <c r="T45" t="s">
        <v>1341</v>
      </c>
      <c r="V45" s="1" t="s">
        <v>1299</v>
      </c>
      <c r="W45" s="1" t="s">
        <v>817</v>
      </c>
      <c r="X45" t="s">
        <v>1123</v>
      </c>
      <c r="Y45" t="s">
        <v>1124</v>
      </c>
      <c r="Z45" s="1" t="s">
        <v>1299</v>
      </c>
      <c r="AA45" s="1" t="s">
        <v>1232</v>
      </c>
      <c r="AB45" t="s">
        <v>1123</v>
      </c>
      <c r="AC45" t="s">
        <v>1124</v>
      </c>
    </row>
    <row r="46" spans="2:29">
      <c r="B46" s="2204"/>
      <c r="C46" s="2205"/>
      <c r="D46" s="2205"/>
      <c r="E46" s="2205" t="s">
        <v>1829</v>
      </c>
      <c r="F46" s="2205"/>
      <c r="G46" s="2205"/>
      <c r="H46" s="2205"/>
      <c r="I46" s="2205"/>
      <c r="J46" s="2205"/>
      <c r="K46" s="2205"/>
      <c r="L46" s="2205"/>
      <c r="M46" s="2205"/>
      <c r="N46" s="2205"/>
      <c r="O46" s="2208"/>
      <c r="P46" s="2205"/>
      <c r="Q46" s="2206"/>
      <c r="V46" s="1">
        <v>1</v>
      </c>
      <c r="W46" s="1">
        <v>-5</v>
      </c>
      <c r="X46">
        <f>(V47-V46)/(W47-W46)</f>
        <v>0.2</v>
      </c>
      <c r="Y46">
        <f>V47-X46*W47</f>
        <v>2</v>
      </c>
      <c r="Z46" s="1">
        <v>1</v>
      </c>
      <c r="AA46" s="1">
        <v>-5</v>
      </c>
      <c r="AB46">
        <f>(Z47-Z46)/(AA47-AA46)</f>
        <v>0.2</v>
      </c>
      <c r="AC46">
        <f>Z47-AB46*AA47</f>
        <v>2</v>
      </c>
    </row>
    <row r="47" spans="2:29">
      <c r="B47" s="2204"/>
      <c r="C47" s="2205"/>
      <c r="D47" s="2205"/>
      <c r="E47" s="2205" t="s">
        <v>1342</v>
      </c>
      <c r="F47" s="2208"/>
      <c r="G47" s="2208"/>
      <c r="H47" s="2208"/>
      <c r="I47" s="2208"/>
      <c r="J47" s="2208"/>
      <c r="K47" s="2208"/>
      <c r="L47" s="2208"/>
      <c r="M47" s="2208"/>
      <c r="N47" s="2208"/>
      <c r="O47" s="2208"/>
      <c r="P47" s="2205"/>
      <c r="Q47" s="2206"/>
      <c r="V47" s="1">
        <v>2</v>
      </c>
      <c r="W47" s="1">
        <v>0</v>
      </c>
      <c r="X47">
        <f>(V48-V47)/(W48-W47)</f>
        <v>0.2</v>
      </c>
      <c r="Y47">
        <f>V48-X47*W48</f>
        <v>2</v>
      </c>
      <c r="Z47" s="1">
        <v>2</v>
      </c>
      <c r="AA47" s="1">
        <v>0</v>
      </c>
      <c r="AB47">
        <f>(Z48-Z47)/(AA48-AA47)</f>
        <v>0.2</v>
      </c>
      <c r="AC47">
        <f>Z48-AB47*AA48</f>
        <v>2</v>
      </c>
    </row>
    <row r="48" spans="2:29">
      <c r="B48" s="2204"/>
      <c r="C48" s="2205"/>
      <c r="D48" s="2205"/>
      <c r="E48" s="2205"/>
      <c r="F48" s="2205"/>
      <c r="G48" s="2205"/>
      <c r="H48" s="2205"/>
      <c r="I48" s="2205"/>
      <c r="J48" s="2205"/>
      <c r="K48" s="2205"/>
      <c r="L48" s="2205"/>
      <c r="M48" s="2208"/>
      <c r="N48" s="2208"/>
      <c r="O48" s="2208"/>
      <c r="P48" s="2205"/>
      <c r="Q48" s="2206"/>
      <c r="V48" s="1">
        <v>3</v>
      </c>
      <c r="W48" s="1">
        <v>5</v>
      </c>
      <c r="X48">
        <f>(V49-V48)/(W49-W48)</f>
        <v>0.1</v>
      </c>
      <c r="Y48">
        <f>V49-X48*W49</f>
        <v>2.5</v>
      </c>
      <c r="Z48" s="1">
        <v>3</v>
      </c>
      <c r="AA48" s="1">
        <v>5</v>
      </c>
      <c r="AB48">
        <f>(Z49-Z48)/(AA49-AA48)</f>
        <v>0.1</v>
      </c>
      <c r="AC48">
        <f>Z49-AB48*AA49</f>
        <v>2.5</v>
      </c>
    </row>
    <row r="49" spans="2:29">
      <c r="B49" s="2204"/>
      <c r="C49" s="2205"/>
      <c r="D49" s="2205"/>
      <c r="E49" s="2208"/>
      <c r="F49" s="2208"/>
      <c r="G49" s="2208"/>
      <c r="H49" s="2208"/>
      <c r="I49" s="2208"/>
      <c r="J49" s="2208"/>
      <c r="K49" s="2208"/>
      <c r="L49" s="2208"/>
      <c r="M49" s="2208"/>
      <c r="N49" s="2208"/>
      <c r="O49" s="2208"/>
      <c r="P49" s="2205"/>
      <c r="Q49" s="2206"/>
      <c r="V49" s="1">
        <v>4</v>
      </c>
      <c r="W49" s="1">
        <v>15</v>
      </c>
      <c r="X49">
        <f>(V50-V49)/(W50-W49)</f>
        <v>0.05</v>
      </c>
      <c r="Y49">
        <f>V50-X49*W50</f>
        <v>3.25</v>
      </c>
      <c r="Z49" s="1">
        <v>4</v>
      </c>
      <c r="AA49" s="1">
        <v>15</v>
      </c>
      <c r="AB49">
        <f>(Z50-Z49)/(AA50-AA49)</f>
        <v>0.05</v>
      </c>
      <c r="AC49">
        <f>Z50-AB49*AA50</f>
        <v>3.25</v>
      </c>
    </row>
    <row r="50" spans="2:29">
      <c r="B50" s="2204"/>
      <c r="C50" s="2205"/>
      <c r="D50" s="2205" t="s">
        <v>1343</v>
      </c>
      <c r="E50" s="2208" t="s">
        <v>1344</v>
      </c>
      <c r="F50" s="2208"/>
      <c r="G50" s="2208"/>
      <c r="H50" s="2208"/>
      <c r="I50" s="2208"/>
      <c r="J50" s="2208"/>
      <c r="K50" s="2208"/>
      <c r="L50" s="2208"/>
      <c r="M50" s="2208"/>
      <c r="N50" s="2208"/>
      <c r="O50" s="2208"/>
      <c r="P50" s="2205"/>
      <c r="Q50" s="2206"/>
      <c r="V50" s="1">
        <v>5</v>
      </c>
      <c r="W50" s="1">
        <v>35</v>
      </c>
      <c r="Z50" s="1">
        <v>5</v>
      </c>
      <c r="AA50" s="1">
        <v>35</v>
      </c>
    </row>
    <row r="51" spans="2:29" ht="14.25" thickBot="1">
      <c r="B51" s="2204"/>
      <c r="C51" s="2205"/>
      <c r="D51" s="2205"/>
      <c r="E51" s="2208"/>
      <c r="F51" s="2208"/>
      <c r="G51" s="2208"/>
      <c r="H51" s="2238" t="s">
        <v>1345</v>
      </c>
      <c r="I51" s="2208" t="s">
        <v>1346</v>
      </c>
      <c r="J51" s="2208" t="s">
        <v>1347</v>
      </c>
      <c r="K51" s="2208" t="s">
        <v>1348</v>
      </c>
      <c r="L51" s="2208" t="s">
        <v>1349</v>
      </c>
      <c r="M51" s="2208" t="s">
        <v>1350</v>
      </c>
      <c r="N51" s="2208" t="s">
        <v>1351</v>
      </c>
      <c r="O51" s="2208"/>
      <c r="P51" s="2205"/>
      <c r="Q51" s="2206"/>
    </row>
    <row r="52" spans="2:29" ht="14.25" thickBot="1">
      <c r="B52" s="2204"/>
      <c r="C52" s="2205"/>
      <c r="D52" s="2205"/>
      <c r="E52" s="2208"/>
      <c r="F52" s="2208"/>
      <c r="G52" s="1980" t="s">
        <v>1352</v>
      </c>
      <c r="H52" s="2239"/>
      <c r="I52" s="1971">
        <f>H52*$N$29</f>
        <v>0</v>
      </c>
      <c r="J52" s="1971">
        <v>0</v>
      </c>
      <c r="K52" s="2231"/>
      <c r="L52" s="1971">
        <v>12181</v>
      </c>
      <c r="M52" s="2240">
        <f>I52*J52+K52*L52</f>
        <v>0</v>
      </c>
      <c r="N52" s="2241">
        <f>SUM(M52:M56)/1000</f>
        <v>0</v>
      </c>
      <c r="O52" s="2205" t="s">
        <v>1334</v>
      </c>
      <c r="P52" s="2205"/>
      <c r="Q52" s="2206"/>
    </row>
    <row r="53" spans="2:29">
      <c r="B53" s="2204"/>
      <c r="C53" s="2205"/>
      <c r="D53" s="2205"/>
      <c r="E53" s="2208"/>
      <c r="F53" s="2208"/>
      <c r="G53" s="1980" t="s">
        <v>1830</v>
      </c>
      <c r="H53" s="2242"/>
      <c r="I53" s="1971">
        <f t="shared" ref="I53:I56" si="0">H53*$N$29</f>
        <v>0</v>
      </c>
      <c r="J53" s="1971">
        <v>87</v>
      </c>
      <c r="K53" s="2234"/>
      <c r="L53" s="1971">
        <v>9571</v>
      </c>
      <c r="M53" s="1971">
        <f>I53*J53+K53*L53</f>
        <v>0</v>
      </c>
      <c r="N53" s="2208"/>
      <c r="O53" s="2208"/>
      <c r="P53" s="2205"/>
      <c r="Q53" s="2206"/>
    </row>
    <row r="54" spans="2:29">
      <c r="B54" s="2204"/>
      <c r="C54" s="2205"/>
      <c r="D54" s="2205"/>
      <c r="E54" s="2208"/>
      <c r="F54" s="2208"/>
      <c r="G54" s="1980" t="s">
        <v>1831</v>
      </c>
      <c r="H54" s="2242"/>
      <c r="I54" s="1971">
        <f t="shared" si="0"/>
        <v>0</v>
      </c>
      <c r="J54" s="1971">
        <v>167</v>
      </c>
      <c r="K54" s="2234"/>
      <c r="L54" s="1971">
        <v>4771</v>
      </c>
      <c r="M54" s="1971">
        <f>I54*J54+K54*L54</f>
        <v>0</v>
      </c>
      <c r="N54" s="2208"/>
      <c r="O54" s="2208"/>
      <c r="P54" s="2205"/>
      <c r="Q54" s="2206"/>
    </row>
    <row r="55" spans="2:29">
      <c r="B55" s="2204"/>
      <c r="C55" s="2205"/>
      <c r="D55" s="2205"/>
      <c r="E55" s="2208"/>
      <c r="F55" s="2208"/>
      <c r="G55" s="1980" t="s">
        <v>1832</v>
      </c>
      <c r="H55" s="2242"/>
      <c r="I55" s="1971">
        <f t="shared" si="0"/>
        <v>0</v>
      </c>
      <c r="J55" s="1971">
        <v>47</v>
      </c>
      <c r="K55" s="2234"/>
      <c r="L55" s="1971">
        <v>15571</v>
      </c>
      <c r="M55" s="1971">
        <f>I55*J55+K55*L55</f>
        <v>0</v>
      </c>
      <c r="N55" s="2208"/>
      <c r="O55" s="2208"/>
      <c r="P55" s="2205"/>
      <c r="Q55" s="2206"/>
    </row>
    <row r="56" spans="2:29" ht="14.25" thickBot="1">
      <c r="B56" s="2204"/>
      <c r="C56" s="2205"/>
      <c r="D56" s="2205"/>
      <c r="E56" s="2208"/>
      <c r="F56" s="2208"/>
      <c r="G56" s="1980" t="s">
        <v>1353</v>
      </c>
      <c r="H56" s="2243"/>
      <c r="I56" s="1971">
        <f t="shared" si="0"/>
        <v>0</v>
      </c>
      <c r="J56" s="1971">
        <v>0</v>
      </c>
      <c r="K56" s="2235"/>
      <c r="L56" s="1971">
        <v>21211</v>
      </c>
      <c r="M56" s="1971">
        <f>I56*J56+K56*L56</f>
        <v>0</v>
      </c>
      <c r="N56" s="2208"/>
      <c r="O56" s="2208"/>
      <c r="P56" s="2205"/>
      <c r="Q56" s="2206"/>
    </row>
    <row r="57" spans="2:29">
      <c r="B57" s="2204"/>
      <c r="C57" s="2205"/>
      <c r="D57" s="2205"/>
      <c r="E57" s="2205"/>
      <c r="F57" s="2205"/>
      <c r="G57" s="2205" t="s">
        <v>537</v>
      </c>
      <c r="H57" s="2244">
        <f>SUM(H52:H56)</f>
        <v>0</v>
      </c>
      <c r="I57" s="2205"/>
      <c r="J57" s="2208"/>
      <c r="K57" s="2205"/>
      <c r="L57" s="2205"/>
      <c r="M57" s="2205"/>
      <c r="N57" s="2205"/>
      <c r="O57" s="2205"/>
      <c r="P57" s="2205"/>
      <c r="Q57" s="2206"/>
    </row>
    <row r="58" spans="2:29">
      <c r="B58" s="2204"/>
      <c r="C58" s="2205"/>
      <c r="D58" s="2205"/>
      <c r="E58" s="2205"/>
      <c r="F58" s="2205"/>
      <c r="G58" s="2205"/>
      <c r="H58" s="2205"/>
      <c r="I58" s="2205"/>
      <c r="J58" s="2208"/>
      <c r="K58" s="2205"/>
      <c r="L58" s="2205"/>
      <c r="M58" s="2205"/>
      <c r="N58" s="2205"/>
      <c r="O58" s="2205"/>
      <c r="P58" s="2205"/>
      <c r="Q58" s="2206"/>
    </row>
    <row r="59" spans="2:29">
      <c r="B59" s="2204"/>
      <c r="C59" s="2205"/>
      <c r="D59" s="2205"/>
      <c r="E59" s="2205"/>
      <c r="F59" s="2205"/>
      <c r="G59" s="2205"/>
      <c r="H59" s="2205"/>
      <c r="I59" s="2205"/>
      <c r="J59" s="2208"/>
      <c r="K59" s="2205"/>
      <c r="L59" s="2205"/>
      <c r="M59" s="2205"/>
      <c r="N59" s="2205"/>
      <c r="O59" s="2205"/>
      <c r="P59" s="2205"/>
      <c r="Q59" s="2206"/>
      <c r="T59" s="2168" t="s">
        <v>1354</v>
      </c>
    </row>
    <row r="60" spans="2:29" ht="14.25" thickBot="1">
      <c r="B60" s="2204"/>
      <c r="C60" s="2205"/>
      <c r="D60" s="2236" t="s">
        <v>1804</v>
      </c>
      <c r="E60" s="2205"/>
      <c r="F60" s="2205"/>
      <c r="G60" s="2205"/>
      <c r="H60" s="2205"/>
      <c r="I60" s="2205"/>
      <c r="J60" s="2208"/>
      <c r="K60" s="2205"/>
      <c r="L60" s="2205"/>
      <c r="M60" s="2205"/>
      <c r="N60" s="2205"/>
      <c r="O60" s="2205"/>
      <c r="P60" s="2205"/>
      <c r="Q60" s="2206"/>
      <c r="T60">
        <v>1</v>
      </c>
    </row>
    <row r="61" spans="2:29" ht="13.5" customHeight="1" thickBot="1">
      <c r="B61" s="2204"/>
      <c r="C61" s="2205"/>
      <c r="D61" s="2205"/>
      <c r="E61" s="3027" t="s">
        <v>1833</v>
      </c>
      <c r="F61" s="3027"/>
      <c r="G61" s="3027"/>
      <c r="H61" s="3027"/>
      <c r="I61" s="3027"/>
      <c r="J61" s="3027"/>
      <c r="K61" s="3027"/>
      <c r="L61" s="2205"/>
      <c r="M61" s="2205" t="s">
        <v>1355</v>
      </c>
      <c r="N61" s="3028" t="s">
        <v>1354</v>
      </c>
      <c r="O61" s="3029"/>
      <c r="P61" s="3030"/>
      <c r="Q61" s="2206"/>
      <c r="T61">
        <v>4</v>
      </c>
    </row>
    <row r="62" spans="2:29">
      <c r="B62" s="2204"/>
      <c r="C62" s="2205"/>
      <c r="D62" s="2205"/>
      <c r="E62" s="3027"/>
      <c r="F62" s="3027"/>
      <c r="G62" s="3027"/>
      <c r="H62" s="3027"/>
      <c r="I62" s="3027"/>
      <c r="J62" s="3027"/>
      <c r="K62" s="3027"/>
      <c r="L62" s="2205"/>
      <c r="M62" s="2205"/>
      <c r="N62" s="2205"/>
      <c r="O62" s="2205"/>
      <c r="P62" s="2205"/>
      <c r="Q62" s="2206"/>
    </row>
    <row r="63" spans="2:29">
      <c r="B63" s="2204"/>
      <c r="C63" s="2205"/>
      <c r="D63" s="2205"/>
      <c r="E63" s="3027"/>
      <c r="F63" s="3027"/>
      <c r="G63" s="3027"/>
      <c r="H63" s="3027"/>
      <c r="I63" s="3027"/>
      <c r="J63" s="3027"/>
      <c r="K63" s="3027"/>
      <c r="L63" s="2205"/>
      <c r="M63" s="2205"/>
      <c r="N63" s="2205"/>
      <c r="O63" s="2205"/>
      <c r="P63" s="2205"/>
      <c r="Q63" s="2206"/>
    </row>
    <row r="64" spans="2:29" ht="7.5" customHeight="1" thickBot="1">
      <c r="B64" s="2204"/>
      <c r="C64" s="2205"/>
      <c r="D64" s="2205"/>
      <c r="E64" s="2205"/>
      <c r="F64" s="2205"/>
      <c r="G64" s="2205"/>
      <c r="H64" s="2205"/>
      <c r="I64" s="2205"/>
      <c r="J64" s="2208"/>
      <c r="K64" s="2205"/>
      <c r="L64" s="2205"/>
      <c r="M64" s="2205"/>
      <c r="N64" s="2205"/>
      <c r="O64" s="2205"/>
      <c r="P64" s="2205"/>
      <c r="Q64" s="2206"/>
    </row>
    <row r="65" spans="2:21" ht="14.25" thickBot="1">
      <c r="B65" s="2204"/>
      <c r="C65" s="2205"/>
      <c r="D65" s="2205"/>
      <c r="E65" s="2205" t="s">
        <v>1356</v>
      </c>
      <c r="F65" s="2213" t="s">
        <v>1357</v>
      </c>
      <c r="G65" s="2205"/>
      <c r="H65" s="2205"/>
      <c r="I65" s="2205"/>
      <c r="J65" s="2208" t="s">
        <v>1358</v>
      </c>
      <c r="K65" s="2213" t="s">
        <v>1357</v>
      </c>
      <c r="L65" s="2205"/>
      <c r="M65" s="2205"/>
      <c r="N65" s="2205"/>
      <c r="O65" s="2205"/>
      <c r="P65" s="2205"/>
      <c r="Q65" s="2206"/>
      <c r="T65" t="s">
        <v>1245</v>
      </c>
      <c r="U65" t="s">
        <v>1246</v>
      </c>
    </row>
    <row r="66" spans="2:21">
      <c r="B66" s="2204"/>
      <c r="C66" s="2205"/>
      <c r="D66" s="2205"/>
      <c r="E66" s="2205"/>
      <c r="F66" s="2205" t="s">
        <v>1359</v>
      </c>
      <c r="G66" s="2205"/>
      <c r="H66" s="2205"/>
      <c r="I66" s="2205"/>
      <c r="J66" s="2208"/>
      <c r="K66" s="2205" t="s">
        <v>1360</v>
      </c>
      <c r="L66" s="2205"/>
      <c r="M66" s="2205"/>
      <c r="N66" s="2205"/>
      <c r="O66" s="2205"/>
      <c r="P66" s="2205"/>
      <c r="Q66" s="2206"/>
      <c r="T66" t="s">
        <v>1256</v>
      </c>
      <c r="U66" t="s">
        <v>1252</v>
      </c>
    </row>
    <row r="67" spans="2:21">
      <c r="B67" s="2204"/>
      <c r="C67" s="2205"/>
      <c r="D67" s="2205"/>
      <c r="E67" s="2205"/>
      <c r="F67" s="2205" t="s">
        <v>1361</v>
      </c>
      <c r="G67" s="2205"/>
      <c r="H67" s="2205"/>
      <c r="I67" s="2205"/>
      <c r="J67" s="2208"/>
      <c r="K67" s="2205" t="s">
        <v>1362</v>
      </c>
      <c r="L67" s="2205"/>
      <c r="M67" s="2205"/>
      <c r="N67" s="2205"/>
      <c r="O67" s="2205"/>
      <c r="P67" s="2205"/>
      <c r="Q67" s="2206"/>
      <c r="T67" t="s">
        <v>1263</v>
      </c>
      <c r="U67" t="s">
        <v>1363</v>
      </c>
    </row>
    <row r="68" spans="2:21">
      <c r="B68" s="2204"/>
      <c r="C68" s="2205"/>
      <c r="D68" s="2205"/>
      <c r="E68" s="2205"/>
      <c r="F68" s="2205" t="s">
        <v>1364</v>
      </c>
      <c r="G68" s="2205"/>
      <c r="H68" s="2205"/>
      <c r="I68" s="2205"/>
      <c r="J68" s="2208"/>
      <c r="K68" s="2205" t="s">
        <v>1365</v>
      </c>
      <c r="L68" s="2205"/>
      <c r="M68" s="2205"/>
      <c r="N68" s="2205"/>
      <c r="O68" s="2205"/>
      <c r="P68" s="2205"/>
      <c r="Q68" s="2206"/>
      <c r="T68" t="s">
        <v>1363</v>
      </c>
    </row>
    <row r="69" spans="2:21" ht="14.25" thickBot="1">
      <c r="B69" s="2245"/>
      <c r="C69" s="2246"/>
      <c r="D69" s="2246"/>
      <c r="E69" s="2246"/>
      <c r="F69" s="2246" t="s">
        <v>1365</v>
      </c>
      <c r="G69" s="2246"/>
      <c r="H69" s="2246"/>
      <c r="I69" s="2246"/>
      <c r="J69" s="2247"/>
      <c r="K69" s="2246"/>
      <c r="L69" s="2246"/>
      <c r="M69" s="2246"/>
      <c r="N69" s="2246"/>
      <c r="O69" s="2246"/>
      <c r="P69" s="2246"/>
      <c r="Q69" s="2248"/>
    </row>
    <row r="70" spans="2:21" ht="14.25" thickBot="1">
      <c r="B70" s="509"/>
      <c r="C70" s="509"/>
      <c r="D70" s="509"/>
      <c r="E70" s="509"/>
      <c r="F70" s="509"/>
      <c r="G70" s="509"/>
      <c r="H70" s="509"/>
      <c r="I70" s="509"/>
      <c r="J70" s="509"/>
      <c r="K70" s="509"/>
      <c r="L70" s="509"/>
      <c r="M70" s="509"/>
      <c r="N70" s="509"/>
      <c r="O70" s="509"/>
      <c r="P70" s="509"/>
      <c r="Q70" s="509"/>
    </row>
    <row r="71" spans="2:21" ht="27" customHeight="1">
      <c r="B71" s="2249"/>
      <c r="C71" s="2250" t="s">
        <v>1366</v>
      </c>
      <c r="D71" s="2251"/>
      <c r="E71" s="2251"/>
      <c r="F71" s="2251"/>
      <c r="G71" s="2251"/>
      <c r="H71" s="2251"/>
      <c r="I71" s="2251"/>
      <c r="J71" s="2251"/>
      <c r="K71" s="2251"/>
      <c r="L71" s="2251"/>
      <c r="M71" s="2251"/>
      <c r="N71" s="2252"/>
      <c r="O71" s="2253"/>
      <c r="P71" s="2253"/>
      <c r="Q71" s="2254"/>
    </row>
    <row r="72" spans="2:21">
      <c r="B72" s="2255"/>
      <c r="C72" s="1446"/>
      <c r="D72" s="1446" t="s">
        <v>1810</v>
      </c>
      <c r="E72" s="2205"/>
      <c r="F72" s="2205"/>
      <c r="G72" s="2208"/>
      <c r="H72" s="2205"/>
      <c r="I72" s="2205"/>
      <c r="J72" s="2205"/>
      <c r="K72" s="2205"/>
      <c r="L72" s="2205"/>
      <c r="M72" s="2205"/>
      <c r="N72" s="2205" t="s">
        <v>111</v>
      </c>
      <c r="O72" s="2205"/>
      <c r="P72" s="2205"/>
      <c r="Q72" s="2256" t="s">
        <v>180</v>
      </c>
    </row>
    <row r="73" spans="2:21">
      <c r="B73" s="2255"/>
      <c r="C73" s="1446"/>
      <c r="D73" s="1446"/>
      <c r="E73" s="2205"/>
      <c r="F73" s="2212" t="s">
        <v>1367</v>
      </c>
      <c r="G73" s="2205"/>
      <c r="H73" s="2205"/>
      <c r="I73" s="2205"/>
      <c r="J73" s="2205" t="s">
        <v>1368</v>
      </c>
      <c r="K73" s="2205"/>
      <c r="L73" s="2257" t="s">
        <v>1369</v>
      </c>
      <c r="M73" s="2205"/>
      <c r="N73" s="1443" t="s">
        <v>1334</v>
      </c>
      <c r="O73" s="1452"/>
      <c r="P73" s="1452"/>
      <c r="Q73" s="1445" t="s">
        <v>1334</v>
      </c>
    </row>
    <row r="74" spans="2:21">
      <c r="B74" s="2255"/>
      <c r="C74" s="1446"/>
      <c r="D74" s="1446"/>
      <c r="E74" s="2208" t="s">
        <v>1370</v>
      </c>
      <c r="F74" s="2258" t="str">
        <f>IF(E24=S27,I45,I26)</f>
        <v>-</v>
      </c>
      <c r="G74" s="147"/>
      <c r="H74" s="2205"/>
      <c r="I74" s="2205"/>
      <c r="J74" s="2259">
        <f>(H98*N98+H100*N100+N101*H101)/1000</f>
        <v>0</v>
      </c>
      <c r="K74" s="2260" t="s">
        <v>1334</v>
      </c>
      <c r="L74" s="2261" t="e">
        <f>N104</f>
        <v>#DIV/0!</v>
      </c>
      <c r="M74" s="2260"/>
      <c r="N74" s="2262" t="e">
        <f>(J94*F74-J74)*L74</f>
        <v>#VALUE!</v>
      </c>
      <c r="O74" s="1452"/>
      <c r="P74" s="1986"/>
      <c r="Q74" s="2263">
        <f>J94</f>
        <v>0</v>
      </c>
      <c r="T74" s="2264" t="e">
        <f>T94/Q74</f>
        <v>#DIV/0!</v>
      </c>
    </row>
    <row r="75" spans="2:21">
      <c r="B75" s="2204"/>
      <c r="C75" s="2205"/>
      <c r="D75" s="2205"/>
      <c r="E75" s="2205"/>
      <c r="F75" s="2205"/>
      <c r="G75" s="2205"/>
      <c r="H75" s="2205"/>
      <c r="I75" s="2205"/>
      <c r="J75" s="2205"/>
      <c r="K75" s="2205"/>
      <c r="L75" s="2205"/>
      <c r="M75" s="2205"/>
      <c r="N75" s="2205"/>
      <c r="O75" s="2205"/>
      <c r="P75" s="2205"/>
      <c r="Q75" s="2206"/>
    </row>
    <row r="76" spans="2:21">
      <c r="B76" s="2204"/>
      <c r="C76" s="2205"/>
      <c r="D76" s="2205"/>
      <c r="E76" s="2205"/>
      <c r="F76" s="2205"/>
      <c r="G76" s="2257"/>
      <c r="H76" s="2257" t="s">
        <v>1371</v>
      </c>
      <c r="I76" s="2205"/>
      <c r="J76" s="2257" t="s">
        <v>1372</v>
      </c>
      <c r="K76" s="2257"/>
      <c r="L76" s="2257" t="s">
        <v>1373</v>
      </c>
      <c r="M76" s="2205"/>
      <c r="N76" s="2205"/>
      <c r="O76" s="2205"/>
      <c r="P76" s="2205"/>
      <c r="Q76" s="2206"/>
    </row>
    <row r="77" spans="2:21">
      <c r="B77" s="2204"/>
      <c r="C77" s="2205"/>
      <c r="D77" s="2205"/>
      <c r="E77" s="2205"/>
      <c r="F77" s="2205"/>
      <c r="G77" s="2212"/>
      <c r="H77" s="2212" t="s">
        <v>1308</v>
      </c>
      <c r="I77" s="2205"/>
      <c r="J77" s="2257" t="s">
        <v>1374</v>
      </c>
      <c r="K77" s="2257"/>
      <c r="L77" s="2257" t="s">
        <v>234</v>
      </c>
      <c r="M77" s="2205"/>
      <c r="N77" s="2205"/>
      <c r="O77" s="2205"/>
      <c r="P77" s="2205"/>
      <c r="Q77" s="2206"/>
      <c r="S77" t="s">
        <v>1375</v>
      </c>
    </row>
    <row r="78" spans="2:21">
      <c r="B78" s="2204"/>
      <c r="C78" s="2205"/>
      <c r="D78" s="2205"/>
      <c r="E78" s="2265" t="s">
        <v>199</v>
      </c>
      <c r="F78" s="2266" t="s">
        <v>519</v>
      </c>
      <c r="G78" s="2267"/>
      <c r="H78" s="517">
        <f>メイン!W71</f>
        <v>0</v>
      </c>
      <c r="I78" s="1454"/>
      <c r="J78" s="517">
        <f>CO2データ!H151</f>
        <v>0</v>
      </c>
      <c r="K78" s="1454"/>
      <c r="L78" s="2268" t="e">
        <f>CO2データ!R151</f>
        <v>#VALUE!</v>
      </c>
      <c r="M78" s="2205"/>
      <c r="N78" s="2205"/>
      <c r="O78" s="2205"/>
      <c r="P78" s="2205"/>
      <c r="Q78" s="2206"/>
      <c r="S78" s="1983">
        <f>CO2データ!N151</f>
        <v>0.9</v>
      </c>
    </row>
    <row r="79" spans="2:21">
      <c r="B79" s="2204"/>
      <c r="C79" s="2205"/>
      <c r="D79" s="2205"/>
      <c r="E79" s="2269"/>
      <c r="F79" s="2266" t="s">
        <v>1218</v>
      </c>
      <c r="G79" s="2267"/>
      <c r="H79" s="517">
        <f>メイン!W72</f>
        <v>0</v>
      </c>
      <c r="I79" s="1454"/>
      <c r="J79" s="517">
        <f>CO2データ!H152</f>
        <v>0</v>
      </c>
      <c r="K79" s="1454"/>
      <c r="L79" s="2268" t="e">
        <f>CO2データ!R152</f>
        <v>#VALUE!</v>
      </c>
      <c r="M79" s="2205"/>
      <c r="N79" s="2205"/>
      <c r="O79" s="2205"/>
      <c r="P79" s="2205"/>
      <c r="Q79" s="2206"/>
      <c r="S79" s="1983">
        <f>CO2データ!N152</f>
        <v>0.83</v>
      </c>
    </row>
    <row r="80" spans="2:21">
      <c r="B80" s="2204"/>
      <c r="C80" s="2205"/>
      <c r="D80" s="2205"/>
      <c r="E80" s="2270" t="s">
        <v>1219</v>
      </c>
      <c r="F80" s="2266" t="s">
        <v>1220</v>
      </c>
      <c r="G80" s="2267"/>
      <c r="H80" s="517">
        <f>メイン!W73</f>
        <v>0</v>
      </c>
      <c r="I80" s="1454"/>
      <c r="J80" s="517">
        <f>CO2データ!H153</f>
        <v>0</v>
      </c>
      <c r="K80" s="1454"/>
      <c r="L80" s="2268" t="e">
        <f>CO2データ!R153</f>
        <v>#VALUE!</v>
      </c>
      <c r="M80" s="2205"/>
      <c r="N80" s="2205"/>
      <c r="O80" s="2205"/>
      <c r="P80" s="2205"/>
      <c r="Q80" s="2206"/>
      <c r="S80" s="1983">
        <f>CO2データ!N153</f>
        <v>0.71</v>
      </c>
    </row>
    <row r="81" spans="2:27">
      <c r="B81" s="2204"/>
      <c r="C81" s="2205"/>
      <c r="D81" s="2205"/>
      <c r="E81" s="2270"/>
      <c r="F81" s="2271" t="s">
        <v>1221</v>
      </c>
      <c r="G81" s="2272" t="s">
        <v>1075</v>
      </c>
      <c r="H81" s="517">
        <f>メイン!W74</f>
        <v>0</v>
      </c>
      <c r="I81" s="1454"/>
      <c r="J81" s="517">
        <f>CO2データ!H154</f>
        <v>0</v>
      </c>
      <c r="K81" s="1454"/>
      <c r="L81" s="2268" t="e">
        <f>CO2データ!R154</f>
        <v>#VALUE!</v>
      </c>
      <c r="M81" s="2205"/>
      <c r="N81" s="2205"/>
      <c r="O81" s="2205"/>
      <c r="P81" s="2205"/>
      <c r="Q81" s="2206"/>
      <c r="S81" s="1983">
        <f>CO2データ!N154</f>
        <v>0.62299911901772109</v>
      </c>
    </row>
    <row r="82" spans="2:27">
      <c r="B82" s="2204"/>
      <c r="C82" s="2205"/>
      <c r="D82" s="2205"/>
      <c r="E82" s="2270"/>
      <c r="F82" s="2273"/>
      <c r="G82" s="2272" t="s">
        <v>568</v>
      </c>
      <c r="H82" s="517">
        <f>メイン!W75</f>
        <v>0</v>
      </c>
      <c r="I82" s="1454"/>
      <c r="J82" s="517">
        <f>CO2データ!H155</f>
        <v>0</v>
      </c>
      <c r="K82" s="1454"/>
      <c r="L82" s="2268" t="e">
        <f>CO2データ!R155</f>
        <v>#VALUE!</v>
      </c>
      <c r="M82" s="2205"/>
      <c r="N82" s="2205"/>
      <c r="O82" s="2205"/>
      <c r="P82" s="2205"/>
      <c r="Q82" s="2206"/>
      <c r="S82" s="1983">
        <f>CO2データ!N155</f>
        <v>0.75998792472086629</v>
      </c>
    </row>
    <row r="83" spans="2:27">
      <c r="B83" s="2204"/>
      <c r="C83" s="2205"/>
      <c r="D83" s="2205"/>
      <c r="E83" s="2270"/>
      <c r="F83" s="2266" t="s">
        <v>1222</v>
      </c>
      <c r="G83" s="2267"/>
      <c r="H83" s="517">
        <f>メイン!W76</f>
        <v>0</v>
      </c>
      <c r="I83" s="1454"/>
      <c r="J83" s="517">
        <f>CO2データ!H156</f>
        <v>0</v>
      </c>
      <c r="K83" s="1454"/>
      <c r="L83" s="2268" t="e">
        <f>CO2データ!R156</f>
        <v>#VALUE!</v>
      </c>
      <c r="M83" s="2205"/>
      <c r="N83" s="2205"/>
      <c r="O83" s="2205"/>
      <c r="P83" s="2205"/>
      <c r="Q83" s="2206"/>
      <c r="S83" s="1983">
        <f>CO2データ!N156</f>
        <v>0.74</v>
      </c>
    </row>
    <row r="84" spans="2:27">
      <c r="B84" s="2204"/>
      <c r="C84" s="2205"/>
      <c r="D84" s="2205"/>
      <c r="E84" s="2269"/>
      <c r="F84" s="2266" t="s">
        <v>1223</v>
      </c>
      <c r="G84" s="2267"/>
      <c r="H84" s="517">
        <f>メイン!W77</f>
        <v>0</v>
      </c>
      <c r="I84" s="1454"/>
      <c r="J84" s="517">
        <f>CO2データ!H157</f>
        <v>0</v>
      </c>
      <c r="K84" s="1454"/>
      <c r="L84" s="2268" t="e">
        <f>CO2データ!R157</f>
        <v>#VALUE!</v>
      </c>
      <c r="M84" s="2205"/>
      <c r="N84" s="2205"/>
      <c r="O84" s="2205"/>
      <c r="P84" s="2205"/>
      <c r="Q84" s="2206"/>
      <c r="S84" s="1983">
        <f>CO2データ!N157</f>
        <v>0.79</v>
      </c>
    </row>
    <row r="85" spans="2:27">
      <c r="B85" s="2204"/>
      <c r="C85" s="2205"/>
      <c r="D85" s="2205"/>
      <c r="E85" s="2265" t="s">
        <v>1224</v>
      </c>
      <c r="F85" s="2266" t="s">
        <v>909</v>
      </c>
      <c r="G85" s="2267"/>
      <c r="H85" s="517">
        <f>メイン!W78</f>
        <v>0</v>
      </c>
      <c r="I85" s="1454"/>
      <c r="J85" s="517">
        <f>CO2データ!H158</f>
        <v>0</v>
      </c>
      <c r="K85" s="1454"/>
      <c r="L85" s="2268" t="e">
        <f>CO2データ!R158</f>
        <v>#VALUE!</v>
      </c>
      <c r="M85" s="2205"/>
      <c r="N85" s="2205"/>
      <c r="O85" s="2205"/>
      <c r="P85" s="2205"/>
      <c r="Q85" s="2206"/>
      <c r="S85" s="1983">
        <f>CO2データ!N158</f>
        <v>0.93</v>
      </c>
    </row>
    <row r="86" spans="2:27">
      <c r="B86" s="2204"/>
      <c r="C86" s="2205"/>
      <c r="D86" s="2205"/>
      <c r="E86" s="2269"/>
      <c r="F86" s="2266" t="s">
        <v>1225</v>
      </c>
      <c r="G86" s="2267"/>
      <c r="H86" s="517">
        <f>メイン!W79</f>
        <v>0</v>
      </c>
      <c r="I86" s="1454"/>
      <c r="J86" s="517">
        <f>CO2データ!H159</f>
        <v>0</v>
      </c>
      <c r="K86" s="1454"/>
      <c r="L86" s="2268" t="e">
        <f>CO2データ!R159</f>
        <v>#VALUE!</v>
      </c>
      <c r="M86" s="2205"/>
      <c r="N86" s="2205"/>
      <c r="O86" s="2205"/>
      <c r="P86" s="2205"/>
      <c r="Q86" s="2206"/>
      <c r="S86" s="1983">
        <f>CO2データ!N159</f>
        <v>0.92</v>
      </c>
    </row>
    <row r="87" spans="2:27">
      <c r="B87" s="2204"/>
      <c r="C87" s="2205"/>
      <c r="D87" s="2205"/>
      <c r="E87" s="2266" t="s">
        <v>525</v>
      </c>
      <c r="F87" s="2274"/>
      <c r="G87" s="2267"/>
      <c r="H87" s="517">
        <f>メイン!W80</f>
        <v>0</v>
      </c>
      <c r="I87" s="1454"/>
      <c r="J87" s="517">
        <f>CO2データ!H160</f>
        <v>0</v>
      </c>
      <c r="K87" s="1454"/>
      <c r="L87" s="2268" t="e">
        <f>CO2データ!R160</f>
        <v>#VALUE!</v>
      </c>
      <c r="M87" s="2205"/>
      <c r="N87" s="2205"/>
      <c r="O87" s="2205"/>
      <c r="P87" s="2205"/>
      <c r="Q87" s="2206"/>
      <c r="S87" s="1983">
        <f>CO2データ!N160</f>
        <v>0.5</v>
      </c>
    </row>
    <row r="88" spans="2:27">
      <c r="B88" s="2204"/>
      <c r="C88" s="2205"/>
      <c r="D88" s="2205"/>
      <c r="E88" s="2265" t="s">
        <v>1226</v>
      </c>
      <c r="F88" s="2266" t="s">
        <v>1227</v>
      </c>
      <c r="G88" s="2267"/>
      <c r="H88" s="517">
        <f>メイン!W81</f>
        <v>0</v>
      </c>
      <c r="I88" s="1454"/>
      <c r="J88" s="517">
        <f>CO2データ!H161</f>
        <v>0</v>
      </c>
      <c r="K88" s="1454"/>
      <c r="L88" s="2268" t="e">
        <f>CO2データ!R161</f>
        <v>#VALUE!</v>
      </c>
      <c r="M88" s="2205"/>
      <c r="N88" s="2205"/>
      <c r="O88" s="2205"/>
      <c r="P88" s="2205"/>
      <c r="Q88" s="2206"/>
      <c r="S88" s="1983">
        <f>CO2データ!N161</f>
        <v>0.76</v>
      </c>
    </row>
    <row r="89" spans="2:27">
      <c r="B89" s="2204"/>
      <c r="C89" s="2205"/>
      <c r="D89" s="2205"/>
      <c r="E89" s="2270"/>
      <c r="F89" s="2266" t="s">
        <v>1228</v>
      </c>
      <c r="G89" s="2267"/>
      <c r="H89" s="517">
        <f>メイン!W82</f>
        <v>0</v>
      </c>
      <c r="I89" s="1454"/>
      <c r="J89" s="517">
        <f>CO2データ!H162</f>
        <v>0</v>
      </c>
      <c r="K89" s="1454"/>
      <c r="L89" s="2268" t="e">
        <f>CO2データ!R162</f>
        <v>#VALUE!</v>
      </c>
      <c r="M89" s="2205"/>
      <c r="N89" s="2205"/>
      <c r="O89" s="2205"/>
      <c r="P89" s="2205"/>
      <c r="Q89" s="2206"/>
      <c r="S89" s="1983">
        <f>CO2データ!N162</f>
        <v>0.81</v>
      </c>
    </row>
    <row r="90" spans="2:27">
      <c r="B90" s="2204"/>
      <c r="C90" s="2205"/>
      <c r="D90" s="2205"/>
      <c r="E90" s="2270"/>
      <c r="F90" s="2271" t="s">
        <v>1229</v>
      </c>
      <c r="G90" s="2275"/>
      <c r="H90" s="517">
        <f>メイン!W83</f>
        <v>0</v>
      </c>
      <c r="I90" s="1454"/>
      <c r="J90" s="517">
        <f>CO2データ!H163</f>
        <v>0</v>
      </c>
      <c r="K90" s="1454"/>
      <c r="L90" s="2268" t="e">
        <f>CO2データ!R163</f>
        <v>#VALUE!</v>
      </c>
      <c r="M90" s="2205"/>
      <c r="N90" s="2205"/>
      <c r="O90" s="2205"/>
      <c r="P90" s="2205"/>
      <c r="Q90" s="2206"/>
      <c r="S90" s="1983">
        <f>CO2データ!N163</f>
        <v>0.92</v>
      </c>
    </row>
    <row r="91" spans="2:27">
      <c r="B91" s="2204"/>
      <c r="C91" s="2205"/>
      <c r="D91" s="2205"/>
      <c r="E91" s="2266" t="s">
        <v>535</v>
      </c>
      <c r="F91" s="2274"/>
      <c r="G91" s="2267"/>
      <c r="H91" s="517">
        <f>メイン!W84</f>
        <v>0</v>
      </c>
      <c r="I91" s="1454"/>
      <c r="J91" s="517">
        <f>CO2データ!H164</f>
        <v>0</v>
      </c>
      <c r="K91" s="1454"/>
      <c r="L91" s="2268" t="e">
        <f>CO2データ!R164</f>
        <v>#VALUE!</v>
      </c>
      <c r="M91" s="2205"/>
      <c r="N91" s="2205"/>
      <c r="O91" s="2205"/>
      <c r="P91" s="2205"/>
      <c r="Q91" s="2206"/>
      <c r="S91" s="1983">
        <f>CO2データ!N164</f>
        <v>1</v>
      </c>
    </row>
    <row r="92" spans="2:27">
      <c r="B92" s="2204"/>
      <c r="C92" s="2205"/>
      <c r="D92" s="2205"/>
      <c r="E92" s="2266" t="s">
        <v>529</v>
      </c>
      <c r="F92" s="2274"/>
      <c r="G92" s="2267"/>
      <c r="H92" s="517">
        <f>メイン!W85</f>
        <v>0</v>
      </c>
      <c r="I92" s="1454"/>
      <c r="J92" s="517">
        <f>CO2データ!H165</f>
        <v>0</v>
      </c>
      <c r="K92" s="1454"/>
      <c r="L92" s="2268" t="e">
        <f>CO2データ!R165</f>
        <v>#VALUE!</v>
      </c>
      <c r="M92" s="2205"/>
      <c r="N92" s="2205"/>
      <c r="O92" s="2205"/>
      <c r="P92" s="2205"/>
      <c r="Q92" s="2206"/>
      <c r="S92" s="1983">
        <f>CO2データ!N165</f>
        <v>0.65</v>
      </c>
    </row>
    <row r="93" spans="2:27" ht="14.25" thickBot="1">
      <c r="B93" s="2204"/>
      <c r="C93" s="2205"/>
      <c r="D93" s="2205"/>
      <c r="E93" s="2266" t="s">
        <v>1230</v>
      </c>
      <c r="F93" s="2274"/>
      <c r="G93" s="2267"/>
      <c r="H93" s="517">
        <f>メイン!W86</f>
        <v>0</v>
      </c>
      <c r="I93" s="1454"/>
      <c r="J93" s="517">
        <f>CO2データ!H166</f>
        <v>0</v>
      </c>
      <c r="K93" s="1454"/>
      <c r="L93" s="2268" t="e">
        <f>CO2データ!R166</f>
        <v>#VALUE!</v>
      </c>
      <c r="M93" s="2205"/>
      <c r="N93" s="2205"/>
      <c r="O93" s="2205"/>
      <c r="P93" s="2205"/>
      <c r="Q93" s="2206"/>
      <c r="S93" s="1983">
        <f>CO2データ!N166</f>
        <v>0.77</v>
      </c>
    </row>
    <row r="94" spans="2:27" ht="14.25" thickBot="1">
      <c r="B94" s="2204"/>
      <c r="C94" s="2205"/>
      <c r="D94" s="2205"/>
      <c r="E94" s="2276" t="s">
        <v>1376</v>
      </c>
      <c r="F94" s="2276" t="s">
        <v>537</v>
      </c>
      <c r="G94" s="2276"/>
      <c r="H94" s="2277">
        <f>SUM(H78:H93)</f>
        <v>0</v>
      </c>
      <c r="I94" s="1454"/>
      <c r="J94" s="2277">
        <f>SUMPRODUCT(H78:H93,J78:J93)/1000</f>
        <v>0</v>
      </c>
      <c r="K94" s="1454" t="s">
        <v>1377</v>
      </c>
      <c r="L94" s="2278" t="e">
        <f>SUMPRODUCT(H78:H93,L78:L93)/H94</f>
        <v>#VALUE!</v>
      </c>
      <c r="M94" s="2205"/>
      <c r="N94" s="2205"/>
      <c r="O94" s="2205"/>
      <c r="P94" s="2205"/>
      <c r="Q94" s="2206"/>
      <c r="S94" s="1983"/>
      <c r="T94" s="2279">
        <f>SUMPRODUCT(H78:H93,J78:J93,S78:S93)/1000</f>
        <v>0</v>
      </c>
    </row>
    <row r="95" spans="2:27">
      <c r="B95" s="2204"/>
      <c r="C95" s="2205"/>
      <c r="D95" s="2205"/>
      <c r="E95" s="1454"/>
      <c r="F95" s="1454"/>
      <c r="G95" s="1454"/>
      <c r="H95" s="1454"/>
      <c r="I95" s="1454"/>
      <c r="J95" s="1454"/>
      <c r="K95" s="1454"/>
      <c r="L95" s="1454"/>
      <c r="M95" s="2205"/>
      <c r="N95" s="2205"/>
      <c r="O95" s="2205"/>
      <c r="P95" s="2205"/>
      <c r="Q95" s="2206"/>
    </row>
    <row r="96" spans="2:27">
      <c r="B96" s="2204"/>
      <c r="C96" s="2205"/>
      <c r="D96" s="2205"/>
      <c r="E96" s="1455" t="s">
        <v>1378</v>
      </c>
      <c r="F96" s="147"/>
      <c r="G96" s="2205"/>
      <c r="H96" s="2257" t="s">
        <v>1371</v>
      </c>
      <c r="I96" s="2205"/>
      <c r="J96" s="2205"/>
      <c r="K96" s="2205"/>
      <c r="L96" s="2205"/>
      <c r="M96" s="2205"/>
      <c r="N96" s="2205"/>
      <c r="O96" s="2205"/>
      <c r="P96" s="2205"/>
      <c r="Q96" s="2206"/>
      <c r="V96" s="1"/>
      <c r="W96" s="1"/>
      <c r="Z96" s="1"/>
      <c r="AA96" s="1"/>
    </row>
    <row r="97" spans="2:27" ht="14.25" hidden="1" thickBot="1">
      <c r="B97" s="2204"/>
      <c r="C97" s="2205"/>
      <c r="D97" s="2205"/>
      <c r="E97" s="1455"/>
      <c r="F97" s="147"/>
      <c r="G97" s="2205"/>
      <c r="H97" s="2205"/>
      <c r="I97" s="2205"/>
      <c r="J97" s="2205"/>
      <c r="K97" s="2205"/>
      <c r="L97" s="2205"/>
      <c r="M97" s="2205"/>
      <c r="N97" s="2205"/>
      <c r="O97" s="2205"/>
      <c r="P97" s="2205"/>
      <c r="Q97" s="2206"/>
      <c r="S97" t="s">
        <v>1379</v>
      </c>
      <c r="T97" s="2280">
        <v>1</v>
      </c>
      <c r="V97" s="1981"/>
      <c r="W97" s="1981"/>
      <c r="Z97" s="1981"/>
      <c r="AA97" s="1981"/>
    </row>
    <row r="98" spans="2:27" ht="14.25" hidden="1" thickBot="1">
      <c r="B98" s="2204"/>
      <c r="C98" s="2205"/>
      <c r="D98" s="2205"/>
      <c r="E98" s="1455"/>
      <c r="F98" s="1455" t="s">
        <v>1380</v>
      </c>
      <c r="G98" s="147"/>
      <c r="H98" s="1971">
        <f>IF(T97=1,0,H94-H81-H82)</f>
        <v>0</v>
      </c>
      <c r="I98" s="2205"/>
      <c r="J98" s="2205"/>
      <c r="K98" s="2205"/>
      <c r="L98" s="2205"/>
      <c r="M98" s="2205"/>
      <c r="N98" s="2281"/>
      <c r="O98" s="2205" t="s">
        <v>1381</v>
      </c>
      <c r="P98" s="2205"/>
      <c r="Q98" s="2206"/>
      <c r="S98" s="1983"/>
      <c r="V98" s="1981"/>
      <c r="W98" s="1981"/>
      <c r="Z98" s="1981"/>
      <c r="AA98" s="1981"/>
    </row>
    <row r="99" spans="2:27">
      <c r="B99" s="2282"/>
      <c r="C99" s="1446"/>
      <c r="D99" s="1446"/>
      <c r="E99" s="1455"/>
      <c r="F99" s="1455" t="s">
        <v>1382</v>
      </c>
      <c r="G99" s="147"/>
      <c r="H99" s="2212" t="s">
        <v>1308</v>
      </c>
      <c r="I99" s="2212"/>
      <c r="J99" s="1449" t="s">
        <v>185</v>
      </c>
      <c r="K99" s="1449" t="s">
        <v>186</v>
      </c>
      <c r="L99" s="1449" t="s">
        <v>187</v>
      </c>
      <c r="M99" s="1450" t="s">
        <v>188</v>
      </c>
      <c r="N99" s="1450" t="s">
        <v>1127</v>
      </c>
      <c r="O99" s="2283"/>
      <c r="P99" s="1986"/>
      <c r="Q99" s="2284"/>
    </row>
    <row r="100" spans="2:27" ht="14.25" thickBot="1">
      <c r="B100" s="2282"/>
      <c r="C100" s="1446"/>
      <c r="D100" s="1446"/>
      <c r="E100" s="1455"/>
      <c r="F100" s="1455"/>
      <c r="G100" s="2212" t="s">
        <v>1383</v>
      </c>
      <c r="H100" s="2285">
        <f>H81+H82+M14</f>
        <v>0</v>
      </c>
      <c r="I100" s="2212"/>
      <c r="J100" s="2286">
        <v>0</v>
      </c>
      <c r="K100" s="2286">
        <v>1</v>
      </c>
      <c r="L100" s="2373">
        <v>15</v>
      </c>
      <c r="M100" s="2287">
        <f>スコア入力!P120</f>
        <v>3</v>
      </c>
      <c r="N100" s="2288">
        <f>IF(M100&gt;=5,$L100,IF(M100&gt;=4,$K100,$J100))</f>
        <v>0</v>
      </c>
      <c r="O100" s="2205"/>
      <c r="P100" s="1986"/>
      <c r="Q100" s="2284"/>
    </row>
    <row r="101" spans="2:27" ht="14.25" thickBot="1">
      <c r="B101" s="2282"/>
      <c r="C101" s="1446"/>
      <c r="D101" s="1446"/>
      <c r="E101" s="1455"/>
      <c r="F101" s="1455"/>
      <c r="G101" s="147" t="s">
        <v>1384</v>
      </c>
      <c r="H101" s="1971">
        <f>IF(T97=1,H94-H81-H82,0)</f>
        <v>0</v>
      </c>
      <c r="I101" s="2212"/>
      <c r="J101" s="2286">
        <v>0</v>
      </c>
      <c r="K101" s="2286">
        <v>1</v>
      </c>
      <c r="L101" s="2374">
        <v>15</v>
      </c>
      <c r="M101" s="2287">
        <f>スコア入力!P121</f>
        <v>3</v>
      </c>
      <c r="N101" s="2288">
        <f>IF(M101&gt;=5,$L101,IF(M101&gt;=4,$K101,$J101))</f>
        <v>0</v>
      </c>
      <c r="O101" s="2205" t="s">
        <v>839</v>
      </c>
      <c r="P101" s="1986"/>
      <c r="Q101" s="2284"/>
    </row>
    <row r="102" spans="2:27">
      <c r="B102" s="2282"/>
      <c r="C102" s="1446"/>
      <c r="D102" s="1446"/>
      <c r="E102" s="2289"/>
      <c r="F102" s="2289"/>
      <c r="G102" s="2290"/>
      <c r="H102" s="147"/>
      <c r="I102" s="147"/>
      <c r="J102" s="147"/>
      <c r="K102" s="147"/>
      <c r="L102" s="147"/>
      <c r="M102" s="147"/>
      <c r="N102" s="147"/>
      <c r="O102" s="2283"/>
      <c r="P102" s="1986"/>
      <c r="Q102" s="2284"/>
    </row>
    <row r="103" spans="2:27">
      <c r="B103" s="2255"/>
      <c r="C103" s="1446"/>
      <c r="D103" s="1446"/>
      <c r="E103" s="1455" t="s">
        <v>1385</v>
      </c>
      <c r="F103" s="2289"/>
      <c r="G103" s="2205"/>
      <c r="H103" s="2291"/>
      <c r="I103" s="2205"/>
      <c r="J103" s="1449" t="s">
        <v>185</v>
      </c>
      <c r="K103" s="1449" t="s">
        <v>186</v>
      </c>
      <c r="L103" s="1449" t="s">
        <v>187</v>
      </c>
      <c r="M103" s="1450" t="s">
        <v>188</v>
      </c>
      <c r="N103" s="1450" t="s">
        <v>1386</v>
      </c>
      <c r="O103" s="1452"/>
      <c r="P103" s="1986"/>
      <c r="Q103" s="2284"/>
    </row>
    <row r="104" spans="2:27">
      <c r="B104" s="2255"/>
      <c r="C104" s="1446"/>
      <c r="D104" s="1446"/>
      <c r="E104" s="1455"/>
      <c r="F104" s="1455" t="s">
        <v>1387</v>
      </c>
      <c r="G104" s="2205"/>
      <c r="H104" s="2205"/>
      <c r="I104" s="2205"/>
      <c r="J104" s="2292">
        <v>1</v>
      </c>
      <c r="K104" s="2293">
        <v>0.97499999999999998</v>
      </c>
      <c r="L104" s="2292">
        <v>0.95</v>
      </c>
      <c r="M104" s="2287" t="e">
        <f>スコア表示!M134</f>
        <v>#DIV/0!</v>
      </c>
      <c r="N104" s="2294" t="e">
        <f>IF(M104&gt;=5,$L104,IF(M104&gt;=4,$K104,$J104))</f>
        <v>#DIV/0!</v>
      </c>
      <c r="O104" s="1452"/>
      <c r="P104" s="1986"/>
      <c r="Q104" s="2284"/>
    </row>
    <row r="105" spans="2:27">
      <c r="B105" s="2255"/>
      <c r="C105" s="1446"/>
      <c r="D105" s="2205"/>
      <c r="E105" s="2205"/>
      <c r="F105" s="2205"/>
      <c r="G105" s="2205"/>
      <c r="H105" s="2205"/>
      <c r="I105" s="2205"/>
      <c r="J105" s="2205"/>
      <c r="K105" s="2205"/>
      <c r="L105" s="2205"/>
      <c r="M105" s="2205"/>
      <c r="N105" s="1443"/>
      <c r="O105" s="1452"/>
      <c r="P105" s="1452"/>
      <c r="Q105" s="1445"/>
    </row>
    <row r="106" spans="2:27">
      <c r="B106" s="2255"/>
      <c r="C106" s="1446"/>
      <c r="D106" s="2205"/>
      <c r="E106" s="2208" t="s">
        <v>1388</v>
      </c>
      <c r="F106" s="2205"/>
      <c r="G106" s="2295"/>
      <c r="H106" s="2205"/>
      <c r="I106" s="2205"/>
      <c r="J106" s="2205"/>
      <c r="K106" s="2205"/>
      <c r="L106" s="2205"/>
      <c r="M106" s="2205"/>
      <c r="N106" s="2205" t="s">
        <v>111</v>
      </c>
      <c r="O106" s="2205"/>
      <c r="P106" s="2205"/>
      <c r="Q106" s="2256" t="s">
        <v>180</v>
      </c>
    </row>
    <row r="107" spans="2:27">
      <c r="B107" s="2255"/>
      <c r="C107" s="1446"/>
      <c r="D107" s="2205"/>
      <c r="E107" s="2205"/>
      <c r="F107" s="2205"/>
      <c r="G107" s="2295"/>
      <c r="H107" s="2205"/>
      <c r="I107" s="2205"/>
      <c r="J107" s="2205"/>
      <c r="K107" s="2205"/>
      <c r="L107" s="2205"/>
      <c r="M107" s="2205"/>
      <c r="N107" s="1443" t="s">
        <v>1334</v>
      </c>
      <c r="O107" s="1452"/>
      <c r="P107" s="1452"/>
      <c r="Q107" s="1445" t="s">
        <v>1334</v>
      </c>
    </row>
    <row r="108" spans="2:27">
      <c r="B108" s="2255"/>
      <c r="C108" s="1446"/>
      <c r="D108" s="2205"/>
      <c r="E108" s="1454"/>
      <c r="F108" s="2205" t="s">
        <v>1231</v>
      </c>
      <c r="G108" s="2295"/>
      <c r="H108" s="2205"/>
      <c r="I108" s="2205"/>
      <c r="J108" s="2212" t="s">
        <v>1389</v>
      </c>
      <c r="K108" s="2212" t="s">
        <v>111</v>
      </c>
      <c r="L108" s="2212" t="s">
        <v>180</v>
      </c>
      <c r="M108" s="2212"/>
      <c r="N108" s="2262">
        <f>IF(N29=0,0,IF(N61=T59,IF(N42=0,"-",N42),J110*K110/1000))</f>
        <v>0</v>
      </c>
      <c r="O108" s="2205"/>
      <c r="P108" s="2205"/>
      <c r="Q108" s="2263">
        <f>IF(N29=0,0,IF(N61=T59,(N39-N40)*1.1+N40,J110*L110/1000))</f>
        <v>0</v>
      </c>
      <c r="S108" s="1983"/>
    </row>
    <row r="109" spans="2:27">
      <c r="B109" s="2255"/>
      <c r="C109" s="1446"/>
      <c r="D109" s="2205"/>
      <c r="E109" s="1454"/>
      <c r="F109" s="2205"/>
      <c r="G109" s="2295"/>
      <c r="H109" s="2205"/>
      <c r="I109" s="2205"/>
      <c r="J109" s="2212" t="s">
        <v>1308</v>
      </c>
      <c r="K109" s="2296" t="s">
        <v>839</v>
      </c>
      <c r="L109" s="2296" t="s">
        <v>839</v>
      </c>
      <c r="M109" s="2212"/>
      <c r="N109" s="2297"/>
      <c r="O109" s="2205"/>
      <c r="P109" s="2205"/>
      <c r="Q109" s="2298"/>
    </row>
    <row r="110" spans="2:27">
      <c r="B110" s="2255"/>
      <c r="C110" s="1446"/>
      <c r="D110" s="2205"/>
      <c r="E110" s="1454"/>
      <c r="F110" s="2205"/>
      <c r="G110" s="147" t="s">
        <v>1390</v>
      </c>
      <c r="H110" s="2205"/>
      <c r="I110" s="2212"/>
      <c r="J110" s="2262">
        <f>N29</f>
        <v>0</v>
      </c>
      <c r="K110" s="2262">
        <f>CO2データ!I196</f>
        <v>1343</v>
      </c>
      <c r="L110" s="2262">
        <f>CO2データ!I197</f>
        <v>1163</v>
      </c>
      <c r="M110" s="2212"/>
      <c r="N110" s="1443"/>
      <c r="O110" s="1452"/>
      <c r="P110" s="1452"/>
      <c r="Q110" s="1445"/>
    </row>
    <row r="111" spans="2:27" ht="6.75" customHeight="1">
      <c r="B111" s="2255"/>
      <c r="C111" s="1446"/>
      <c r="D111" s="2205"/>
      <c r="E111" s="1454"/>
      <c r="F111" s="2205"/>
      <c r="G111" s="147"/>
      <c r="H111" s="2205"/>
      <c r="I111" s="2212"/>
      <c r="J111" s="2297"/>
      <c r="K111" s="2297"/>
      <c r="L111" s="2297"/>
      <c r="M111" s="2212"/>
      <c r="N111" s="1443"/>
      <c r="O111" s="1452"/>
      <c r="P111" s="1452"/>
      <c r="Q111" s="1445"/>
    </row>
    <row r="112" spans="2:27">
      <c r="B112" s="2255"/>
      <c r="C112" s="1446"/>
      <c r="D112" s="2205"/>
      <c r="E112" s="2205"/>
      <c r="F112" s="2205" t="s">
        <v>827</v>
      </c>
      <c r="G112" s="2295"/>
      <c r="H112" s="2205"/>
      <c r="I112" s="2205"/>
      <c r="J112" s="2205"/>
      <c r="K112" s="2205"/>
      <c r="L112" s="2257"/>
      <c r="M112" s="2205"/>
      <c r="N112" s="2262">
        <f>IF(M29=0,0,IF(M42=0,"-",M42))</f>
        <v>0</v>
      </c>
      <c r="O112" s="1452"/>
      <c r="P112" s="1986"/>
      <c r="Q112" s="2263">
        <f>IF(M29=0,0,M39)</f>
        <v>0</v>
      </c>
      <c r="S112" s="1983"/>
    </row>
    <row r="113" spans="2:17" ht="14.25" thickBot="1">
      <c r="B113" s="2245"/>
      <c r="C113" s="2246"/>
      <c r="D113" s="2246"/>
      <c r="E113" s="2246"/>
      <c r="F113" s="2246"/>
      <c r="G113" s="2246"/>
      <c r="H113" s="2246"/>
      <c r="I113" s="2246"/>
      <c r="J113" s="2246"/>
      <c r="K113" s="2246"/>
      <c r="L113" s="2246"/>
      <c r="M113" s="2246"/>
      <c r="N113" s="2246"/>
      <c r="O113" s="2246"/>
      <c r="P113" s="2246"/>
      <c r="Q113" s="2248"/>
    </row>
    <row r="114" spans="2:17">
      <c r="H114" s="1984"/>
    </row>
    <row r="115" spans="2:17"/>
    <row r="116" spans="2:17"/>
    <row r="117" spans="2:17"/>
    <row r="118" spans="2:17"/>
  </sheetData>
  <sheetProtection password="CC47" sheet="1" objects="1" scenarios="1"/>
  <mergeCells count="5">
    <mergeCell ref="E6:G6"/>
    <mergeCell ref="E24:G24"/>
    <mergeCell ref="E61:K63"/>
    <mergeCell ref="N61:P61"/>
    <mergeCell ref="N2:P2"/>
  </mergeCells>
  <phoneticPr fontId="20"/>
  <conditionalFormatting sqref="N98">
    <cfRule type="expression" dxfId="56" priority="4" stopIfTrue="1">
      <formula>$J$52&gt;0</formula>
    </cfRule>
  </conditionalFormatting>
  <conditionalFormatting sqref="I39:I42">
    <cfRule type="expression" dxfId="55" priority="5" stopIfTrue="1">
      <formula>OR($I$29=0,$E$24=$S$28)</formula>
    </cfRule>
  </conditionalFormatting>
  <conditionalFormatting sqref="I25:I26">
    <cfRule type="expression" dxfId="54" priority="3" stopIfTrue="1">
      <formula>$E$24=$S$27</formula>
    </cfRule>
  </conditionalFormatting>
  <conditionalFormatting sqref="M39:M43">
    <cfRule type="expression" dxfId="53" priority="2">
      <formula>$M$14=0</formula>
    </cfRule>
  </conditionalFormatting>
  <conditionalFormatting sqref="N39:N43">
    <cfRule type="expression" dxfId="52" priority="1">
      <formula>$M$14=0</formula>
    </cfRule>
  </conditionalFormatting>
  <dataValidations count="8">
    <dataValidation type="list" allowBlank="1" showInputMessage="1" showErrorMessage="1" sqref="E6">
      <formula1>$S$3:$S$4</formula1>
    </dataValidation>
    <dataValidation type="list" allowBlank="1" showInputMessage="1" showErrorMessage="1" sqref="M6">
      <formula1>$T$5:$T$9</formula1>
    </dataValidation>
    <dataValidation type="list" allowBlank="1" showInputMessage="1" showErrorMessage="1" sqref="E24:G24">
      <formula1>$S$27:$S$28</formula1>
    </dataValidation>
    <dataValidation type="list" allowBlank="1" showInputMessage="1" showErrorMessage="1" sqref="N37">
      <formula1>$S$37:$S$41</formula1>
    </dataValidation>
    <dataValidation type="list" allowBlank="1" showInputMessage="1" showErrorMessage="1" sqref="K65">
      <formula1>$U$65:$U$67</formula1>
    </dataValidation>
    <dataValidation type="list" allowBlank="1" showInputMessage="1" showErrorMessage="1" sqref="F65">
      <formula1>$T$65:$T$68</formula1>
    </dataValidation>
    <dataValidation type="list" allowBlank="1" showInputMessage="1" sqref="N61">
      <formula1>$T$59:$T$61</formula1>
    </dataValidation>
    <dataValidation allowBlank="1" showInputMessage="1" sqref="N98"/>
  </dataValidations>
  <pageMargins left="0.78740157480314965" right="0.78740157480314965" top="0.98425196850393704" bottom="0.98425196850393704" header="0.51181102362204722" footer="0.51181102362204722"/>
  <pageSetup paperSize="9" scale="67" fitToHeight="0" orientation="portrait" r:id="rId1"/>
  <headerFooter alignWithMargins="0">
    <oddHeader>&amp;L&amp;F&amp;R&amp;A</oddHeader>
    <oddFooter>&amp;C&amp;P/&amp;N</oddFooter>
  </headerFooter>
  <rowBreaks count="1" manualBreakCount="1">
    <brk id="70"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24</vt:i4>
      </vt:variant>
    </vt:vector>
  </HeadingPairs>
  <TitlesOfParts>
    <vt:vector size="51" baseType="lpstr">
      <vt:lpstr>メイン</vt:lpstr>
      <vt:lpstr>結果(改修後)</vt:lpstr>
      <vt:lpstr>結果(改修前)</vt:lpstr>
      <vt:lpstr>改修前後の比較</vt:lpstr>
      <vt:lpstr>スコア入力</vt:lpstr>
      <vt:lpstr>スコア表示</vt:lpstr>
      <vt:lpstr>配慮</vt:lpstr>
      <vt:lpstr>係数</vt:lpstr>
      <vt:lpstr>計画書_後</vt:lpstr>
      <vt:lpstr>計画書_前</vt:lpstr>
      <vt:lpstr>計画書_対象外</vt:lpstr>
      <vt:lpstr>境界値</vt:lpstr>
      <vt:lpstr>CO2計算_後</vt:lpstr>
      <vt:lpstr>CO2計算_前</vt:lpstr>
      <vt:lpstr>CO2計算_対象外</vt:lpstr>
      <vt:lpstr>独自ｼｽﾃﾑ_改修前</vt:lpstr>
      <vt:lpstr>独自ｼｽﾃﾑ_改修後</vt:lpstr>
      <vt:lpstr>独自ｼｽﾃﾑ_改修前後の比較</vt:lpstr>
      <vt:lpstr>重み_後</vt:lpstr>
      <vt:lpstr>重み_前</vt:lpstr>
      <vt:lpstr>重み_対象外</vt:lpstr>
      <vt:lpstr>条件(標準)_後</vt:lpstr>
      <vt:lpstr>条件(標準)_前</vt:lpstr>
      <vt:lpstr>条件(個別)_後</vt:lpstr>
      <vt:lpstr>条件(個別)_前</vt:lpstr>
      <vt:lpstr>CO2データ</vt:lpstr>
      <vt:lpstr>クレジット</vt:lpstr>
      <vt:lpstr>CO2データ!Print_Area</vt:lpstr>
      <vt:lpstr>CO2計算_後!Print_Area</vt:lpstr>
      <vt:lpstr>CO2計算_前!Print_Area</vt:lpstr>
      <vt:lpstr>CO2計算_対象外!Print_Area</vt:lpstr>
      <vt:lpstr>クレジット!Print_Area</vt:lpstr>
      <vt:lpstr>スコア入力!Print_Area</vt:lpstr>
      <vt:lpstr>スコア表示!Print_Area</vt:lpstr>
      <vt:lpstr>メイン!Print_Area</vt:lpstr>
      <vt:lpstr>改修前後の比較!Print_Area</vt:lpstr>
      <vt:lpstr>係数!Print_Area</vt:lpstr>
      <vt:lpstr>計画書_後!Print_Area</vt:lpstr>
      <vt:lpstr>計画書_前!Print_Area</vt:lpstr>
      <vt:lpstr>計画書_対象外!Print_Area</vt:lpstr>
      <vt:lpstr>'結果(改修後)'!Print_Area</vt:lpstr>
      <vt:lpstr>'結果(改修前)'!Print_Area</vt:lpstr>
      <vt:lpstr>重み_後!Print_Area</vt:lpstr>
      <vt:lpstr>重み_前!Print_Area</vt:lpstr>
      <vt:lpstr>重み_対象外!Print_Area</vt:lpstr>
      <vt:lpstr>独自ｼｽﾃﾑ_改修後!Print_Area</vt:lpstr>
      <vt:lpstr>独自ｼｽﾃﾑ_改修前!Print_Area</vt:lpstr>
      <vt:lpstr>独自ｼｽﾃﾑ_改修前後の比較!Print_Area</vt:lpstr>
      <vt:lpstr>重み_後!Print_Titles</vt:lpstr>
      <vt:lpstr>重み_前!Print_Titles</vt:lpstr>
      <vt:lpstr>重み_対象外!Print_Titles</vt:lpstr>
    </vt:vector>
  </TitlesOfParts>
  <Company>株式会社日建設計</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kyoto</cp:lastModifiedBy>
  <cp:lastPrinted>2015-03-23T09:34:10Z</cp:lastPrinted>
  <dcterms:created xsi:type="dcterms:W3CDTF">2009-05-12T07:23:30Z</dcterms:created>
  <dcterms:modified xsi:type="dcterms:W3CDTF">2015-03-23T13:46:13Z</dcterms:modified>
</cp:coreProperties>
</file>